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9" activeTab="3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2"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I67" i="78"/>
  <c r="I68"/>
  <c r="I69"/>
  <c r="I70"/>
  <c r="I71"/>
  <c r="I72"/>
  <c r="I73"/>
  <c r="I74"/>
  <c r="I75"/>
  <c r="I76"/>
  <c r="I77"/>
  <c r="I78"/>
  <c r="I79"/>
  <c r="I80"/>
  <c r="I81"/>
  <c r="I82"/>
  <c r="I83"/>
  <c r="I84"/>
  <c r="I85"/>
  <c r="I86"/>
  <c r="I87"/>
  <c r="I88"/>
  <c r="I89"/>
  <c r="I90"/>
  <c r="I91"/>
  <c r="I66"/>
  <c r="G91"/>
  <c r="G67"/>
  <c r="G68"/>
  <c r="G69"/>
  <c r="G70"/>
  <c r="G71"/>
  <c r="G72"/>
  <c r="G73"/>
  <c r="G74"/>
  <c r="G75"/>
  <c r="G76"/>
  <c r="G77"/>
  <c r="G78"/>
  <c r="G79"/>
  <c r="G80"/>
  <c r="G81"/>
  <c r="G82"/>
  <c r="G83"/>
  <c r="G84"/>
  <c r="G85"/>
  <c r="G86"/>
  <c r="G87"/>
  <c r="G88"/>
  <c r="G89"/>
  <c r="G90"/>
  <c r="G66"/>
  <c r="E67"/>
  <c r="E68"/>
  <c r="E69"/>
  <c r="E70"/>
  <c r="E71"/>
  <c r="E72"/>
  <c r="E73"/>
  <c r="E74"/>
  <c r="E75"/>
  <c r="E76"/>
  <c r="E77"/>
  <c r="E78"/>
  <c r="E79"/>
  <c r="E80"/>
  <c r="E81"/>
  <c r="E82"/>
  <c r="E83"/>
  <c r="E84"/>
  <c r="E85"/>
  <c r="E86"/>
  <c r="E87"/>
  <c r="E88"/>
  <c r="E89"/>
  <c r="E90"/>
  <c r="E91"/>
  <c r="E66"/>
  <c r="C83"/>
  <c r="C85"/>
  <c r="C87"/>
  <c r="C89"/>
  <c r="C72"/>
  <c r="C74"/>
  <c r="C76"/>
  <c r="C78"/>
  <c r="C69"/>
  <c r="C70"/>
  <c r="C68"/>
  <c r="C60"/>
  <c r="C91" s="1"/>
  <c r="C50"/>
  <c r="C81" s="1"/>
  <c r="C51"/>
  <c r="C82" s="1"/>
  <c r="C52"/>
  <c r="C53"/>
  <c r="C84" s="1"/>
  <c r="C54"/>
  <c r="C55"/>
  <c r="C86" s="1"/>
  <c r="C56"/>
  <c r="C57"/>
  <c r="C88" s="1"/>
  <c r="C58"/>
  <c r="C59"/>
  <c r="C90" s="1"/>
  <c r="C49"/>
  <c r="C80" s="1"/>
  <c r="C48"/>
  <c r="C79" s="1"/>
  <c r="C41"/>
  <c r="C42"/>
  <c r="C73" s="1"/>
  <c r="C43"/>
  <c r="C44"/>
  <c r="C75" s="1"/>
  <c r="C45"/>
  <c r="C46"/>
  <c r="C77" s="1"/>
  <c r="C47"/>
  <c r="C40"/>
  <c r="C71" s="1"/>
  <c r="E111" i="77" l="1"/>
  <c r="V25" i="31"/>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24"/>
  <c r="I47" i="33"/>
  <c r="G47"/>
  <c r="E47"/>
  <c r="N7" i="1"/>
  <c r="N6"/>
  <c r="C36" i="33" s="1"/>
  <c r="F19" i="6"/>
  <c r="C40" i="33" s="1"/>
  <c r="H111" i="77"/>
  <c r="I13" i="3"/>
  <c r="F20" i="6" s="1"/>
  <c r="Y6" i="1" l="1"/>
  <c r="C118" i="33"/>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B9"/>
  <c r="E10"/>
  <c r="E11"/>
  <c r="B10"/>
  <c r="E9"/>
  <c r="E8"/>
  <c r="E13"/>
  <c r="B7"/>
  <c r="B8"/>
  <c r="E7"/>
  <c r="E12"/>
  <c r="B13"/>
  <c r="B12"/>
  <c r="C76" i="9" l="1"/>
  <c r="I107" i="40" l="1"/>
  <c r="K6" i="4" l="1"/>
  <c r="B22" i="31" l="1"/>
  <c r="N56" i="9" l="1"/>
  <c r="M56"/>
  <c r="K56"/>
  <c r="E15" i="74" l="1"/>
  <c r="F15"/>
  <c r="E16"/>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F3" i="73"/>
  <c r="F6"/>
  <c r="D5"/>
  <c r="F4"/>
  <c r="F5"/>
  <c r="I1" l="1"/>
  <c r="B39" i="1" s="1"/>
  <c r="D3" i="73"/>
  <c r="D6"/>
  <c r="D4"/>
  <c r="D7"/>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10" i="1"/>
  <c r="AO12"/>
  <c r="AO9"/>
  <c r="AO11"/>
  <c r="AO13"/>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G111" s="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s="1"/>
  <c r="BT108"/>
  <c r="BS108"/>
  <c r="BR108"/>
  <c r="BQ108"/>
  <c r="BP108"/>
  <c r="BO108"/>
  <c r="BN108"/>
  <c r="BM108"/>
  <c r="BL108" s="1"/>
  <c r="BK108"/>
  <c r="BJ108"/>
  <c r="BI108"/>
  <c r="BH108"/>
  <c r="BG108"/>
  <c r="BF108"/>
  <c r="BE108"/>
  <c r="BD108"/>
  <c r="BC108"/>
  <c r="BB108"/>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G105" s="1"/>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G100" s="1"/>
  <c r="BT99"/>
  <c r="BS99"/>
  <c r="BR99"/>
  <c r="BQ99"/>
  <c r="BP99"/>
  <c r="BO99"/>
  <c r="BN99"/>
  <c r="BM99"/>
  <c r="BL99" s="1"/>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c r="AX98"/>
  <c r="AW98"/>
  <c r="AV98"/>
  <c r="AC98"/>
  <c r="H98"/>
  <c r="BT97"/>
  <c r="BS97"/>
  <c r="BR97"/>
  <c r="BQ97"/>
  <c r="BP97"/>
  <c r="BO97"/>
  <c r="BN97"/>
  <c r="BM97"/>
  <c r="BL97"/>
  <c r="BK97"/>
  <c r="BJ97"/>
  <c r="BI97"/>
  <c r="BH97"/>
  <c r="BG97"/>
  <c r="BF97"/>
  <c r="BE97"/>
  <c r="BD97"/>
  <c r="BC97"/>
  <c r="BB97"/>
  <c r="BA97" s="1"/>
  <c r="AX97"/>
  <c r="AW97"/>
  <c r="AV97"/>
  <c r="AC97"/>
  <c r="H97"/>
  <c r="BT96"/>
  <c r="BS96"/>
  <c r="BR96"/>
  <c r="BQ96"/>
  <c r="BP96"/>
  <c r="BO96"/>
  <c r="BN96"/>
  <c r="BM96"/>
  <c r="BL96"/>
  <c r="BK96"/>
  <c r="BJ96"/>
  <c r="BI96"/>
  <c r="BH96"/>
  <c r="BG96"/>
  <c r="BF96"/>
  <c r="BE96"/>
  <c r="BD96"/>
  <c r="BC96"/>
  <c r="BB96"/>
  <c r="BA96" s="1"/>
  <c r="AZ96" s="1"/>
  <c r="AX96"/>
  <c r="AW96"/>
  <c r="AV96"/>
  <c r="AC96"/>
  <c r="H96"/>
  <c r="G96"/>
  <c r="BT95"/>
  <c r="BS95"/>
  <c r="BR95"/>
  <c r="BQ95"/>
  <c r="BP95"/>
  <c r="BO95"/>
  <c r="BN95"/>
  <c r="BM95"/>
  <c r="BL95" s="1"/>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AX94"/>
  <c r="AW94"/>
  <c r="AV94"/>
  <c r="AC94"/>
  <c r="H94"/>
  <c r="G94" s="1"/>
  <c r="BT93"/>
  <c r="BS93"/>
  <c r="BR93"/>
  <c r="BQ93"/>
  <c r="BP93"/>
  <c r="BO93"/>
  <c r="BN93"/>
  <c r="BM93"/>
  <c r="BL93" s="1"/>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G89" s="1"/>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G87" s="1"/>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G85" s="1"/>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G81" s="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G78" s="1"/>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G76" s="1"/>
  <c r="BT75"/>
  <c r="BS75"/>
  <c r="BR75"/>
  <c r="BQ75"/>
  <c r="BP75"/>
  <c r="BO75"/>
  <c r="BN75"/>
  <c r="BM75"/>
  <c r="BL75" s="1"/>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G74" s="1"/>
  <c r="BT73"/>
  <c r="BS73"/>
  <c r="BR73"/>
  <c r="BQ73"/>
  <c r="BP73"/>
  <c r="BO73"/>
  <c r="BN73"/>
  <c r="BM73"/>
  <c r="BL73" s="1"/>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c r="AX72"/>
  <c r="AW72"/>
  <c r="AV72"/>
  <c r="AC72"/>
  <c r="H72"/>
  <c r="G72"/>
  <c r="BT71"/>
  <c r="BS71"/>
  <c r="BR71"/>
  <c r="BQ71"/>
  <c r="BP71"/>
  <c r="BO71"/>
  <c r="BN71"/>
  <c r="BM71"/>
  <c r="BL71" s="1"/>
  <c r="BK71"/>
  <c r="BJ71"/>
  <c r="BI71"/>
  <c r="BH71"/>
  <c r="BG71"/>
  <c r="BF71"/>
  <c r="BE71"/>
  <c r="BD71"/>
  <c r="BC71"/>
  <c r="BB71"/>
  <c r="BA71" s="1"/>
  <c r="AX71"/>
  <c r="AW71"/>
  <c r="AV71"/>
  <c r="AC71"/>
  <c r="H71"/>
  <c r="G71" s="1"/>
  <c r="BT70"/>
  <c r="BS70"/>
  <c r="BR70"/>
  <c r="BQ70"/>
  <c r="BP70"/>
  <c r="BO70"/>
  <c r="BN70"/>
  <c r="BM70"/>
  <c r="BK70"/>
  <c r="BJ70"/>
  <c r="BI70"/>
  <c r="BH70"/>
  <c r="BG70"/>
  <c r="BF70"/>
  <c r="BE70"/>
  <c r="BD70"/>
  <c r="BC70"/>
  <c r="BB70"/>
  <c r="BA70"/>
  <c r="AX70"/>
  <c r="AW70"/>
  <c r="AV70"/>
  <c r="AC70"/>
  <c r="H70"/>
  <c r="BT69"/>
  <c r="BS69"/>
  <c r="BR69"/>
  <c r="BQ69"/>
  <c r="BP69"/>
  <c r="BO69"/>
  <c r="BN69"/>
  <c r="BM69"/>
  <c r="BL69"/>
  <c r="BK69"/>
  <c r="BJ69"/>
  <c r="BI69"/>
  <c r="BH69"/>
  <c r="BG69"/>
  <c r="BF69"/>
  <c r="BE69"/>
  <c r="BD69"/>
  <c r="BC69"/>
  <c r="BB69"/>
  <c r="BA69" s="1"/>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G67" s="1"/>
  <c r="BT66"/>
  <c r="BS66"/>
  <c r="BR66"/>
  <c r="BQ66"/>
  <c r="BP66"/>
  <c r="BO66"/>
  <c r="BN66"/>
  <c r="BM66"/>
  <c r="BK66"/>
  <c r="BJ66"/>
  <c r="BI66"/>
  <c r="BH66"/>
  <c r="BG66"/>
  <c r="BF66"/>
  <c r="BE66"/>
  <c r="BD66"/>
  <c r="BC66"/>
  <c r="BB66"/>
  <c r="BA66"/>
  <c r="AX66"/>
  <c r="AW66"/>
  <c r="AV66"/>
  <c r="AC66"/>
  <c r="H66"/>
  <c r="G66"/>
  <c r="BT65"/>
  <c r="BS65"/>
  <c r="BR65"/>
  <c r="BQ65"/>
  <c r="BP65"/>
  <c r="BO65"/>
  <c r="BN65"/>
  <c r="BM65"/>
  <c r="BL65" s="1"/>
  <c r="BK65"/>
  <c r="BJ65"/>
  <c r="BI65"/>
  <c r="BH65"/>
  <c r="BG65"/>
  <c r="BF65"/>
  <c r="BE65"/>
  <c r="BD65"/>
  <c r="BC65"/>
  <c r="BB65"/>
  <c r="BA65" s="1"/>
  <c r="AZ65" s="1"/>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G62" s="1"/>
  <c r="BT61"/>
  <c r="BS61"/>
  <c r="BR61"/>
  <c r="BQ61"/>
  <c r="BP61"/>
  <c r="BO61"/>
  <c r="BN61"/>
  <c r="BM61"/>
  <c r="BL61" s="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G51" s="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G49" s="1"/>
  <c r="BT48"/>
  <c r="BS48"/>
  <c r="BR48"/>
  <c r="BQ48"/>
  <c r="BP48"/>
  <c r="BO48"/>
  <c r="BN48"/>
  <c r="BM48"/>
  <c r="BL48" s="1"/>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c r="AX47"/>
  <c r="AW47"/>
  <c r="AV47"/>
  <c r="AC47"/>
  <c r="H47"/>
  <c r="G47"/>
  <c r="BT46"/>
  <c r="BS46"/>
  <c r="BR46"/>
  <c r="BQ46"/>
  <c r="BP46"/>
  <c r="BO46"/>
  <c r="BN46"/>
  <c r="BM46"/>
  <c r="BL46" s="1"/>
  <c r="BK46"/>
  <c r="BJ46"/>
  <c r="BI46"/>
  <c r="BH46"/>
  <c r="BG46"/>
  <c r="BF46"/>
  <c r="BE46"/>
  <c r="BD46"/>
  <c r="BC46"/>
  <c r="BB46"/>
  <c r="BA46" s="1"/>
  <c r="AZ46" s="1"/>
  <c r="AX46"/>
  <c r="AW46"/>
  <c r="AV46"/>
  <c r="AC46"/>
  <c r="H46"/>
  <c r="G46" s="1"/>
  <c r="BT45"/>
  <c r="BS45"/>
  <c r="BR45"/>
  <c r="BQ45"/>
  <c r="BP45"/>
  <c r="BO45"/>
  <c r="BN45"/>
  <c r="BM45"/>
  <c r="BL45" s="1"/>
  <c r="BK45"/>
  <c r="BJ45"/>
  <c r="BI45"/>
  <c r="BH45"/>
  <c r="BG45"/>
  <c r="BF45"/>
  <c r="BE45"/>
  <c r="BD45"/>
  <c r="BC45"/>
  <c r="BB45"/>
  <c r="AX45"/>
  <c r="AW45"/>
  <c r="AV45"/>
  <c r="AC45"/>
  <c r="H45"/>
  <c r="G45" s="1"/>
  <c r="BT44"/>
  <c r="BS44"/>
  <c r="BR44"/>
  <c r="BQ44"/>
  <c r="BP44"/>
  <c r="BO44"/>
  <c r="BN44"/>
  <c r="BM44"/>
  <c r="BL44" s="1"/>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c r="AX43"/>
  <c r="AW43"/>
  <c r="AV43"/>
  <c r="AC43"/>
  <c r="H43"/>
  <c r="G43"/>
  <c r="BT42"/>
  <c r="BS42"/>
  <c r="BR42"/>
  <c r="BQ42"/>
  <c r="BP42"/>
  <c r="BO42"/>
  <c r="BN42"/>
  <c r="BM42"/>
  <c r="BL42" s="1"/>
  <c r="BK42"/>
  <c r="BJ42"/>
  <c r="BI42"/>
  <c r="BH42"/>
  <c r="BG42"/>
  <c r="BF42"/>
  <c r="BE42"/>
  <c r="BD42"/>
  <c r="BC42"/>
  <c r="BB42"/>
  <c r="BA42" s="1"/>
  <c r="AX42"/>
  <c r="AW42"/>
  <c r="AV42"/>
  <c r="AC42"/>
  <c r="H42"/>
  <c r="G42" s="1"/>
  <c r="BT41"/>
  <c r="BS41"/>
  <c r="BR41"/>
  <c r="BQ41"/>
  <c r="BP41"/>
  <c r="BO41"/>
  <c r="BN41"/>
  <c r="BM41"/>
  <c r="BK41"/>
  <c r="BJ41"/>
  <c r="BI41"/>
  <c r="BH41"/>
  <c r="BG41"/>
  <c r="BF41"/>
  <c r="BE41"/>
  <c r="BD41"/>
  <c r="BC41"/>
  <c r="BB41"/>
  <c r="BA41"/>
  <c r="AX41"/>
  <c r="AW41"/>
  <c r="AV41"/>
  <c r="AC41"/>
  <c r="H41"/>
  <c r="BT40"/>
  <c r="BS40"/>
  <c r="BR40"/>
  <c r="BQ40"/>
  <c r="BP40"/>
  <c r="BO40"/>
  <c r="BN40"/>
  <c r="BM40"/>
  <c r="BL40"/>
  <c r="BK40"/>
  <c r="BJ40"/>
  <c r="BI40"/>
  <c r="BH40"/>
  <c r="BG40"/>
  <c r="BF40"/>
  <c r="BE40"/>
  <c r="BD40"/>
  <c r="BC40"/>
  <c r="BB40"/>
  <c r="BA40" s="1"/>
  <c r="AZ40" s="1"/>
  <c r="AX40"/>
  <c r="AW40"/>
  <c r="AV40"/>
  <c r="AC40"/>
  <c r="H40"/>
  <c r="G40"/>
  <c r="BT39"/>
  <c r="BS39"/>
  <c r="BR39"/>
  <c r="BQ39"/>
  <c r="BP39"/>
  <c r="BO39"/>
  <c r="BN39"/>
  <c r="BM39"/>
  <c r="BL39" s="1"/>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BA38"/>
  <c r="AX38"/>
  <c r="AW38"/>
  <c r="AV38"/>
  <c r="AC38"/>
  <c r="H38"/>
  <c r="BT37"/>
  <c r="BS37"/>
  <c r="BR37"/>
  <c r="BQ37"/>
  <c r="BP37"/>
  <c r="BO37"/>
  <c r="BN37"/>
  <c r="BM37"/>
  <c r="BL37"/>
  <c r="BK37"/>
  <c r="BJ37"/>
  <c r="BI37"/>
  <c r="BH37"/>
  <c r="BG37"/>
  <c r="BF37"/>
  <c r="BE37"/>
  <c r="BD37"/>
  <c r="BC37"/>
  <c r="BB37"/>
  <c r="BA37" s="1"/>
  <c r="AX37"/>
  <c r="AW37"/>
  <c r="AV37"/>
  <c r="AC37"/>
  <c r="H37"/>
  <c r="BT36"/>
  <c r="BS36"/>
  <c r="BR36"/>
  <c r="BQ36"/>
  <c r="BP36"/>
  <c r="BO36"/>
  <c r="BN36"/>
  <c r="BM36"/>
  <c r="BL36"/>
  <c r="BK36"/>
  <c r="BJ36"/>
  <c r="BI36"/>
  <c r="BH36"/>
  <c r="BG36"/>
  <c r="BF36"/>
  <c r="BE36"/>
  <c r="BD36"/>
  <c r="BC36"/>
  <c r="BB36"/>
  <c r="BA36" s="1"/>
  <c r="AZ36" s="1"/>
  <c r="AX36"/>
  <c r="AW36"/>
  <c r="AV36"/>
  <c r="AC36"/>
  <c r="H36"/>
  <c r="G36" s="1"/>
  <c r="BT35"/>
  <c r="BS35"/>
  <c r="BR35"/>
  <c r="BQ35"/>
  <c r="BP35"/>
  <c r="BO35"/>
  <c r="BN35"/>
  <c r="BM35"/>
  <c r="BK35"/>
  <c r="BJ35"/>
  <c r="BI35"/>
  <c r="BH35"/>
  <c r="BG35"/>
  <c r="BF35"/>
  <c r="BE35"/>
  <c r="BD35"/>
  <c r="BC35"/>
  <c r="BB35"/>
  <c r="BA35"/>
  <c r="AX35"/>
  <c r="AW35"/>
  <c r="AV35"/>
  <c r="AC35"/>
  <c r="H35"/>
  <c r="BT34"/>
  <c r="BS34"/>
  <c r="BR34"/>
  <c r="BQ34"/>
  <c r="BP34"/>
  <c r="BO34"/>
  <c r="BN34"/>
  <c r="BM34"/>
  <c r="BL34"/>
  <c r="BK34"/>
  <c r="BJ34"/>
  <c r="BI34"/>
  <c r="BH34"/>
  <c r="BG34"/>
  <c r="BF34"/>
  <c r="BE34"/>
  <c r="BD34"/>
  <c r="BC34"/>
  <c r="BB34"/>
  <c r="BA34" s="1"/>
  <c r="AZ34" s="1"/>
  <c r="AX34"/>
  <c r="AW34"/>
  <c r="AV34"/>
  <c r="AC34"/>
  <c r="H34"/>
  <c r="G34" s="1"/>
  <c r="BT33"/>
  <c r="BS33"/>
  <c r="BR33"/>
  <c r="BQ33"/>
  <c r="BP33"/>
  <c r="BO33"/>
  <c r="BN33"/>
  <c r="BM33"/>
  <c r="BK33"/>
  <c r="BJ33"/>
  <c r="BI33"/>
  <c r="BH33"/>
  <c r="BG33"/>
  <c r="BF33"/>
  <c r="BE33"/>
  <c r="BD33"/>
  <c r="BC33"/>
  <c r="BB33"/>
  <c r="BA33"/>
  <c r="AX33"/>
  <c r="AW33"/>
  <c r="AV33"/>
  <c r="AC33"/>
  <c r="H33"/>
  <c r="G33"/>
  <c r="BT32"/>
  <c r="BS32"/>
  <c r="BR32"/>
  <c r="BQ32"/>
  <c r="BP32"/>
  <c r="BO32"/>
  <c r="BN32"/>
  <c r="BM32"/>
  <c r="BL32" s="1"/>
  <c r="BK32"/>
  <c r="BJ32"/>
  <c r="BI32"/>
  <c r="BH32"/>
  <c r="BG32"/>
  <c r="BF32"/>
  <c r="BE32"/>
  <c r="BD32"/>
  <c r="BC32"/>
  <c r="BB32"/>
  <c r="BA32" s="1"/>
  <c r="AX32"/>
  <c r="AW32"/>
  <c r="AV32"/>
  <c r="AC32"/>
  <c r="H32"/>
  <c r="G32" s="1"/>
  <c r="BT31"/>
  <c r="BS31"/>
  <c r="BR31"/>
  <c r="BQ31"/>
  <c r="BP31"/>
  <c r="BO31"/>
  <c r="BN31"/>
  <c r="BM31"/>
  <c r="BK31"/>
  <c r="BJ31"/>
  <c r="BI31"/>
  <c r="BH31"/>
  <c r="BG31"/>
  <c r="BF31"/>
  <c r="BE31"/>
  <c r="BD31"/>
  <c r="BC31"/>
  <c r="BB31"/>
  <c r="BA31"/>
  <c r="AX31"/>
  <c r="AW31"/>
  <c r="AV31"/>
  <c r="AC31"/>
  <c r="H31"/>
  <c r="G31"/>
  <c r="BT30"/>
  <c r="BS30"/>
  <c r="BR30"/>
  <c r="BQ30"/>
  <c r="BP30"/>
  <c r="BO30"/>
  <c r="BN30"/>
  <c r="BM30"/>
  <c r="BL30" s="1"/>
  <c r="BK30"/>
  <c r="BJ30"/>
  <c r="BI30"/>
  <c r="BH30"/>
  <c r="BG30"/>
  <c r="BF30"/>
  <c r="BE30"/>
  <c r="BD30"/>
  <c r="BC30"/>
  <c r="BB30"/>
  <c r="BA30" s="1"/>
  <c r="AZ30" s="1"/>
  <c r="AX30"/>
  <c r="AW30"/>
  <c r="AV30"/>
  <c r="AC30"/>
  <c r="H30"/>
  <c r="G30" s="1"/>
  <c r="BT29"/>
  <c r="BS29"/>
  <c r="BR29"/>
  <c r="BQ29"/>
  <c r="BP29"/>
  <c r="BO29"/>
  <c r="BN29"/>
  <c r="BM29"/>
  <c r="BL29" s="1"/>
  <c r="BK29"/>
  <c r="BJ29"/>
  <c r="BI29"/>
  <c r="BH29"/>
  <c r="BG29"/>
  <c r="BF29"/>
  <c r="BE29"/>
  <c r="BD29"/>
  <c r="BC29"/>
  <c r="BB29"/>
  <c r="AX29"/>
  <c r="AW29"/>
  <c r="AV29"/>
  <c r="AC29"/>
  <c r="H29"/>
  <c r="G29" s="1"/>
  <c r="BT28"/>
  <c r="BS28"/>
  <c r="BR28"/>
  <c r="BQ28"/>
  <c r="BP28"/>
  <c r="BO28"/>
  <c r="BN28"/>
  <c r="BM28"/>
  <c r="BL28" s="1"/>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G27" s="1"/>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G24" s="1"/>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G19" s="1"/>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c r="AX207"/>
  <c r="AW207"/>
  <c r="AV207"/>
  <c r="AC207"/>
  <c r="H207"/>
  <c r="BT206"/>
  <c r="BS206"/>
  <c r="BR206"/>
  <c r="BQ206"/>
  <c r="BP206"/>
  <c r="BO206"/>
  <c r="BN206"/>
  <c r="BM206"/>
  <c r="BL206"/>
  <c r="BK206"/>
  <c r="BJ206"/>
  <c r="BI206"/>
  <c r="BH206"/>
  <c r="BG206"/>
  <c r="BF206"/>
  <c r="BE206"/>
  <c r="BD206"/>
  <c r="BC206"/>
  <c r="BB206"/>
  <c r="BA206" s="1"/>
  <c r="AX206"/>
  <c r="AW206"/>
  <c r="AV206"/>
  <c r="AC206"/>
  <c r="H206"/>
  <c r="BT205"/>
  <c r="BS205"/>
  <c r="BR205"/>
  <c r="BQ205"/>
  <c r="BP205"/>
  <c r="BO205"/>
  <c r="BN205"/>
  <c r="BM205"/>
  <c r="BL205"/>
  <c r="BK205"/>
  <c r="BJ205"/>
  <c r="BI205"/>
  <c r="BH205"/>
  <c r="BG205"/>
  <c r="BF205"/>
  <c r="BE205"/>
  <c r="BD205"/>
  <c r="BC205"/>
  <c r="BB205"/>
  <c r="BA205" s="1"/>
  <c r="AZ205" s="1"/>
  <c r="AX205"/>
  <c r="AW205"/>
  <c r="AV205"/>
  <c r="AC205"/>
  <c r="H205"/>
  <c r="G205"/>
  <c r="BT204"/>
  <c r="BS204"/>
  <c r="BR204"/>
  <c r="BQ204"/>
  <c r="BP204"/>
  <c r="BO204"/>
  <c r="BN204"/>
  <c r="BM204"/>
  <c r="BK204"/>
  <c r="BJ204"/>
  <c r="BI204"/>
  <c r="BH204"/>
  <c r="BG204"/>
  <c r="BF204"/>
  <c r="BE204"/>
  <c r="BD204"/>
  <c r="BC204"/>
  <c r="BB204"/>
  <c r="BA204" s="1"/>
  <c r="AX204"/>
  <c r="AW204"/>
  <c r="AV204"/>
  <c r="AC204"/>
  <c r="H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BA202" s="1"/>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s="1"/>
  <c r="AX200"/>
  <c r="AW200"/>
  <c r="AV200"/>
  <c r="AC200"/>
  <c r="H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s="1"/>
  <c r="BK198"/>
  <c r="BJ198"/>
  <c r="BI198"/>
  <c r="BH198"/>
  <c r="BG198"/>
  <c r="BF198"/>
  <c r="BE198"/>
  <c r="BD198"/>
  <c r="BC198"/>
  <c r="BB198"/>
  <c r="BA198" s="1"/>
  <c r="AX198"/>
  <c r="AW198"/>
  <c r="AV198"/>
  <c r="AC198"/>
  <c r="H198"/>
  <c r="G198" s="1"/>
  <c r="BT197"/>
  <c r="BS197"/>
  <c r="BR197"/>
  <c r="BQ197"/>
  <c r="BP197"/>
  <c r="BO197"/>
  <c r="BN197"/>
  <c r="BM197"/>
  <c r="BK197"/>
  <c r="BJ197"/>
  <c r="BI197"/>
  <c r="BH197"/>
  <c r="BG197"/>
  <c r="BF197"/>
  <c r="BE197"/>
  <c r="BD197"/>
  <c r="BC197"/>
  <c r="BB197"/>
  <c r="BA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c r="AX194"/>
  <c r="AW194"/>
  <c r="AV194"/>
  <c r="AC194"/>
  <c r="H194"/>
  <c r="G194"/>
  <c r="BT193"/>
  <c r="BS193"/>
  <c r="BR193"/>
  <c r="BQ193"/>
  <c r="BP193"/>
  <c r="BO193"/>
  <c r="BN193"/>
  <c r="BM193"/>
  <c r="BL193" s="1"/>
  <c r="BK193"/>
  <c r="BJ193"/>
  <c r="BI193"/>
  <c r="BH193"/>
  <c r="BG193"/>
  <c r="BF193"/>
  <c r="BE193"/>
  <c r="BD193"/>
  <c r="BC193"/>
  <c r="BB193"/>
  <c r="BA193" s="1"/>
  <c r="AZ193" s="1"/>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G182" s="1"/>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G174" s="1"/>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G166" s="1"/>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G158" s="1"/>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G150" s="1"/>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G144" s="1"/>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G140" s="1"/>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G136" s="1"/>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G120" s="1"/>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G300" s="1"/>
  <c r="BT299"/>
  <c r="BS299"/>
  <c r="BR299"/>
  <c r="BQ299"/>
  <c r="BP299"/>
  <c r="BO299"/>
  <c r="BN299"/>
  <c r="BM299"/>
  <c r="BL299" s="1"/>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G293" s="1"/>
  <c r="BT292"/>
  <c r="BS292"/>
  <c r="BR292"/>
  <c r="BQ292"/>
  <c r="BP292"/>
  <c r="BO292"/>
  <c r="BN292"/>
  <c r="BM292"/>
  <c r="BL292" s="1"/>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G290" s="1"/>
  <c r="BT289"/>
  <c r="BS289"/>
  <c r="BR289"/>
  <c r="BQ289"/>
  <c r="BP289"/>
  <c r="BO289"/>
  <c r="BN289"/>
  <c r="BM289"/>
  <c r="BL289" s="1"/>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G287" s="1"/>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G284" s="1"/>
  <c r="BT283"/>
  <c r="BS283"/>
  <c r="BR283"/>
  <c r="BQ283"/>
  <c r="BP283"/>
  <c r="BO283"/>
  <c r="BN283"/>
  <c r="BM283"/>
  <c r="BL283" s="1"/>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G277" s="1"/>
  <c r="BT276"/>
  <c r="BS276"/>
  <c r="BR276"/>
  <c r="BQ276"/>
  <c r="BP276"/>
  <c r="BO276"/>
  <c r="BN276"/>
  <c r="BM276"/>
  <c r="BL276" s="1"/>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G274" s="1"/>
  <c r="BT273"/>
  <c r="BS273"/>
  <c r="BR273"/>
  <c r="BQ273"/>
  <c r="BP273"/>
  <c r="BO273"/>
  <c r="BN273"/>
  <c r="BM273"/>
  <c r="BL273" s="1"/>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G270" s="1"/>
  <c r="BT269"/>
  <c r="BS269"/>
  <c r="BR269"/>
  <c r="BQ269"/>
  <c r="BP269"/>
  <c r="BO269"/>
  <c r="BN269"/>
  <c r="BM269"/>
  <c r="BL269" s="1"/>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G263" s="1"/>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G259" s="1"/>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G254" s="1"/>
  <c r="BT253"/>
  <c r="BS253"/>
  <c r="BR253"/>
  <c r="BQ253"/>
  <c r="BP253"/>
  <c r="BO253"/>
  <c r="BN253"/>
  <c r="BM253"/>
  <c r="BL253" s="1"/>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G252" s="1"/>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G250" s="1"/>
  <c r="BT249"/>
  <c r="BS249"/>
  <c r="BR249"/>
  <c r="BQ249"/>
  <c r="BP249"/>
  <c r="BO249"/>
  <c r="BN249"/>
  <c r="BM249"/>
  <c r="BL249" s="1"/>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c r="AX246"/>
  <c r="AW246"/>
  <c r="AV246"/>
  <c r="AC246"/>
  <c r="H246"/>
  <c r="BT245"/>
  <c r="BS245"/>
  <c r="BR245"/>
  <c r="BQ245"/>
  <c r="BP245"/>
  <c r="BO245"/>
  <c r="BN245"/>
  <c r="BM245"/>
  <c r="BL245"/>
  <c r="BK245"/>
  <c r="BJ245"/>
  <c r="BI245"/>
  <c r="BH245"/>
  <c r="BG245"/>
  <c r="BF245"/>
  <c r="BE245"/>
  <c r="BD245"/>
  <c r="BC245"/>
  <c r="BB245"/>
  <c r="BA245" s="1"/>
  <c r="AX245"/>
  <c r="AW245"/>
  <c r="AV245"/>
  <c r="AC245"/>
  <c r="H245"/>
  <c r="BT244"/>
  <c r="BS244"/>
  <c r="BR244"/>
  <c r="BQ244"/>
  <c r="BP244"/>
  <c r="BO244"/>
  <c r="BN244"/>
  <c r="BM244"/>
  <c r="BL244"/>
  <c r="BK244"/>
  <c r="BJ244"/>
  <c r="BI244"/>
  <c r="BH244"/>
  <c r="BG244"/>
  <c r="BF244"/>
  <c r="BE244"/>
  <c r="BD244"/>
  <c r="BC244"/>
  <c r="BB244"/>
  <c r="BA244" s="1"/>
  <c r="AZ244" s="1"/>
  <c r="AX244"/>
  <c r="AW244"/>
  <c r="AV244"/>
  <c r="AC244"/>
  <c r="H244"/>
  <c r="G244"/>
  <c r="BT243"/>
  <c r="BS243"/>
  <c r="BR243"/>
  <c r="BQ243"/>
  <c r="BP243"/>
  <c r="BO243"/>
  <c r="BN243"/>
  <c r="BM243"/>
  <c r="BL243" s="1"/>
  <c r="BK243"/>
  <c r="BJ243"/>
  <c r="BI243"/>
  <c r="BH243"/>
  <c r="BG243"/>
  <c r="BF243"/>
  <c r="BE243"/>
  <c r="BD243"/>
  <c r="BC243"/>
  <c r="BB243"/>
  <c r="BA243" s="1"/>
  <c r="AX243"/>
  <c r="AW243"/>
  <c r="AV243"/>
  <c r="AC243"/>
  <c r="H243"/>
  <c r="G243" s="1"/>
  <c r="BT242"/>
  <c r="BS242"/>
  <c r="BR242"/>
  <c r="BQ242"/>
  <c r="BP242"/>
  <c r="BO242"/>
  <c r="BN242"/>
  <c r="BM242"/>
  <c r="BK242"/>
  <c r="BJ242"/>
  <c r="BI242"/>
  <c r="BH242"/>
  <c r="BG242"/>
  <c r="BF242"/>
  <c r="BE242"/>
  <c r="BD242"/>
  <c r="BC242"/>
  <c r="BB242"/>
  <c r="BA242"/>
  <c r="AX242"/>
  <c r="AW242"/>
  <c r="AV242"/>
  <c r="AC242"/>
  <c r="H242"/>
  <c r="BT241"/>
  <c r="BS241"/>
  <c r="BR241"/>
  <c r="BQ241"/>
  <c r="BP241"/>
  <c r="BO241"/>
  <c r="BN241"/>
  <c r="BM241"/>
  <c r="BL241"/>
  <c r="BK241"/>
  <c r="BJ241"/>
  <c r="BI241"/>
  <c r="BH241"/>
  <c r="BG241"/>
  <c r="BF241"/>
  <c r="BE241"/>
  <c r="BD241"/>
  <c r="BC241"/>
  <c r="BB241"/>
  <c r="BA241" s="1"/>
  <c r="AX241"/>
  <c r="AW241"/>
  <c r="AV241"/>
  <c r="AC241"/>
  <c r="H241"/>
  <c r="BT240"/>
  <c r="BS240"/>
  <c r="BR240"/>
  <c r="BQ240"/>
  <c r="BP240"/>
  <c r="BO240"/>
  <c r="BN240"/>
  <c r="BM240"/>
  <c r="BL240"/>
  <c r="BK240"/>
  <c r="BJ240"/>
  <c r="BI240"/>
  <c r="BH240"/>
  <c r="BG240"/>
  <c r="BF240"/>
  <c r="BE240"/>
  <c r="BD240"/>
  <c r="BC240"/>
  <c r="BB240"/>
  <c r="BA240" s="1"/>
  <c r="AX240"/>
  <c r="AW240"/>
  <c r="AV240"/>
  <c r="AC240"/>
  <c r="H240"/>
  <c r="BT239"/>
  <c r="BS239"/>
  <c r="BR239"/>
  <c r="BQ239"/>
  <c r="BP239"/>
  <c r="BO239"/>
  <c r="BN239"/>
  <c r="BM239"/>
  <c r="BL239"/>
  <c r="BK239"/>
  <c r="BJ239"/>
  <c r="BI239"/>
  <c r="BH239"/>
  <c r="BG239"/>
  <c r="BF239"/>
  <c r="BE239"/>
  <c r="BD239"/>
  <c r="BC239"/>
  <c r="BB239"/>
  <c r="BA239" s="1"/>
  <c r="AZ239" s="1"/>
  <c r="AX239"/>
  <c r="AW239"/>
  <c r="AV239"/>
  <c r="AC239"/>
  <c r="H239"/>
  <c r="G239"/>
  <c r="BT238"/>
  <c r="BS238"/>
  <c r="BR238"/>
  <c r="BQ238"/>
  <c r="BP238"/>
  <c r="BO238"/>
  <c r="BN238"/>
  <c r="BM238"/>
  <c r="BL238" s="1"/>
  <c r="BK238"/>
  <c r="BJ238"/>
  <c r="BI238"/>
  <c r="BH238"/>
  <c r="BG238"/>
  <c r="BF238"/>
  <c r="BE238"/>
  <c r="BD238"/>
  <c r="BC238"/>
  <c r="BB238"/>
  <c r="BA238" s="1"/>
  <c r="AX238"/>
  <c r="AW238"/>
  <c r="AV238"/>
  <c r="AC238"/>
  <c r="H238"/>
  <c r="G238" s="1"/>
  <c r="BT237"/>
  <c r="BS237"/>
  <c r="BR237"/>
  <c r="BQ237"/>
  <c r="BP237"/>
  <c r="BO237"/>
  <c r="BN237"/>
  <c r="BM237"/>
  <c r="BL237" s="1"/>
  <c r="BK237"/>
  <c r="BJ237"/>
  <c r="BI237"/>
  <c r="BH237"/>
  <c r="BG237"/>
  <c r="BF237"/>
  <c r="BE237"/>
  <c r="BD237"/>
  <c r="BC237"/>
  <c r="BB237"/>
  <c r="AX237"/>
  <c r="AW237"/>
  <c r="AV237"/>
  <c r="AC237"/>
  <c r="H237"/>
  <c r="G237" s="1"/>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c r="AX235"/>
  <c r="AW235"/>
  <c r="AV235"/>
  <c r="AC235"/>
  <c r="H235"/>
  <c r="G235"/>
  <c r="BT234"/>
  <c r="BS234"/>
  <c r="BR234"/>
  <c r="BQ234"/>
  <c r="BP234"/>
  <c r="BO234"/>
  <c r="BN234"/>
  <c r="BM234"/>
  <c r="BL234" s="1"/>
  <c r="BK234"/>
  <c r="BJ234"/>
  <c r="BI234"/>
  <c r="BH234"/>
  <c r="BG234"/>
  <c r="BF234"/>
  <c r="BE234"/>
  <c r="BD234"/>
  <c r="BC234"/>
  <c r="BB234"/>
  <c r="BA234" s="1"/>
  <c r="AX234"/>
  <c r="AW234"/>
  <c r="AV234"/>
  <c r="AC234"/>
  <c r="H234"/>
  <c r="G234" s="1"/>
  <c r="BT233"/>
  <c r="BS233"/>
  <c r="BR233"/>
  <c r="BQ233"/>
  <c r="BP233"/>
  <c r="BO233"/>
  <c r="BN233"/>
  <c r="BM233"/>
  <c r="BL233" s="1"/>
  <c r="BK233"/>
  <c r="BJ233"/>
  <c r="BI233"/>
  <c r="BH233"/>
  <c r="BG233"/>
  <c r="BF233"/>
  <c r="BE233"/>
  <c r="BD233"/>
  <c r="BC233"/>
  <c r="BB233"/>
  <c r="AX233"/>
  <c r="AW233"/>
  <c r="AV233"/>
  <c r="AC233"/>
  <c r="H233"/>
  <c r="G233" s="1"/>
  <c r="BT232"/>
  <c r="BS232"/>
  <c r="BR232"/>
  <c r="BQ232"/>
  <c r="BP232"/>
  <c r="BO232"/>
  <c r="BN232"/>
  <c r="BM232"/>
  <c r="BL232" s="1"/>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G224" s="1"/>
  <c r="BT223"/>
  <c r="BS223"/>
  <c r="BR223"/>
  <c r="BQ223"/>
  <c r="BP223"/>
  <c r="BO223"/>
  <c r="BN223"/>
  <c r="BM223"/>
  <c r="BL223" s="1"/>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G222" s="1"/>
  <c r="BT221"/>
  <c r="BS221"/>
  <c r="BR221"/>
  <c r="BQ221"/>
  <c r="BP221"/>
  <c r="BO221"/>
  <c r="BN221"/>
  <c r="BM221"/>
  <c r="BL221" s="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c r="BT218"/>
  <c r="BS218"/>
  <c r="BR218"/>
  <c r="BQ218"/>
  <c r="BP218"/>
  <c r="BO218"/>
  <c r="BN218"/>
  <c r="BM218"/>
  <c r="BL218" s="1"/>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BA217"/>
  <c r="AX217"/>
  <c r="AW217"/>
  <c r="AV217"/>
  <c r="AC217"/>
  <c r="H217"/>
  <c r="BT216"/>
  <c r="BS216"/>
  <c r="BR216"/>
  <c r="BQ216"/>
  <c r="BP216"/>
  <c r="BO216"/>
  <c r="BN216"/>
  <c r="BM216"/>
  <c r="BL216"/>
  <c r="BK216"/>
  <c r="BJ216"/>
  <c r="BI216"/>
  <c r="BH216"/>
  <c r="BG216"/>
  <c r="BF216"/>
  <c r="BE216"/>
  <c r="BD216"/>
  <c r="BC216"/>
  <c r="BB216"/>
  <c r="BA216" s="1"/>
  <c r="AZ216" s="1"/>
  <c r="AX216"/>
  <c r="AW216"/>
  <c r="AV216"/>
  <c r="AC216"/>
  <c r="H216"/>
  <c r="G216"/>
  <c r="BT215"/>
  <c r="BS215"/>
  <c r="BR215"/>
  <c r="BQ215"/>
  <c r="BP215"/>
  <c r="BO215"/>
  <c r="BN215"/>
  <c r="BM215"/>
  <c r="BL215" s="1"/>
  <c r="BK215"/>
  <c r="BJ215"/>
  <c r="BI215"/>
  <c r="BH215"/>
  <c r="BG215"/>
  <c r="BF215"/>
  <c r="BE215"/>
  <c r="BD215"/>
  <c r="BC215"/>
  <c r="BB215"/>
  <c r="BA215" s="1"/>
  <c r="AX215"/>
  <c r="AW215"/>
  <c r="AV215"/>
  <c r="AC215"/>
  <c r="H215"/>
  <c r="G215" s="1"/>
  <c r="BT214"/>
  <c r="BS214"/>
  <c r="BR214"/>
  <c r="BQ214"/>
  <c r="BP214"/>
  <c r="BO214"/>
  <c r="BN214"/>
  <c r="BM214"/>
  <c r="BK214"/>
  <c r="BJ214"/>
  <c r="BI214"/>
  <c r="BH214"/>
  <c r="BG214"/>
  <c r="BF214"/>
  <c r="BE214"/>
  <c r="BD214"/>
  <c r="BC214"/>
  <c r="BB214"/>
  <c r="BA214"/>
  <c r="AX214"/>
  <c r="AW214"/>
  <c r="AV214"/>
  <c r="AC214"/>
  <c r="H214"/>
  <c r="G214"/>
  <c r="BT213"/>
  <c r="BS213"/>
  <c r="BR213"/>
  <c r="BQ213"/>
  <c r="BP213"/>
  <c r="BO213"/>
  <c r="BN213"/>
  <c r="BM213"/>
  <c r="BL213" s="1"/>
  <c r="BK213"/>
  <c r="BJ213"/>
  <c r="BI213"/>
  <c r="BH213"/>
  <c r="BG213"/>
  <c r="BF213"/>
  <c r="BE213"/>
  <c r="BD213"/>
  <c r="BC213"/>
  <c r="BB213"/>
  <c r="BA213" s="1"/>
  <c r="AX213"/>
  <c r="AW213"/>
  <c r="AV213"/>
  <c r="AC213"/>
  <c r="H213"/>
  <c r="G213" s="1"/>
  <c r="BT212"/>
  <c r="BS212"/>
  <c r="BR212"/>
  <c r="BQ212"/>
  <c r="BP212"/>
  <c r="BO212"/>
  <c r="BN212"/>
  <c r="BM212"/>
  <c r="BL212" s="1"/>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G396" s="1"/>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G384" s="1"/>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L368" s="1"/>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BA366" s="1"/>
  <c r="AX366"/>
  <c r="AW366"/>
  <c r="AV366"/>
  <c r="AC366"/>
  <c r="H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s="1"/>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BA349" s="1"/>
  <c r="AX349"/>
  <c r="AW349"/>
  <c r="AV349"/>
  <c r="AC349"/>
  <c r="H349"/>
  <c r="BT348"/>
  <c r="BS348"/>
  <c r="BR348"/>
  <c r="BQ348"/>
  <c r="BP348"/>
  <c r="BO348"/>
  <c r="BN348"/>
  <c r="BM348"/>
  <c r="BL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G347" s="1"/>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s="1"/>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s="1"/>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G323" s="1"/>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c r="BK317"/>
  <c r="BJ317"/>
  <c r="BI317"/>
  <c r="BH317"/>
  <c r="BG317"/>
  <c r="BF317"/>
  <c r="BE317"/>
  <c r="BD317"/>
  <c r="BC317"/>
  <c r="BB317"/>
  <c r="BA317" s="1"/>
  <c r="AX317"/>
  <c r="AW317"/>
  <c r="AV317"/>
  <c r="AC317"/>
  <c r="H317"/>
  <c r="BT316"/>
  <c r="BS316"/>
  <c r="BR316"/>
  <c r="BQ316"/>
  <c r="BP316"/>
  <c r="BO316"/>
  <c r="BN316"/>
  <c r="BM316"/>
  <c r="BK316"/>
  <c r="BJ316"/>
  <c r="BI316"/>
  <c r="BH316"/>
  <c r="BG316"/>
  <c r="BF316"/>
  <c r="BE316"/>
  <c r="BD316"/>
  <c r="BC316"/>
  <c r="BB316"/>
  <c r="BA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G486" s="1"/>
  <c r="BT485"/>
  <c r="BS485"/>
  <c r="BR485"/>
  <c r="BQ485"/>
  <c r="BP485"/>
  <c r="BO485"/>
  <c r="BN485"/>
  <c r="BM485"/>
  <c r="BL485" s="1"/>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G484" s="1"/>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H469"/>
  <c r="G469"/>
  <c r="BT468"/>
  <c r="BS468"/>
  <c r="BR468"/>
  <c r="BQ468"/>
  <c r="BP468"/>
  <c r="BO468"/>
  <c r="BN468"/>
  <c r="BM468"/>
  <c r="BL468" s="1"/>
  <c r="BK468"/>
  <c r="BJ468"/>
  <c r="BI468"/>
  <c r="BH468"/>
  <c r="BG468"/>
  <c r="BF468"/>
  <c r="BE468"/>
  <c r="BD468"/>
  <c r="BC468"/>
  <c r="BB468"/>
  <c r="BA468" s="1"/>
  <c r="AZ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G453" s="1"/>
  <c r="BT452"/>
  <c r="BS452"/>
  <c r="BR452"/>
  <c r="BQ452"/>
  <c r="BP452"/>
  <c r="BO452"/>
  <c r="BN452"/>
  <c r="BM452"/>
  <c r="BL452" s="1"/>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M448"/>
  <c r="BL448"/>
  <c r="BK448"/>
  <c r="BJ448"/>
  <c r="BI448"/>
  <c r="BH448"/>
  <c r="BG448"/>
  <c r="BF448"/>
  <c r="BE448"/>
  <c r="BD448"/>
  <c r="BC448"/>
  <c r="BB448"/>
  <c r="BA448" s="1"/>
  <c r="AZ448" s="1"/>
  <c r="AX448"/>
  <c r="AW448"/>
  <c r="AV448"/>
  <c r="AC448"/>
  <c r="H448"/>
  <c r="BT447"/>
  <c r="BS447"/>
  <c r="BR447"/>
  <c r="BQ447"/>
  <c r="BP447"/>
  <c r="BO447"/>
  <c r="BN447"/>
  <c r="BM447"/>
  <c r="BL447"/>
  <c r="BK447"/>
  <c r="BJ447"/>
  <c r="BI447"/>
  <c r="BH447"/>
  <c r="BG447"/>
  <c r="BF447"/>
  <c r="BE447"/>
  <c r="BD447"/>
  <c r="BC447"/>
  <c r="BB447"/>
  <c r="BA447" s="1"/>
  <c r="AZ447" s="1"/>
  <c r="AX447"/>
  <c r="AW447"/>
  <c r="AV447"/>
  <c r="AC447"/>
  <c r="H447"/>
  <c r="G447"/>
  <c r="BT446"/>
  <c r="BS446"/>
  <c r="BR446"/>
  <c r="BQ446"/>
  <c r="BP446"/>
  <c r="BO446"/>
  <c r="BN446"/>
  <c r="BM446"/>
  <c r="BL446" s="1"/>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c r="BK444"/>
  <c r="BJ444"/>
  <c r="BI444"/>
  <c r="BH444"/>
  <c r="BG444"/>
  <c r="BF444"/>
  <c r="BE444"/>
  <c r="BD444"/>
  <c r="BC444"/>
  <c r="BB444"/>
  <c r="BA444" s="1"/>
  <c r="AZ444" s="1"/>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H442"/>
  <c r="G442"/>
  <c r="BT441"/>
  <c r="BS441"/>
  <c r="BR441"/>
  <c r="BQ441"/>
  <c r="BP441"/>
  <c r="BO441"/>
  <c r="BN441"/>
  <c r="BM441"/>
  <c r="BL441" s="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c r="AX438"/>
  <c r="AW438"/>
  <c r="AV438"/>
  <c r="AC438"/>
  <c r="H438"/>
  <c r="G438"/>
  <c r="BT437"/>
  <c r="BS437"/>
  <c r="BR437"/>
  <c r="BQ437"/>
  <c r="BP437"/>
  <c r="BO437"/>
  <c r="BN437"/>
  <c r="BM437"/>
  <c r="BL437" s="1"/>
  <c r="BK437"/>
  <c r="BJ437"/>
  <c r="BI437"/>
  <c r="BH437"/>
  <c r="BG437"/>
  <c r="BF437"/>
  <c r="BE437"/>
  <c r="BD437"/>
  <c r="BC437"/>
  <c r="BB437"/>
  <c r="BA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G425" s="1"/>
  <c r="BT424"/>
  <c r="BS424"/>
  <c r="BR424"/>
  <c r="BQ424"/>
  <c r="BP424"/>
  <c r="BO424"/>
  <c r="BN424"/>
  <c r="BM424"/>
  <c r="BL424" s="1"/>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G421" s="1"/>
  <c r="BT420"/>
  <c r="BS420"/>
  <c r="BR420"/>
  <c r="BQ420"/>
  <c r="BP420"/>
  <c r="BO420"/>
  <c r="BN420"/>
  <c r="BM420"/>
  <c r="BL420" s="1"/>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c r="AX419"/>
  <c r="AW419"/>
  <c r="AV419"/>
  <c r="AC419"/>
  <c r="H419"/>
  <c r="G419"/>
  <c r="BT418"/>
  <c r="BS418"/>
  <c r="BR418"/>
  <c r="BQ418"/>
  <c r="BP418"/>
  <c r="BO418"/>
  <c r="BN418"/>
  <c r="BM418"/>
  <c r="BL418" s="1"/>
  <c r="BK418"/>
  <c r="BJ418"/>
  <c r="BI418"/>
  <c r="BH418"/>
  <c r="BG418"/>
  <c r="BF418"/>
  <c r="BE418"/>
  <c r="BD418"/>
  <c r="BC418"/>
  <c r="BB418"/>
  <c r="BA418" s="1"/>
  <c r="AX418"/>
  <c r="AW418"/>
  <c r="AV418"/>
  <c r="AC418"/>
  <c r="H418"/>
  <c r="G418" s="1"/>
  <c r="BT417"/>
  <c r="BS417"/>
  <c r="BR417"/>
  <c r="BQ417"/>
  <c r="BP417"/>
  <c r="BO417"/>
  <c r="BN417"/>
  <c r="BM417"/>
  <c r="BK417"/>
  <c r="BJ417"/>
  <c r="BI417"/>
  <c r="BH417"/>
  <c r="BG417"/>
  <c r="BF417"/>
  <c r="BE417"/>
  <c r="BD417"/>
  <c r="BC417"/>
  <c r="BB417"/>
  <c r="BA417"/>
  <c r="AX417"/>
  <c r="AW417"/>
  <c r="AV417"/>
  <c r="AC417"/>
  <c r="H417"/>
  <c r="BT416"/>
  <c r="BS416"/>
  <c r="BR416"/>
  <c r="BQ416"/>
  <c r="BP416"/>
  <c r="BO416"/>
  <c r="BN416"/>
  <c r="BM416"/>
  <c r="BL416"/>
  <c r="BK416"/>
  <c r="BJ416"/>
  <c r="BI416"/>
  <c r="BH416"/>
  <c r="BG416"/>
  <c r="BF416"/>
  <c r="BE416"/>
  <c r="BD416"/>
  <c r="BC416"/>
  <c r="BB416"/>
  <c r="BA416" s="1"/>
  <c r="AZ416" s="1"/>
  <c r="AX416"/>
  <c r="AW416"/>
  <c r="AV416"/>
  <c r="AC416"/>
  <c r="H416"/>
  <c r="G416"/>
  <c r="BT415"/>
  <c r="BS415"/>
  <c r="BR415"/>
  <c r="BQ415"/>
  <c r="BP415"/>
  <c r="BO415"/>
  <c r="BN415"/>
  <c r="BM415"/>
  <c r="BL415" s="1"/>
  <c r="BK415"/>
  <c r="BJ415"/>
  <c r="BI415"/>
  <c r="BH415"/>
  <c r="BG415"/>
  <c r="BF415"/>
  <c r="BE415"/>
  <c r="BD415"/>
  <c r="BC415"/>
  <c r="BB415"/>
  <c r="BA415" s="1"/>
  <c r="AZ415" s="1"/>
  <c r="AX415"/>
  <c r="AW415"/>
  <c r="AV415"/>
  <c r="AC415"/>
  <c r="H415"/>
  <c r="G415" s="1"/>
  <c r="BT414"/>
  <c r="BS414"/>
  <c r="BR414"/>
  <c r="BQ414"/>
  <c r="BP414"/>
  <c r="BO414"/>
  <c r="BN414"/>
  <c r="BM414"/>
  <c r="BL414" s="1"/>
  <c r="BK414"/>
  <c r="BJ414"/>
  <c r="BI414"/>
  <c r="BH414"/>
  <c r="BG414"/>
  <c r="BF414"/>
  <c r="BE414"/>
  <c r="BD414"/>
  <c r="BC414"/>
  <c r="BB414"/>
  <c r="AX414"/>
  <c r="AW414"/>
  <c r="AV414"/>
  <c r="AC414"/>
  <c r="H414"/>
  <c r="G414" s="1"/>
  <c r="BT413"/>
  <c r="BS413"/>
  <c r="BR413"/>
  <c r="BQ413"/>
  <c r="BP413"/>
  <c r="BO413"/>
  <c r="BN413"/>
  <c r="BM413"/>
  <c r="BL413" s="1"/>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c r="AX412"/>
  <c r="AW412"/>
  <c r="AV412"/>
  <c r="AC412"/>
  <c r="H412"/>
  <c r="BT411"/>
  <c r="BS411"/>
  <c r="BR411"/>
  <c r="BQ411"/>
  <c r="BP411"/>
  <c r="BO411"/>
  <c r="BN411"/>
  <c r="BM411"/>
  <c r="BL411"/>
  <c r="BK411"/>
  <c r="BJ411"/>
  <c r="BI411"/>
  <c r="BH411"/>
  <c r="BG411"/>
  <c r="BF411"/>
  <c r="BE411"/>
  <c r="BD411"/>
  <c r="BC411"/>
  <c r="BB411"/>
  <c r="BA411" s="1"/>
  <c r="AZ411" s="1"/>
  <c r="AX411"/>
  <c r="AW411"/>
  <c r="AV411"/>
  <c r="AC411"/>
  <c r="H411"/>
  <c r="BT410"/>
  <c r="BS410"/>
  <c r="BR410"/>
  <c r="BQ410"/>
  <c r="BP410"/>
  <c r="BO410"/>
  <c r="BN410"/>
  <c r="BM410"/>
  <c r="BL410"/>
  <c r="BK410"/>
  <c r="BJ410"/>
  <c r="BI410"/>
  <c r="BH410"/>
  <c r="BG410"/>
  <c r="BF410"/>
  <c r="BE410"/>
  <c r="BD410"/>
  <c r="BC410"/>
  <c r="BB410"/>
  <c r="BA410" s="1"/>
  <c r="AZ410" s="1"/>
  <c r="AX410"/>
  <c r="AW410"/>
  <c r="AV410"/>
  <c r="AC410"/>
  <c r="H410"/>
  <c r="BT409"/>
  <c r="BS409"/>
  <c r="BR409"/>
  <c r="BQ409"/>
  <c r="BP409"/>
  <c r="BO409"/>
  <c r="BN409"/>
  <c r="BM409"/>
  <c r="BL409"/>
  <c r="BK409"/>
  <c r="BJ409"/>
  <c r="BI409"/>
  <c r="BH409"/>
  <c r="BG409"/>
  <c r="BF409"/>
  <c r="BE409"/>
  <c r="BD409"/>
  <c r="BC409"/>
  <c r="BB409"/>
  <c r="BA409" s="1"/>
  <c r="AZ409" s="1"/>
  <c r="AX409"/>
  <c r="AW409"/>
  <c r="AV409"/>
  <c r="AC409"/>
  <c r="H409"/>
  <c r="G409"/>
  <c r="BT408"/>
  <c r="BS408"/>
  <c r="BR408"/>
  <c r="BQ408"/>
  <c r="BP408"/>
  <c r="BO408"/>
  <c r="BN408"/>
  <c r="BM408"/>
  <c r="BL408" s="1"/>
  <c r="BK408"/>
  <c r="BJ408"/>
  <c r="BI408"/>
  <c r="BH408"/>
  <c r="BG408"/>
  <c r="BF408"/>
  <c r="BE408"/>
  <c r="BD408"/>
  <c r="BC408"/>
  <c r="BB408"/>
  <c r="BA408" s="1"/>
  <c r="AX408"/>
  <c r="AW408"/>
  <c r="AV408"/>
  <c r="AC408"/>
  <c r="H408"/>
  <c r="G408" s="1"/>
  <c r="BT407"/>
  <c r="BS407"/>
  <c r="BR407"/>
  <c r="BQ407"/>
  <c r="BP407"/>
  <c r="BO407"/>
  <c r="BN407"/>
  <c r="BM407"/>
  <c r="BL407" s="1"/>
  <c r="BK407"/>
  <c r="BJ407"/>
  <c r="BI407"/>
  <c r="BH407"/>
  <c r="BG407"/>
  <c r="BF407"/>
  <c r="BE407"/>
  <c r="BD407"/>
  <c r="BC407"/>
  <c r="BB407"/>
  <c r="AX407"/>
  <c r="AW407"/>
  <c r="AV407"/>
  <c r="AC407"/>
  <c r="H407"/>
  <c r="G407" s="1"/>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G405" s="1"/>
  <c r="BT404"/>
  <c r="BS404"/>
  <c r="BR404"/>
  <c r="BQ404"/>
  <c r="BP404"/>
  <c r="BO404"/>
  <c r="BN404"/>
  <c r="BM404"/>
  <c r="BL404" s="1"/>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X402"/>
  <c r="AW402"/>
  <c r="AV402"/>
  <c r="AC402"/>
  <c r="H402"/>
  <c r="G402" s="1"/>
  <c r="BT401"/>
  <c r="BS401"/>
  <c r="BR401"/>
  <c r="BQ401"/>
  <c r="BP401"/>
  <c r="BO401"/>
  <c r="BN401"/>
  <c r="BM401"/>
  <c r="BK401"/>
  <c r="BJ401"/>
  <c r="BI401"/>
  <c r="BH401"/>
  <c r="BG401"/>
  <c r="BF401"/>
  <c r="BE401"/>
  <c r="BD401"/>
  <c r="BC401"/>
  <c r="BB401"/>
  <c r="BA401"/>
  <c r="AX401"/>
  <c r="AW401"/>
  <c r="AV401"/>
  <c r="AC401"/>
  <c r="H401"/>
  <c r="BT400"/>
  <c r="BS400"/>
  <c r="BR400"/>
  <c r="BQ400"/>
  <c r="BP400"/>
  <c r="BO400"/>
  <c r="BN400"/>
  <c r="BM400"/>
  <c r="BL400"/>
  <c r="BK400"/>
  <c r="BJ400"/>
  <c r="BI400"/>
  <c r="BH400"/>
  <c r="BG400"/>
  <c r="BF400"/>
  <c r="BE400"/>
  <c r="BD400"/>
  <c r="BC400"/>
  <c r="BB400"/>
  <c r="BA400" s="1"/>
  <c r="AZ400" s="1"/>
  <c r="AX400"/>
  <c r="AW400"/>
  <c r="AV400"/>
  <c r="AC400"/>
  <c r="H400"/>
  <c r="G400"/>
  <c r="BT399"/>
  <c r="BS399"/>
  <c r="BR399"/>
  <c r="BQ399"/>
  <c r="BP399"/>
  <c r="BO399"/>
  <c r="BN399"/>
  <c r="BM399"/>
  <c r="BL399" s="1"/>
  <c r="BK399"/>
  <c r="BJ399"/>
  <c r="BI399"/>
  <c r="BH399"/>
  <c r="BG399"/>
  <c r="BF399"/>
  <c r="BE399"/>
  <c r="BD399"/>
  <c r="BC399"/>
  <c r="BB399"/>
  <c r="BA399" s="1"/>
  <c r="AZ399" s="1"/>
  <c r="AX399"/>
  <c r="AW399"/>
  <c r="AV399"/>
  <c r="AC399"/>
  <c r="H399"/>
  <c r="G399" s="1"/>
  <c r="BT398"/>
  <c r="BS398"/>
  <c r="BR398"/>
  <c r="BQ398"/>
  <c r="BP398"/>
  <c r="BO398"/>
  <c r="BN398"/>
  <c r="BM398"/>
  <c r="BL398" s="1"/>
  <c r="BK398"/>
  <c r="BJ398"/>
  <c r="BI398"/>
  <c r="BH398"/>
  <c r="BG398"/>
  <c r="BF398"/>
  <c r="BE398"/>
  <c r="BD398"/>
  <c r="BC398"/>
  <c r="BB398"/>
  <c r="AX398"/>
  <c r="AW398"/>
  <c r="AV398"/>
  <c r="AC398"/>
  <c r="H398"/>
  <c r="G398" s="1"/>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132" i="31"/>
  <c r="R133"/>
  <c r="S133" s="1"/>
  <c r="R134"/>
  <c r="R135"/>
  <c r="S135" s="1"/>
  <c r="R136"/>
  <c r="R137"/>
  <c r="S137" s="1"/>
  <c r="R138"/>
  <c r="R139"/>
  <c r="S139" s="1"/>
  <c r="R140"/>
  <c r="R141"/>
  <c r="S141" s="1"/>
  <c r="R142"/>
  <c r="R143"/>
  <c r="S143" s="1"/>
  <c r="R144"/>
  <c r="R145"/>
  <c r="S145" s="1"/>
  <c r="R146"/>
  <c r="R147"/>
  <c r="S147" s="1"/>
  <c r="R148"/>
  <c r="R149"/>
  <c r="S149" s="1"/>
  <c r="R150"/>
  <c r="R151"/>
  <c r="S151" s="1"/>
  <c r="R152"/>
  <c r="R153"/>
  <c r="S153" s="1"/>
  <c r="R154"/>
  <c r="R155"/>
  <c r="S155" s="1"/>
  <c r="R156"/>
  <c r="R157"/>
  <c r="S157" s="1"/>
  <c r="R158"/>
  <c r="R159"/>
  <c r="S159" s="1"/>
  <c r="R160"/>
  <c r="R161"/>
  <c r="S161" s="1"/>
  <c r="R162"/>
  <c r="R163"/>
  <c r="S163" s="1"/>
  <c r="R164"/>
  <c r="R165"/>
  <c r="S165" s="1"/>
  <c r="R166"/>
  <c r="R167"/>
  <c r="S167" s="1"/>
  <c r="R168"/>
  <c r="R169"/>
  <c r="S169" s="1"/>
  <c r="R170"/>
  <c r="R171"/>
  <c r="S171" s="1"/>
  <c r="R172"/>
  <c r="R173"/>
  <c r="S173" s="1"/>
  <c r="R174"/>
  <c r="R175"/>
  <c r="S175" s="1"/>
  <c r="R176"/>
  <c r="R177"/>
  <c r="S177" s="1"/>
  <c r="R178"/>
  <c r="R179"/>
  <c r="S179" s="1"/>
  <c r="R180"/>
  <c r="R181"/>
  <c r="S181" s="1"/>
  <c r="R182"/>
  <c r="R183"/>
  <c r="S183" s="1"/>
  <c r="R184"/>
  <c r="R185"/>
  <c r="S185" s="1"/>
  <c r="R186"/>
  <c r="R187"/>
  <c r="S187" s="1"/>
  <c r="R188"/>
  <c r="R189"/>
  <c r="S189" s="1"/>
  <c r="R190"/>
  <c r="R191"/>
  <c r="S191" s="1"/>
  <c r="R192"/>
  <c r="R193"/>
  <c r="S193" s="1"/>
  <c r="R194"/>
  <c r="R195"/>
  <c r="S195" s="1"/>
  <c r="R196"/>
  <c r="R197"/>
  <c r="S197" s="1"/>
  <c r="R198"/>
  <c r="R199"/>
  <c r="S199" s="1"/>
  <c r="R200"/>
  <c r="R201"/>
  <c r="S201" s="1"/>
  <c r="R202"/>
  <c r="R203"/>
  <c r="S203" s="1"/>
  <c r="R204"/>
  <c r="R205"/>
  <c r="S205" s="1"/>
  <c r="R206"/>
  <c r="R207"/>
  <c r="S207" s="1"/>
  <c r="R208"/>
  <c r="R209"/>
  <c r="S209" s="1"/>
  <c r="R210"/>
  <c r="R211"/>
  <c r="S211" s="1"/>
  <c r="R212"/>
  <c r="R213"/>
  <c r="S213" s="1"/>
  <c r="R214"/>
  <c r="R215"/>
  <c r="S215" s="1"/>
  <c r="R216"/>
  <c r="R217"/>
  <c r="S217" s="1"/>
  <c r="R218"/>
  <c r="R219"/>
  <c r="S219" s="1"/>
  <c r="R220"/>
  <c r="R221"/>
  <c r="S221" s="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R257"/>
  <c r="S257" s="1"/>
  <c r="R258"/>
  <c r="R259"/>
  <c r="S259" s="1"/>
  <c r="R260"/>
  <c r="R261"/>
  <c r="S261" s="1"/>
  <c r="R262"/>
  <c r="R263"/>
  <c r="S263" s="1"/>
  <c r="R264"/>
  <c r="R265"/>
  <c r="S265" s="1"/>
  <c r="R266"/>
  <c r="R267"/>
  <c r="S267" s="1"/>
  <c r="R268"/>
  <c r="R269"/>
  <c r="S269" s="1"/>
  <c r="R270"/>
  <c r="R271"/>
  <c r="S271" s="1"/>
  <c r="R272"/>
  <c r="R273"/>
  <c r="S273" s="1"/>
  <c r="R274"/>
  <c r="R275"/>
  <c r="S275" s="1"/>
  <c r="R276"/>
  <c r="R277"/>
  <c r="S277" s="1"/>
  <c r="R278"/>
  <c r="R279"/>
  <c r="S279" s="1"/>
  <c r="R280"/>
  <c r="R281"/>
  <c r="S281" s="1"/>
  <c r="R282"/>
  <c r="R283"/>
  <c r="S283" s="1"/>
  <c r="R284"/>
  <c r="R285"/>
  <c r="S285" s="1"/>
  <c r="R286"/>
  <c r="R287"/>
  <c r="S287" s="1"/>
  <c r="R288"/>
  <c r="R289"/>
  <c r="S289" s="1"/>
  <c r="R290"/>
  <c r="R291"/>
  <c r="S291" s="1"/>
  <c r="R292"/>
  <c r="R293"/>
  <c r="S293" s="1"/>
  <c r="R294"/>
  <c r="R295"/>
  <c r="S295" s="1"/>
  <c r="R296"/>
  <c r="R297"/>
  <c r="S297" s="1"/>
  <c r="R298"/>
  <c r="R299"/>
  <c r="S299" s="1"/>
  <c r="R300"/>
  <c r="R301"/>
  <c r="S301" s="1"/>
  <c r="R302"/>
  <c r="R303"/>
  <c r="S303" s="1"/>
  <c r="R304"/>
  <c r="R305"/>
  <c r="S305" s="1"/>
  <c r="R306"/>
  <c r="R307"/>
  <c r="S307" s="1"/>
  <c r="R308"/>
  <c r="R309"/>
  <c r="S309" s="1"/>
  <c r="R310"/>
  <c r="R311"/>
  <c r="S311" s="1"/>
  <c r="R312"/>
  <c r="R313"/>
  <c r="S313" s="1"/>
  <c r="R314"/>
  <c r="R315"/>
  <c r="S315" s="1"/>
  <c r="R316"/>
  <c r="R317"/>
  <c r="S317" s="1"/>
  <c r="R318"/>
  <c r="R319"/>
  <c r="S319" s="1"/>
  <c r="R320"/>
  <c r="R321"/>
  <c r="S321" s="1"/>
  <c r="R322"/>
  <c r="R323"/>
  <c r="S323" s="1"/>
  <c r="R324"/>
  <c r="R325"/>
  <c r="S325" s="1"/>
  <c r="R326"/>
  <c r="R327"/>
  <c r="S327" s="1"/>
  <c r="R328"/>
  <c r="R329"/>
  <c r="S329" s="1"/>
  <c r="R330"/>
  <c r="R331"/>
  <c r="S331" s="1"/>
  <c r="R332"/>
  <c r="R333"/>
  <c r="S333" s="1"/>
  <c r="R334"/>
  <c r="R335"/>
  <c r="S335" s="1"/>
  <c r="R336"/>
  <c r="R337"/>
  <c r="S337" s="1"/>
  <c r="R338"/>
  <c r="R339"/>
  <c r="S339" s="1"/>
  <c r="R340"/>
  <c r="R341"/>
  <c r="S341" s="1"/>
  <c r="R342"/>
  <c r="R343"/>
  <c r="S343" s="1"/>
  <c r="R344"/>
  <c r="R345"/>
  <c r="S345" s="1"/>
  <c r="R346"/>
  <c r="R347"/>
  <c r="S347" s="1"/>
  <c r="R348"/>
  <c r="R349"/>
  <c r="S349" s="1"/>
  <c r="R350"/>
  <c r="R351"/>
  <c r="S351" s="1"/>
  <c r="R352"/>
  <c r="R353"/>
  <c r="S353" s="1"/>
  <c r="R354"/>
  <c r="R355"/>
  <c r="S355" s="1"/>
  <c r="R356"/>
  <c r="R357"/>
  <c r="S357" s="1"/>
  <c r="R358"/>
  <c r="R359"/>
  <c r="S359" s="1"/>
  <c r="R360"/>
  <c r="R361"/>
  <c r="S361" s="1"/>
  <c r="R362"/>
  <c r="R363"/>
  <c r="S363" s="1"/>
  <c r="R364"/>
  <c r="R365"/>
  <c r="S365" s="1"/>
  <c r="R366"/>
  <c r="R367"/>
  <c r="S367" s="1"/>
  <c r="R368"/>
  <c r="R369"/>
  <c r="S369" s="1"/>
  <c r="R370"/>
  <c r="R371"/>
  <c r="S371" s="1"/>
  <c r="R372"/>
  <c r="R373"/>
  <c r="S373" s="1"/>
  <c r="R374"/>
  <c r="R375"/>
  <c r="S375" s="1"/>
  <c r="R376"/>
  <c r="R377"/>
  <c r="S377" s="1"/>
  <c r="R378"/>
  <c r="R379"/>
  <c r="S379" s="1"/>
  <c r="R380"/>
  <c r="R381"/>
  <c r="S381" s="1"/>
  <c r="R382"/>
  <c r="R383"/>
  <c r="S383" s="1"/>
  <c r="R384"/>
  <c r="R385"/>
  <c r="S385" s="1"/>
  <c r="R386"/>
  <c r="R387"/>
  <c r="S387" s="1"/>
  <c r="R388"/>
  <c r="R389"/>
  <c r="S389" s="1"/>
  <c r="R390"/>
  <c r="R391"/>
  <c r="S391" s="1"/>
  <c r="R392"/>
  <c r="R393"/>
  <c r="S393" s="1"/>
  <c r="R394"/>
  <c r="R395"/>
  <c r="S395" s="1"/>
  <c r="R396"/>
  <c r="R397"/>
  <c r="S397" s="1"/>
  <c r="R398"/>
  <c r="R399"/>
  <c r="S399" s="1"/>
  <c r="R400"/>
  <c r="R401"/>
  <c r="S401" s="1"/>
  <c r="R402"/>
  <c r="R403"/>
  <c r="S403" s="1"/>
  <c r="R404"/>
  <c r="R405"/>
  <c r="S405" s="1"/>
  <c r="R406"/>
  <c r="R407"/>
  <c r="S407" s="1"/>
  <c r="R408"/>
  <c r="R409"/>
  <c r="S409" s="1"/>
  <c r="R410"/>
  <c r="R411"/>
  <c r="S411" s="1"/>
  <c r="R412"/>
  <c r="R413"/>
  <c r="S413" s="1"/>
  <c r="R414"/>
  <c r="R415"/>
  <c r="S415" s="1"/>
  <c r="R416"/>
  <c r="R417"/>
  <c r="S417" s="1"/>
  <c r="R418"/>
  <c r="R419"/>
  <c r="S419" s="1"/>
  <c r="R420"/>
  <c r="R421"/>
  <c r="S421" s="1"/>
  <c r="R422"/>
  <c r="R423"/>
  <c r="S423" s="1"/>
  <c r="R424"/>
  <c r="R425"/>
  <c r="S425" s="1"/>
  <c r="R426"/>
  <c r="R427"/>
  <c r="S427" s="1"/>
  <c r="R428"/>
  <c r="R429"/>
  <c r="S429" s="1"/>
  <c r="R430"/>
  <c r="R431"/>
  <c r="R432"/>
  <c r="R433"/>
  <c r="R434"/>
  <c r="R435"/>
  <c r="R436"/>
  <c r="R437"/>
  <c r="R438"/>
  <c r="R439"/>
  <c r="R440"/>
  <c r="R441"/>
  <c r="R442"/>
  <c r="R443"/>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R469"/>
  <c r="S469" s="1"/>
  <c r="R470"/>
  <c r="R47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8"/>
  <c r="S426"/>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496"/>
  <c r="S494"/>
  <c r="S492"/>
  <c r="S490"/>
  <c r="S488"/>
  <c r="S486"/>
  <c r="S484"/>
  <c r="S482"/>
  <c r="S480"/>
  <c r="S478"/>
  <c r="S476"/>
  <c r="S474"/>
  <c r="S472"/>
  <c r="S470"/>
  <c r="S468"/>
  <c r="S444"/>
  <c r="S443"/>
  <c r="S442"/>
  <c r="S441"/>
  <c r="S440"/>
  <c r="S439"/>
  <c r="S438"/>
  <c r="S437"/>
  <c r="S436"/>
  <c r="S435"/>
  <c r="S434"/>
  <c r="S433"/>
  <c r="S432"/>
  <c r="S431"/>
  <c r="S430"/>
  <c r="S506"/>
  <c r="S504"/>
  <c r="S502"/>
  <c r="S500"/>
  <c r="S498"/>
  <c r="S466"/>
  <c r="S464"/>
  <c r="S462"/>
  <c r="S460"/>
  <c r="S458"/>
  <c r="S456"/>
  <c r="S454"/>
  <c r="S452"/>
  <c r="S450"/>
  <c r="S446"/>
  <c r="S44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c r="Q16"/>
  <c r="Z16" s="1"/>
  <c r="Q14"/>
  <c r="Z14" s="1"/>
  <c r="Q13"/>
  <c r="Z13" s="1"/>
  <c r="Q12"/>
  <c r="Z12" s="1"/>
  <c r="Q11"/>
  <c r="Z11" s="1"/>
  <c r="Q10"/>
  <c r="Z10" s="1"/>
  <c r="F10"/>
  <c r="AA10" s="1"/>
  <c r="Q9"/>
  <c r="Z9" s="1"/>
  <c r="J9"/>
  <c r="AC9" s="1"/>
  <c r="F9"/>
  <c r="AA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H12"/>
  <c r="U12" s="1"/>
  <c r="Q11"/>
  <c r="Z11" s="1"/>
  <c r="Q10"/>
  <c r="Z10" s="1"/>
  <c r="Q9"/>
  <c r="Z9" s="1"/>
  <c r="H9"/>
  <c r="AB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S40"/>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B12" i="33"/>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S26"/>
  <c r="U40"/>
  <c r="W40"/>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G105"/>
  <c r="AB11" i="36"/>
  <c r="AB11" i="35"/>
  <c r="J10" i="36"/>
  <c r="AC10" s="1"/>
  <c r="AB30" i="21"/>
  <c r="AA14" i="37"/>
  <c r="W31" i="34"/>
  <c r="AC13" i="36"/>
  <c r="W13"/>
  <c r="S11"/>
  <c r="W11"/>
  <c r="W11" i="35"/>
  <c r="AC30" i="34"/>
  <c r="AB45" i="33"/>
  <c r="U1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AZ574" s="1"/>
  <c r="BA572"/>
  <c r="AZ572" s="1"/>
  <c r="BA570"/>
  <c r="AZ570" s="1"/>
  <c r="BA568"/>
  <c r="AZ568" s="1"/>
  <c r="BA566"/>
  <c r="AZ566" s="1"/>
  <c r="BA564"/>
  <c r="AZ564" s="1"/>
  <c r="BA562"/>
  <c r="AZ562" s="1"/>
  <c r="BA560"/>
  <c r="AZ560" s="1"/>
  <c r="BA558"/>
  <c r="BA556"/>
  <c r="AZ556" s="1"/>
  <c r="BA554"/>
  <c r="BA552"/>
  <c r="AZ552" s="1"/>
  <c r="BA548"/>
  <c r="BA546"/>
  <c r="BA544"/>
  <c r="BA542"/>
  <c r="AZ542" s="1"/>
  <c r="BA540"/>
  <c r="AZ540" s="1"/>
  <c r="BA538"/>
  <c r="AZ538" s="1"/>
  <c r="BA536"/>
  <c r="BA534"/>
  <c r="AZ534" s="1"/>
  <c r="BA532"/>
  <c r="BA530"/>
  <c r="AZ530" s="1"/>
  <c r="BA528"/>
  <c r="AZ528"/>
  <c r="BA526"/>
  <c r="AZ526"/>
  <c r="BA524"/>
  <c r="BA522"/>
  <c r="BA520"/>
  <c r="BA518"/>
  <c r="AZ518" s="1"/>
  <c r="BA516"/>
  <c r="BA514"/>
  <c r="AZ514" s="1"/>
  <c r="BA512"/>
  <c r="AZ512"/>
  <c r="BA510"/>
  <c r="AZ510"/>
  <c r="BA508"/>
  <c r="BA506"/>
  <c r="BA504"/>
  <c r="AZ504"/>
  <c r="BA502"/>
  <c r="BA500"/>
  <c r="BA498"/>
  <c r="AZ498"/>
  <c r="BA496"/>
  <c r="BA494"/>
  <c r="AZ494" s="1"/>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c r="AZ571" s="1"/>
  <c r="BQ569"/>
  <c r="BL569" s="1"/>
  <c r="BQ567"/>
  <c r="BL567" s="1"/>
  <c r="AZ567" s="1"/>
  <c r="BQ565"/>
  <c r="BL565" s="1"/>
  <c r="AZ565" s="1"/>
  <c r="BQ563"/>
  <c r="BL563"/>
  <c r="BQ561"/>
  <c r="BL561"/>
  <c r="AZ561" s="1"/>
  <c r="BQ559"/>
  <c r="BL559" s="1"/>
  <c r="AZ559" s="1"/>
  <c r="G559"/>
  <c r="G555"/>
  <c r="G553"/>
  <c r="G549"/>
  <c r="G547"/>
  <c r="G545"/>
  <c r="G543"/>
  <c r="G541"/>
  <c r="G539"/>
  <c r="G537"/>
  <c r="BQ555"/>
  <c r="BL555" s="1"/>
  <c r="AZ555" s="1"/>
  <c r="BQ553"/>
  <c r="BL553" s="1"/>
  <c r="AZ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AZ503" s="1"/>
  <c r="BQ501"/>
  <c r="BL501" s="1"/>
  <c r="AZ501" s="1"/>
  <c r="BQ499"/>
  <c r="BL499" s="1"/>
  <c r="AZ499" s="1"/>
  <c r="BQ497"/>
  <c r="BL497" s="1"/>
  <c r="BQ495"/>
  <c r="BL495" s="1"/>
  <c r="AZ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U32" i="33"/>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AZ32"/>
  <c r="BL549"/>
  <c r="AZ549" s="1"/>
  <c r="AZ502"/>
  <c r="AZ522"/>
  <c r="AZ546"/>
  <c r="G546"/>
  <c r="G524"/>
  <c r="G303"/>
  <c r="BL304"/>
  <c r="G305"/>
  <c r="BL306"/>
  <c r="BA308"/>
  <c r="AZ308" s="1"/>
  <c r="BA309"/>
  <c r="BL309"/>
  <c r="G310"/>
  <c r="BA311"/>
  <c r="G319"/>
  <c r="BL320"/>
  <c r="G321"/>
  <c r="BL322"/>
  <c r="BA324"/>
  <c r="AZ324" s="1"/>
  <c r="BA325"/>
  <c r="BL325"/>
  <c r="G326"/>
  <c r="BA327"/>
  <c r="G335"/>
  <c r="BL336"/>
  <c r="G337"/>
  <c r="BL338"/>
  <c r="BA340"/>
  <c r="AZ340" s="1"/>
  <c r="BA34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G113"/>
  <c r="BA115"/>
  <c r="AZ115" s="1"/>
  <c r="BL116"/>
  <c r="AZ116" s="1"/>
  <c r="G117"/>
  <c r="BA119"/>
  <c r="BL120"/>
  <c r="AZ120" s="1"/>
  <c r="G121"/>
  <c r="BA123"/>
  <c r="AZ123" s="1"/>
  <c r="BL124"/>
  <c r="AZ124" s="1"/>
  <c r="G125"/>
  <c r="BA127"/>
  <c r="AZ127"/>
  <c r="BL128"/>
  <c r="G129"/>
  <c r="BA131"/>
  <c r="AZ131"/>
  <c r="BL132"/>
  <c r="AZ132"/>
  <c r="G133"/>
  <c r="BA135"/>
  <c r="BL136"/>
  <c r="G137"/>
  <c r="BA139"/>
  <c r="BL140"/>
  <c r="AZ140" s="1"/>
  <c r="G141"/>
  <c r="BA143"/>
  <c r="BL144"/>
  <c r="G145"/>
  <c r="BA147"/>
  <c r="AZ147" s="1"/>
  <c r="BL148"/>
  <c r="G149"/>
  <c r="BA151"/>
  <c r="AZ151" s="1"/>
  <c r="BL152"/>
  <c r="AZ152" s="1"/>
  <c r="G153"/>
  <c r="BA155"/>
  <c r="AZ155" s="1"/>
  <c r="BL156"/>
  <c r="G157"/>
  <c r="BA159"/>
  <c r="AZ159"/>
  <c r="BL160"/>
  <c r="G161"/>
  <c r="BA163"/>
  <c r="AZ163"/>
  <c r="BL164"/>
  <c r="G165"/>
  <c r="BA167"/>
  <c r="AZ167" s="1"/>
  <c r="BL168"/>
  <c r="G169"/>
  <c r="BA171"/>
  <c r="AZ171" s="1"/>
  <c r="BL172"/>
  <c r="G173"/>
  <c r="BA175"/>
  <c r="AZ175" s="1"/>
  <c r="BL176"/>
  <c r="G177"/>
  <c r="BA179"/>
  <c r="AZ179" s="1"/>
  <c r="BL180"/>
  <c r="G181"/>
  <c r="BA183"/>
  <c r="AZ183" s="1"/>
  <c r="BL184"/>
  <c r="AZ184" s="1"/>
  <c r="G185"/>
  <c r="BA187"/>
  <c r="AZ187" s="1"/>
  <c r="BL188"/>
  <c r="G189"/>
  <c r="BA191"/>
  <c r="AZ191"/>
  <c r="BL192"/>
  <c r="G193"/>
  <c r="BA195"/>
  <c r="AZ195"/>
  <c r="BL196"/>
  <c r="G197"/>
  <c r="BA199"/>
  <c r="AZ199" s="1"/>
  <c r="BL200"/>
  <c r="G201"/>
  <c r="BA203"/>
  <c r="AZ203" s="1"/>
  <c r="BL204"/>
  <c r="AZ204" s="1"/>
  <c r="AZ39"/>
  <c r="AZ51"/>
  <c r="AZ55"/>
  <c r="AZ67"/>
  <c r="AZ71"/>
  <c r="AZ79"/>
  <c r="AZ83"/>
  <c r="AZ136"/>
  <c r="AZ144"/>
  <c r="AZ160"/>
  <c r="AZ168"/>
  <c r="AZ176"/>
  <c r="AZ192"/>
  <c r="AZ200"/>
  <c r="AZ85"/>
  <c r="AZ89"/>
  <c r="AZ97"/>
  <c r="AZ105"/>
  <c r="AZ128"/>
  <c r="G534"/>
  <c r="G530"/>
  <c r="G522"/>
  <c r="G516"/>
  <c r="G512"/>
  <c r="G506"/>
  <c r="G498"/>
  <c r="G494"/>
  <c r="G16"/>
  <c r="G15"/>
  <c r="BA304"/>
  <c r="BA305"/>
  <c r="AZ305" s="1"/>
  <c r="BL305"/>
  <c r="G306"/>
  <c r="G309"/>
  <c r="BL310"/>
  <c r="BA312"/>
  <c r="AZ312"/>
  <c r="BA313"/>
  <c r="BL313"/>
  <c r="AZ313" s="1"/>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AZ363" s="1"/>
  <c r="BA364"/>
  <c r="BL364"/>
  <c r="G365"/>
  <c r="G368"/>
  <c r="BL369"/>
  <c r="BA371"/>
  <c r="BA372"/>
  <c r="AZ372" s="1"/>
  <c r="BL372"/>
  <c r="G373"/>
  <c r="G376"/>
  <c r="BL377"/>
  <c r="BL379"/>
  <c r="BA381"/>
  <c r="AZ381" s="1"/>
  <c r="BA382"/>
  <c r="AZ382" s="1"/>
  <c r="BL382"/>
  <c r="G383"/>
  <c r="G386"/>
  <c r="BL387"/>
  <c r="BA389"/>
  <c r="AZ389" s="1"/>
  <c r="BA390"/>
  <c r="BL390"/>
  <c r="G391"/>
  <c r="G394"/>
  <c r="AZ150"/>
  <c r="AZ158"/>
  <c r="AZ166"/>
  <c r="AZ174"/>
  <c r="AZ182"/>
  <c r="AZ190"/>
  <c r="AZ198"/>
  <c r="AZ202"/>
  <c r="AZ206"/>
  <c r="AZ500"/>
  <c r="BA16"/>
  <c r="AZ16" s="1"/>
  <c r="BL303"/>
  <c r="AZ303" s="1"/>
  <c r="G304"/>
  <c r="BA306"/>
  <c r="AZ306" s="1"/>
  <c r="BL307"/>
  <c r="AZ307" s="1"/>
  <c r="G308"/>
  <c r="BA310"/>
  <c r="BL311"/>
  <c r="AZ311" s="1"/>
  <c r="G312"/>
  <c r="BA314"/>
  <c r="AZ314" s="1"/>
  <c r="BL315"/>
  <c r="G316"/>
  <c r="BA318"/>
  <c r="AZ318"/>
  <c r="BL319"/>
  <c r="G320"/>
  <c r="BA322"/>
  <c r="AZ322"/>
  <c r="BL323"/>
  <c r="AZ323"/>
  <c r="G324"/>
  <c r="BA326"/>
  <c r="AZ326" s="1"/>
  <c r="BL327"/>
  <c r="G328"/>
  <c r="BA330"/>
  <c r="AZ330" s="1"/>
  <c r="BL331"/>
  <c r="G332"/>
  <c r="BA334"/>
  <c r="AZ334" s="1"/>
  <c r="BL335"/>
  <c r="AZ335" s="1"/>
  <c r="G336"/>
  <c r="BA338"/>
  <c r="AZ338" s="1"/>
  <c r="BL339"/>
  <c r="AZ339" s="1"/>
  <c r="G340"/>
  <c r="BL343"/>
  <c r="G344"/>
  <c r="G348"/>
  <c r="G355"/>
  <c r="AZ209"/>
  <c r="AZ218"/>
  <c r="AZ319"/>
  <c r="G342"/>
  <c r="BL345"/>
  <c r="AZ345" s="1"/>
  <c r="G346"/>
  <c r="AZ348"/>
  <c r="BL349"/>
  <c r="AZ349" s="1"/>
  <c r="BL352"/>
  <c r="AZ352" s="1"/>
  <c r="G353"/>
  <c r="BA357"/>
  <c r="AZ357" s="1"/>
  <c r="BL358"/>
  <c r="AZ358" s="1"/>
  <c r="G359"/>
  <c r="BA361"/>
  <c r="AZ361" s="1"/>
  <c r="BL362"/>
  <c r="G363"/>
  <c r="BA365"/>
  <c r="AZ365" s="1"/>
  <c r="BL366"/>
  <c r="AZ366" s="1"/>
  <c r="G367"/>
  <c r="BA369"/>
  <c r="AZ369"/>
  <c r="BL370"/>
  <c r="G371"/>
  <c r="BA373"/>
  <c r="AZ373"/>
  <c r="BL374"/>
  <c r="AZ374"/>
  <c r="G375"/>
  <c r="BA377"/>
  <c r="AZ377" s="1"/>
  <c r="AZ229"/>
  <c r="AZ241"/>
  <c r="AZ245"/>
  <c r="AZ257"/>
  <c r="AZ261"/>
  <c r="AZ265"/>
  <c r="AZ370"/>
  <c r="BA379"/>
  <c r="AZ379" s="1"/>
  <c r="BL380"/>
  <c r="AZ380" s="1"/>
  <c r="G381"/>
  <c r="BA383"/>
  <c r="BL384"/>
  <c r="G385"/>
  <c r="BA387"/>
  <c r="AZ387" s="1"/>
  <c r="BL388"/>
  <c r="G389"/>
  <c r="BA391"/>
  <c r="AZ391" s="1"/>
  <c r="BL392"/>
  <c r="G393"/>
  <c r="AZ263"/>
  <c r="AZ279"/>
  <c r="AZ287"/>
  <c r="AZ295"/>
  <c r="BO5"/>
  <c r="BM5"/>
  <c r="BJ5"/>
  <c r="BH5"/>
  <c r="BF5"/>
  <c r="BD5"/>
  <c r="AZ309"/>
  <c r="AZ317"/>
  <c r="AZ325"/>
  <c r="AZ333"/>
  <c r="AZ341"/>
  <c r="AC5"/>
  <c r="AZ506"/>
  <c r="AZ496"/>
  <c r="G548"/>
  <c r="G538"/>
  <c r="G520"/>
  <c r="G502"/>
  <c r="BS5"/>
  <c r="BP5"/>
  <c r="BN5"/>
  <c r="BK5"/>
  <c r="BI5"/>
  <c r="BG5"/>
  <c r="BE5"/>
  <c r="BC5"/>
  <c r="G17"/>
  <c r="BA17"/>
  <c r="BT5"/>
  <c r="AZ356"/>
  <c r="AZ364"/>
  <c r="BA15"/>
  <c r="BB5"/>
  <c r="E8" i="6" s="1"/>
  <c r="F27" s="1"/>
  <c r="BR5" i="3"/>
  <c r="G28" i="6" s="1"/>
  <c r="AZ384" i="3"/>
  <c r="AZ396"/>
  <c r="AZ394"/>
  <c r="AZ509"/>
  <c r="G509"/>
  <c r="BL493"/>
  <c r="AZ390"/>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15" i="3"/>
  <c r="AZ227"/>
  <c r="AZ240"/>
  <c r="AZ243"/>
  <c r="AZ256"/>
  <c r="AZ259"/>
  <c r="AZ280"/>
  <c r="AZ296"/>
  <c r="AZ114"/>
  <c r="AZ130"/>
  <c r="AZ21"/>
  <c r="AZ37"/>
  <c r="AZ42"/>
  <c r="AZ53"/>
  <c r="AZ58"/>
  <c r="AZ69"/>
  <c r="AZ82"/>
  <c r="AZ102"/>
  <c r="H74" i="43"/>
  <c r="I20"/>
  <c r="F23" i="39"/>
  <c r="AA23" s="1"/>
  <c r="H27" i="36"/>
  <c r="U27" s="1"/>
  <c r="F27"/>
  <c r="AA27" s="1"/>
  <c r="H33" i="34"/>
  <c r="U33" s="1"/>
  <c r="F32" i="37"/>
  <c r="AA32" s="1"/>
  <c r="G96"/>
  <c r="H96" s="1"/>
  <c r="I96" s="1"/>
  <c r="J96" s="1"/>
  <c r="K96" s="1"/>
  <c r="L96" s="1"/>
  <c r="M96" s="1"/>
  <c r="F20" i="36"/>
  <c r="AA20" s="1"/>
  <c r="J33" i="34"/>
  <c r="AC33" s="1"/>
  <c r="H23" i="39"/>
  <c r="U23" s="1"/>
  <c r="D48" i="9"/>
  <c r="M52" s="1"/>
  <c r="H86" i="43"/>
  <c r="H87"/>
  <c r="K9" i="1"/>
  <c r="M9" s="1"/>
  <c r="O9" s="1"/>
  <c r="P9" s="1"/>
  <c r="AE9"/>
  <c r="U23" i="35" l="1"/>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AZ208"/>
  <c r="AZ217"/>
  <c r="AZ242"/>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G211"/>
  <c r="BL211"/>
  <c r="AZ211" s="1"/>
  <c r="BA212"/>
  <c r="AZ212" s="1"/>
  <c r="BL214"/>
  <c r="AZ214" s="1"/>
  <c r="G217"/>
  <c r="BL217"/>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AZ207"/>
  <c r="AZ70"/>
  <c r="AZ23"/>
  <c r="G100" i="43"/>
  <c r="G204" i="3"/>
  <c r="G206"/>
  <c r="G207"/>
  <c r="BL207"/>
  <c r="BA18"/>
  <c r="AZ18" s="1"/>
  <c r="BL20"/>
  <c r="AZ20" s="1"/>
  <c r="G23"/>
  <c r="BL23"/>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E32" i="6"/>
  <c r="L19" s="1"/>
  <c r="G1" i="68"/>
  <c r="K1" i="12"/>
  <c r="F30" i="6"/>
  <c r="F31" s="1"/>
  <c r="E28"/>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E56" i="40"/>
  <c r="AR12" i="1"/>
  <c r="AQ12"/>
  <c r="T12"/>
  <c r="T10"/>
  <c r="E19" i="69"/>
  <c r="E19" i="68"/>
  <c r="E19" i="11"/>
  <c r="E1" i="73"/>
  <c r="K1" s="1"/>
  <c r="G41" i="69"/>
  <c r="G22"/>
  <c r="G41" i="68"/>
  <c r="G22"/>
  <c r="G27" i="12"/>
  <c r="G26"/>
  <c r="G41" i="11"/>
  <c r="G22"/>
  <c r="G25" i="12"/>
  <c r="C109" i="43"/>
  <c r="J109"/>
  <c r="C100"/>
  <c r="K109"/>
  <c r="E11"/>
  <c r="E10"/>
  <c r="E9"/>
  <c r="E8"/>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M20" s="1"/>
  <c r="T35" i="4"/>
  <c r="A19" i="51" s="1"/>
  <c r="B14" i="72" s="1"/>
  <c r="C46" i="36"/>
  <c r="D46" s="1"/>
  <c r="E46" s="1"/>
  <c r="C59" i="34"/>
  <c r="D59" s="1"/>
  <c r="C52" i="37"/>
  <c r="D52" s="1"/>
  <c r="A4" i="51"/>
  <c r="B6" i="72" s="1"/>
  <c r="C48" i="35"/>
  <c r="D48" s="1"/>
  <c r="C58" i="21"/>
  <c r="D58"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37" i="67"/>
  <c r="C76" i="15"/>
  <c r="F37"/>
  <c r="F42" i="67"/>
  <c r="F38"/>
  <c r="F40"/>
  <c r="F16" i="15"/>
  <c r="F36"/>
  <c r="M26"/>
  <c r="L48"/>
  <c r="F36" i="67"/>
  <c r="F7"/>
  <c r="L47" i="15"/>
  <c r="F43" i="67"/>
  <c r="M22"/>
  <c r="M28"/>
  <c r="L48"/>
  <c r="C76"/>
  <c r="M24" i="15"/>
  <c r="M28"/>
  <c r="F16" i="67"/>
  <c r="M6"/>
  <c r="M24"/>
  <c r="F6"/>
  <c r="M29" i="15"/>
  <c r="M8"/>
  <c r="F7"/>
  <c r="M6"/>
  <c r="F38"/>
  <c r="M23" i="67"/>
  <c r="F43" i="15"/>
  <c r="M23"/>
  <c r="M22"/>
  <c r="F13" i="67"/>
  <c r="M9" i="15"/>
  <c r="L47" i="67"/>
  <c r="F8"/>
  <c r="M26"/>
  <c r="F9"/>
  <c r="J15"/>
  <c r="F26" i="15"/>
  <c r="F42"/>
  <c r="F26" i="67"/>
  <c r="M9"/>
  <c r="F40" i="15"/>
  <c r="F9"/>
  <c r="M29" i="67"/>
  <c r="M8"/>
  <c r="J15" i="15"/>
  <c r="F8"/>
  <c r="F6"/>
  <c r="G1" i="73"/>
  <c r="F13" i="15"/>
  <c r="AR10" i="1" l="1"/>
  <c r="C7" i="43"/>
  <c r="U39" i="40"/>
  <c r="AB39"/>
  <c r="U12" i="36"/>
  <c r="AB12"/>
  <c r="AC23" i="35"/>
  <c r="W23"/>
  <c r="AC36"/>
  <c r="W36"/>
  <c r="S12" i="34"/>
  <c r="AA12"/>
  <c r="AA9" i="33"/>
  <c r="S9"/>
  <c r="W41"/>
  <c r="AC41"/>
  <c r="C58"/>
  <c r="D58" s="1"/>
  <c r="E58" s="1"/>
  <c r="F58" s="1"/>
  <c r="G58" s="1"/>
  <c r="H58" s="1"/>
  <c r="I58" s="1"/>
  <c r="J58" s="1"/>
  <c r="K58" s="1"/>
  <c r="L58" s="1"/>
  <c r="M58" s="1"/>
  <c r="N58" s="1"/>
  <c r="O58" s="1"/>
  <c r="I7"/>
  <c r="E7"/>
  <c r="G7"/>
  <c r="D22" i="43"/>
  <c r="C4" i="4"/>
  <c r="K4" s="1"/>
  <c r="B46" i="48" s="1"/>
  <c r="C53" i="15"/>
  <c r="C10" i="67"/>
  <c r="C53"/>
  <c r="L58"/>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E63" i="39"/>
  <c r="E66" s="1"/>
  <c r="T11" i="1"/>
  <c r="D9" i="69"/>
  <c r="C9" s="1"/>
  <c r="D19" i="12"/>
  <c r="C19" s="1"/>
  <c r="AQ9" i="1"/>
  <c r="AR11"/>
  <c r="E59" i="40"/>
  <c r="D68" i="39"/>
  <c r="D70" s="1"/>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C11" i="33" s="1"/>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i="15"/>
  <c r="C17"/>
  <c r="C16" i="67"/>
  <c r="B73" i="72" l="1"/>
  <c r="B4"/>
  <c r="F11" i="33"/>
  <c r="H11"/>
  <c r="J11"/>
  <c r="B4" i="62"/>
  <c r="C48" i="68"/>
  <c r="M19" i="6"/>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I19"/>
  <c r="L18" i="9" s="1"/>
  <c r="M27" i="6"/>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R20" s="1"/>
  <c r="R7" i="1"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5" i="6" l="1"/>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15"/>
  <c r="M21" i="67"/>
  <c r="F35"/>
  <c r="B6" i="76"/>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c r="M27"/>
  <c r="M27" i="67"/>
  <c r="F41"/>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8" i="1"/>
  <c r="AO7"/>
  <c r="AO6"/>
  <c r="E2" i="69"/>
  <c r="B8" i="70" l="1"/>
  <c r="B7"/>
  <c r="B6"/>
  <c r="C46" i="15"/>
  <c r="B2" i="69"/>
  <c r="B3" s="1"/>
  <c r="B2" i="68"/>
  <c r="B3" i="67"/>
  <c r="D2" i="35"/>
  <c r="D2" i="33"/>
  <c r="D2" i="37"/>
  <c r="C19" i="9"/>
  <c r="D2" i="34"/>
  <c r="D2" i="21"/>
  <c r="D2" i="36"/>
  <c r="E2" i="68"/>
  <c r="F20" i="31"/>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S24" i="31" l="1"/>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B61" i="39"/>
  <c r="F61" s="1"/>
  <c r="B60"/>
  <c r="F60" s="1"/>
  <c r="B56"/>
  <c r="F56" s="1"/>
  <c r="B58"/>
  <c r="F58" s="1"/>
  <c r="B59"/>
  <c r="F59" s="1"/>
  <c r="B64"/>
  <c r="F64" s="1"/>
  <c r="B65"/>
  <c r="F65" s="1"/>
  <c r="B57"/>
  <c r="F57" s="1"/>
  <c r="B63"/>
  <c r="F63" s="1"/>
  <c r="B62"/>
  <c r="F62" s="1"/>
  <c r="R22" i="31" l="1"/>
  <c r="B21" s="1"/>
  <c r="B20"/>
  <c r="F66" i="39"/>
  <c r="B2" s="1"/>
  <c r="B3" s="1"/>
  <c r="D35" i="9"/>
  <c r="C35" l="1"/>
  <c r="C34" l="1"/>
  <c r="H112" l="1"/>
  <c r="D21" i="53" s="1"/>
  <c r="B39" i="72" s="1"/>
  <c r="H111" i="9"/>
  <c r="D126" s="1"/>
  <c r="D19" i="53"/>
  <c r="D59" i="9"/>
  <c r="M55"/>
  <c r="B38" i="72" l="1"/>
  <c r="D20" i="53"/>
  <c r="B40" i="72" s="1"/>
  <c r="I14" i="74"/>
  <c r="B8" s="1"/>
  <c r="D127" i="9"/>
  <c r="D13" i="52" s="1"/>
  <c r="D12"/>
  <c r="F118" i="9"/>
  <c r="G118" s="1"/>
  <c r="G4" i="52" s="1"/>
  <c r="D118" i="9"/>
  <c r="D119" s="1"/>
  <c r="D5" i="52" s="1"/>
  <c r="H118" i="9"/>
  <c r="C104" s="1"/>
  <c r="B49" i="72" l="1"/>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<sst xmlns="http://schemas.openxmlformats.org/spreadsheetml/2006/main" count="8068" uniqueCount="3525">
  <si>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</si>
  <si>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</si>
  <si>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</si>
  <si>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</si>
  <si>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</si>
  <si>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</si>
  <si>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</si>
  <si>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</si>
  <si>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</si>
  <si>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</si>
  <si>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</si>
  <si>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</si>
  <si>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</si>
  <si>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</si>
  <si>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</si>
  <si>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</si>
  <si>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</si>
  <si>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</si>
  <si>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</si>
  <si>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</si>
  <si>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</si>
  <si>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</si>
  <si>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</si>
  <si>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</si>
  <si>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</si>
  <si>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</si>
  <si>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</si>
  <si>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</si>
  <si>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</si>
  <si>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</si>
  <si>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</si>
  <si>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</si>
  <si>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</si>
  <si>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</si>
  <si>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</si>
  <si>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</si>
  <si>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</si>
  <si>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</si>
  <si>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</si>
  <si>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</si>
  <si>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</si>
  <si>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</si>
  <si>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</si>
  <si>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</si>
  <si>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</si>
  <si>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</si>
  <si>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</si>
  <si>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</si>
  <si>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</si>
  <si>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</si>
  <si>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</si>
  <si>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</si>
  <si>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</si>
  <si>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</si>
  <si>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</si>
  <si>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</si>
  <si>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</si>
  <si>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</si>
  <si>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</si>
  <si>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</si>
  <si>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</si>
  <si>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</si>
  <si>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</si>
  <si>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</si>
  <si>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</si>
  <si>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</si>
  <si>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</si>
  <si>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</si>
  <si>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</si>
  <si>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</si>
  <si>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</si>
  <si>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</si>
  <si>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</si>
  <si>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</si>
  <si>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</si>
  <si>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</si>
  <si>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</si>
  <si>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</si>
  <si>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</si>
  <si>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</si>
  <si>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</si>
  <si>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</si>
  <si>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</si>
  <si>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</si>
  <si>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</si>
  <si>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</si>
  <si>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</si>
  <si>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</si>
  <si>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</si>
  <si>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</si>
  <si>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</si>
  <si>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</si>
  <si>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</si>
  <si>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</si>
  <si>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</si>
  <si>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</si>
  <si>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</si>
  <si>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</si>
  <si>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</si>
  <si>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</si>
  <si>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</si>
  <si>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</si>
  <si>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</si>
  <si>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</si>
  <si>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</si>
  <si>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</si>
  <si>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</si>
  <si>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</si>
  <si>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</si>
  <si>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</si>
  <si>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</si>
  <si>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</si>
  <si>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</si>
  <si>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</si>
  <si>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</si>
  <si>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</si>
  <si>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</si>
  <si>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</si>
  <si>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</si>
  <si>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</si>
  <si>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</si>
  <si>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</si>
  <si>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</si>
  <si>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</si>
  <si>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</si>
  <si>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</si>
  <si>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</si>
  <si>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</si>
  <si>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</si>
  <si>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</si>
  <si>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</si>
  <si>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</si>
  <si>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</si>
  <si>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</si>
  <si>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</si>
  <si>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</si>
  <si>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</si>
  <si>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</si>
  <si>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</si>
  <si>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</si>
  <si>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</si>
  <si>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</si>
  <si>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</si>
  <si>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</si>
  <si>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</si>
  <si>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</si>
  <si>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</si>
  <si>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</si>
  <si>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</si>
  <si>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</si>
  <si>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</si>
  <si>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</si>
  <si>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</si>
  <si>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</si>
  <si>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</si>
  <si>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</si>
  <si>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</si>
  <si>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</si>
  <si>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</si>
  <si>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</si>
  <si>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</si>
  <si>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</si>
  <si>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</si>
  <si>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</si>
  <si>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</si>
  <si>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</si>
  <si>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</si>
  <si>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</si>
  <si>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</si>
  <si>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</si>
  <si>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</si>
  <si>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</si>
  <si>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</si>
  <si>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</si>
  <si>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</si>
  <si>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</si>
  <si>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</si>
  <si>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</si>
  <si>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</si>
  <si>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</si>
  <si>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</si>
  <si>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</si>
  <si>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</si>
  <si>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</si>
  <si>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</si>
  <si>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</si>
  <si>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</si>
  <si>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</si>
  <si>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</si>
  <si>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</si>
  <si>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</si>
  <si>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</si>
  <si>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</si>
  <si>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</si>
  <si>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</si>
  <si>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</si>
  <si>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</si>
  <si>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</si>
  <si>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</si>
  <si>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</si>
  <si>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</si>
  <si>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</si>
  <si>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</si>
  <si>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</si>
  <si>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</si>
  <si>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</si>
  <si>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</si>
  <si>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</si>
  <si>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</si>
  <si>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</si>
  <si>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</si>
  <si>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</si>
  <si>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</si>
  <si>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</si>
  <si>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</si>
  <si>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</si>
  <si>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</si>
  <si>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</si>
  <si>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</si>
  <si>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</si>
  <si>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</si>
  <si>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</si>
  <si>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</si>
  <si>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</si>
  <si>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</si>
  <si>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</si>
  <si>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</si>
  <si>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</si>
  <si>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</si>
  <si>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</si>
  <si>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</si>
  <si>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</si>
  <si>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</si>
  <si>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</si>
  <si>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</si>
  <si>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</si>
  <si>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</si>
  <si>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</si>
  <si>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</si>
  <si>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</si>
  <si>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</si>
  <si>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</si>
  <si>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</si>
  <si>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</si>
  <si>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</si>
  <si>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</si>
  <si>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</si>
  <si>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</si>
  <si>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</si>
  <si>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</si>
  <si>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</si>
  <si>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</si>
  <si>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</si>
  <si>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</si>
  <si>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</si>
  <si>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</si>
  <si>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</si>
  <si>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</si>
  <si>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</si>
  <si>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</si>
  <si>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</si>
  <si>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</si>
  <si>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</si>
  <si>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</si>
  <si>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</si>
  <si>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</si>
  <si>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</si>
  <si>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</si>
  <si>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</si>
  <si>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</si>
  <si>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</si>
  <si>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</si>
  <si>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</si>
  <si>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</si>
  <si>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</si>
  <si>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</si>
  <si>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</si>
  <si>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</si>
  <si>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</si>
  <si>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</si>
  <si>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</si>
  <si>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</si>
  <si>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</si>
  <si>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</si>
  <si>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</si>
  <si>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</si>
  <si>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</si>
  <si>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</si>
  <si>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</si>
  <si>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</si>
  <si>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</si>
  <si>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</si>
  <si>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</si>
  <si>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</si>
  <si>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</si>
  <si>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</si>
  <si>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</si>
  <si>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</si>
  <si>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</si>
  <si>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</si>
  <si>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</si>
  <si>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</si>
  <si>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</si>
  <si>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</si>
  <si>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</si>
  <si>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</si>
  <si>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</si>
  <si>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</si>
  <si>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</si>
  <si>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</si>
  <si>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</si>
  <si>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</si>
  <si>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</si>
  <si>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</si>
  <si>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</si>
  <si>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</si>
  <si>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</si>
  <si>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</si>
  <si>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</si>
  <si>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</si>
  <si>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</si>
  <si>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</si>
  <si>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</si>
  <si>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</si>
  <si>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</si>
  <si>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</si>
  <si>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</si>
  <si>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</si>
  <si>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</si>
  <si>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</si>
  <si>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</si>
  <si>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</si>
  <si>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</si>
  <si>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</si>
  <si>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</si>
  <si>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</si>
  <si>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</si>
  <si>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</si>
  <si>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</si>
  <si>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</si>
  <si>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</si>
  <si>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</si>
  <si>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</si>
  <si>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</si>
  <si>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</si>
  <si>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</si>
  <si>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</si>
  <si>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</si>
  <si>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</si>
  <si>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</si>
  <si>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</si>
  <si>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</si>
  <si>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</si>
  <si>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</si>
  <si>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</si>
  <si>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</si>
  <si>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</si>
  <si>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</si>
  <si>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</si>
  <si>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</si>
  <si>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</si>
  <si>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</si>
  <si>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</si>
  <si>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</si>
  <si>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</si>
  <si>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</si>
  <si>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</si>
  <si>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</si>
  <si>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</si>
  <si>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</si>
  <si>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</si>
  <si>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</si>
  <si>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</si>
  <si>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</si>
  <si>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</si>
  <si>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</si>
  <si>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</si>
  <si>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</si>
  <si>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</si>
  <si>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</si>
  <si>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</si>
  <si>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</si>
  <si>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</si>
  <si>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</si>
  <si>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</si>
  <si>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</si>
  <si>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</si>
  <si>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</si>
  <si>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</si>
  <si>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</si>
  <si>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</si>
  <si>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</si>
  <si>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</si>
  <si>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</si>
  <si>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</si>
  <si>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</si>
  <si>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</si>
  <si>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</si>
  <si>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</si>
  <si>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</si>
  <si>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</si>
  <si>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</si>
  <si>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</si>
  <si>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</si>
  <si>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</si>
  <si>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</si>
  <si>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</si>
  <si>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</si>
  <si>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</si>
  <si>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</si>
  <si>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</si>
  <si>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</si>
  <si>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</si>
  <si>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</si>
  <si>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</si>
  <si>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</si>
  <si>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</si>
  <si>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</si>
  <si>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</si>
  <si>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</si>
  <si>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</si>
  <si>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</si>
  <si>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</si>
  <si>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</si>
  <si>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</si>
  <si>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</si>
  <si>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</si>
  <si>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</si>
  <si>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</si>
  <si>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</si>
  <si>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</si>
  <si>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</si>
  <si>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</si>
  <si>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</si>
  <si>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</si>
  <si>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</si>
  <si>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</si>
  <si>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</si>
  <si>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</si>
  <si>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</si>
  <si>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</si>
  <si>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</si>
  <si>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</si>
  <si>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</si>
  <si>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</si>
  <si>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</si>
  <si>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</si>
  <si>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</si>
  <si>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</si>
  <si>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</si>
  <si>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</si>
  <si>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</si>
  <si>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</si>
  <si>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</si>
  <si>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</si>
  <si>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</si>
  <si>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</si>
  <si>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</si>
  <si>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</si>
  <si>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</si>
  <si>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</si>
  <si>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</si>
  <si>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</si>
  <si>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</si>
  <si>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</si>
  <si>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</si>
  <si>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</si>
  <si>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</si>
  <si>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</si>
  <si>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</si>
  <si>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</si>
  <si>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</si>
  <si>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</si>
  <si>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</si>
  <si>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</si>
  <si>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</si>
  <si>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</si>
  <si>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</si>
  <si>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</si>
  <si>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</si>
  <si>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</si>
  <si>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</si>
  <si>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</si>
  <si>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</si>
  <si>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</si>
  <si>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</si>
  <si>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</si>
  <si>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</si>
  <si>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</si>
  <si>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</si>
  <si>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</si>
  <si>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</si>
  <si>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</si>
  <si>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</si>
  <si>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</si>
  <si>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</si>
  <si>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</si>
  <si>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</si>
  <si>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</si>
  <si>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</si>
  <si>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</si>
  <si>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</si>
  <si>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</si>
  <si>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</si>
  <si>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</si>
  <si>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</si>
  <si>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</si>
  <si>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</si>
  <si>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</si>
  <si>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</si>
  <si>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</si>
  <si>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</si>
  <si>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</si>
  <si>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</si>
  <si>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</si>
  <si>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</si>
  <si>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</si>
  <si>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</si>
  <si>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</si>
  <si>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</si>
  <si>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</si>
  <si>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</si>
  <si>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</si>
  <si>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</si>
  <si>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</si>
  <si>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</si>
  <si>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</si>
  <si>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</si>
  <si>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</si>
  <si>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</si>
  <si>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</si>
  <si>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</si>
  <si>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</si>
  <si>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</si>
  <si>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</si>
  <si>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</si>
  <si>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</si>
  <si>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</si>
  <si>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</si>
  <si>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</si>
  <si>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</si>
  <si>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</si>
  <si>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</si>
  <si>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</si>
  <si>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</si>
  <si>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</si>
  <si>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</si>
  <si>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</si>
  <si>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</si>
  <si>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</si>
  <si>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</si>
  <si>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</si>
  <si>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</si>
  <si>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</si>
  <si>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</si>
  <si>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</si>
  <si>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</si>
  <si>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</si>
  <si>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</si>
  <si>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</si>
  <si>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</si>
  <si>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</si>
  <si>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</si>
  <si>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</si>
  <si>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</si>
  <si>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</si>
  <si>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</si>
  <si>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</si>
  <si>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</si>
  <si>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</si>
  <si>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</si>
  <si>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</si>
  <si>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</si>
  <si>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</si>
  <si>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</si>
  <si>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</si>
  <si>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</si>
  <si>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</si>
  <si>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</si>
  <si>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</si>
  <si>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</si>
  <si>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</si>
  <si>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</si>
  <si>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</si>
  <si>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</si>
  <si>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</si>
  <si>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</si>
  <si>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</si>
  <si>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</si>
  <si>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</si>
  <si>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</si>
  <si>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</si>
  <si>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</si>
  <si>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</si>
  <si>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</si>
  <si>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</si>
  <si>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</si>
  <si>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</si>
  <si>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</si>
  <si>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</si>
  <si>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</si>
  <si>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</si>
  <si>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</si>
  <si>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</si>
  <si>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</si>
  <si>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</si>
  <si>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</si>
  <si>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</si>
  <si>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</si>
  <si>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</si>
  <si>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</si>
  <si>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</si>
  <si>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</si>
  <si>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</si>
  <si>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</si>
  <si>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</si>
  <si>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</si>
  <si>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</si>
  <si>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</si>
  <si>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</si>
  <si>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</si>
  <si>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</si>
  <si>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</si>
  <si>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</si>
  <si>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</si>
  <si>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</si>
  <si>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</si>
  <si>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</si>
  <si>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</si>
  <si>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</si>
  <si>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</si>
  <si>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</si>
  <si>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</si>
  <si>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</si>
  <si>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</si>
  <si>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</si>
  <si>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</si>
  <si>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</si>
  <si>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</si>
  <si>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</si>
  <si>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</si>
  <si>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</si>
  <si>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</si>
  <si>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</si>
  <si>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</si>
  <si>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</si>
  <si>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</si>
  <si>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</si>
  <si>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</si>
  <si>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</si>
  <si>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</si>
  <si>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</si>
  <si>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</si>
  <si>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</si>
  <si>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</si>
  <si>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</si>
  <si>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</si>
  <si>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</si>
  <si>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</si>
  <si>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</si>
  <si>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</si>
  <si>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</si>
  <si>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</si>
  <si>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</si>
  <si>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</si>
  <si>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</si>
  <si>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</si>
  <si>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</si>
  <si>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</si>
  <si>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</si>
  <si>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</si>
  <si>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</si>
  <si>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</si>
  <si>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</si>
  <si>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</si>
  <si>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</si>
  <si>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</si>
  <si>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</si>
  <si>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</si>
  <si>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</si>
  <si>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</si>
  <si>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</si>
  <si>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</si>
  <si>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</si>
  <si>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</si>
  <si>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</si>
  <si>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</si>
  <si>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</si>
  <si>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</si>
  <si>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</si>
  <si>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</si>
  <si>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</si>
  <si>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</si>
  <si>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</si>
  <si>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</si>
  <si>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</si>
  <si>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</si>
  <si>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</si>
  <si>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</si>
  <si>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</si>
  <si>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</si>
  <si>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</si>
  <si>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</si>
  <si>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</si>
  <si>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</si>
  <si>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</si>
  <si>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</si>
  <si>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</si>
  <si>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</si>
  <si>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</si>
  <si>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</si>
  <si>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</si>
  <si>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</si>
  <si>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</si>
  <si>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</si>
  <si>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</si>
  <si>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</si>
  <si>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</si>
  <si>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</si>
  <si>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</si>
  <si>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</si>
  <si>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</si>
  <si>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</si>
  <si>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</si>
  <si>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</si>
  <si>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</si>
  <si>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</si>
  <si>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</si>
  <si>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</si>
  <si>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</si>
  <si>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</si>
  <si>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</si>
  <si>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</si>
  <si>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</si>
  <si>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</si>
  <si>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</si>
  <si>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</si>
  <si>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</si>
  <si>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</si>
  <si>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</si>
  <si>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</si>
  <si>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</si>
  <si>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</si>
  <si>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</si>
  <si>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</si>
  <si>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</si>
  <si>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</si>
  <si>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</si>
  <si>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</si>
  <si>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</si>
  <si>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</si>
  <si>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</si>
  <si>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</si>
  <si>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</si>
  <si>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</si>
  <si>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</si>
  <si>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</si>
  <si>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</si>
  <si>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</si>
  <si>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</si>
  <si>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</si>
  <si>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</si>
  <si>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</si>
  <si>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</si>
  <si>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</si>
  <si>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</si>
  <si>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</si>
  <si>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</si>
  <si>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</si>
  <si>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</si>
  <si>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</si>
  <si>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</si>
  <si>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</si>
  <si>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</si>
  <si>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</si>
  <si>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</si>
  <si>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</si>
  <si>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</si>
  <si>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</si>
  <si>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</si>
  <si>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</si>
  <si>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</si>
  <si>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</si>
  <si>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</si>
  <si>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</si>
  <si>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</si>
  <si>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</si>
  <si>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</si>
  <si>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</si>
  <si>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</si>
  <si>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</si>
  <si>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</si>
  <si>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</si>
  <si>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</si>
  <si>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</si>
  <si>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</si>
  <si>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</si>
  <si>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</si>
  <si>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</si>
  <si>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</si>
  <si>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</si>
  <si>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</si>
  <si>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</si>
  <si>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</si>
  <si>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</si>
  <si>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</si>
  <si>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</si>
  <si>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</si>
  <si>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</si>
  <si>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</si>
  <si>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</si>
  <si>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</si>
  <si>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</si>
  <si>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</si>
  <si>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</si>
  <si>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</si>
  <si>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</si>
  <si>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</si>
  <si>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</si>
  <si>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</si>
  <si>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</si>
  <si>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</si>
  <si>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</si>
  <si>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</si>
  <si>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</si>
  <si>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</si>
  <si>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</si>
  <si>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</si>
  <si>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</si>
  <si>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</si>
  <si>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</si>
  <si>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</si>
  <si>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</si>
  <si>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</si>
  <si>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</si>
  <si>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</si>
  <si>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</si>
  <si>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</si>
  <si>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</si>
  <si>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</si>
  <si>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</si>
  <si>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</si>
  <si>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</si>
  <si>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</si>
  <si>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</si>
  <si>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</si>
  <si>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</si>
  <si>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</si>
  <si>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</si>
  <si>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</si>
  <si>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</si>
  <si>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</si>
  <si>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</si>
  <si>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</si>
  <si>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</si>
  <si>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</si>
  <si>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</si>
  <si>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</si>
  <si>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</si>
  <si>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</si>
  <si>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</si>
  <si>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</si>
  <si>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</si>
  <si>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</si>
  <si>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</si>
  <si>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</si>
  <si>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</si>
  <si>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</si>
  <si>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</si>
  <si>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</si>
  <si>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</si>
  <si>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</si>
  <si>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</si>
  <si>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</si>
  <si>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</si>
  <si>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</si>
  <si>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</si>
  <si>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</si>
  <si>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</si>
  <si>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</si>
  <si>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</si>
  <si>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</si>
  <si>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</si>
  <si>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</si>
  <si>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</si>
  <si>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</si>
  <si>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</si>
  <si>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</si>
  <si>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</si>
  <si>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</si>
  <si>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</si>
  <si>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</si>
  <si>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</si>
  <si>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</si>
  <si>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</si>
  <si>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</si>
  <si>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</si>
  <si>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</si>
  <si>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</si>
  <si>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</si>
  <si>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</si>
  <si>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</si>
  <si>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</si>
  <si>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</si>
  <si>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</si>
  <si>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</si>
  <si>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</si>
  <si>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</si>
  <si>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</si>
  <si>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</si>
  <si>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</si>
  <si>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</si>
  <si>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</si>
  <si>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</si>
  <si>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</si>
  <si>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</si>
  <si>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</si>
  <si>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</si>
  <si>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</si>
  <si>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</si>
  <si>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</si>
  <si>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</si>
  <si>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</si>
  <si>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</si>
  <si>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</si>
  <si>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</si>
  <si>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</si>
  <si>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</si>
  <si>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</si>
  <si>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</si>
  <si>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</si>
  <si>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</si>
  <si>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</si>
  <si>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</si>
  <si>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</si>
  <si>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</si>
  <si>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</si>
  <si>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</si>
  <si>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</si>
  <si>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</si>
  <si>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</si>
  <si>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</si>
  <si>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</si>
  <si>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</si>
  <si>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</si>
  <si>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</si>
  <si>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</si>
  <si>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</si>
  <si>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</si>
  <si>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</si>
  <si>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</si>
  <si>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</si>
  <si>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</si>
  <si>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</si>
  <si>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</si>
  <si>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</si>
  <si>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</si>
  <si>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</si>
  <si>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</si>
  <si>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</si>
  <si>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</si>
  <si>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</si>
  <si>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</si>
  <si>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</si>
  <si>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</si>
  <si>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</si>
  <si>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</si>
  <si>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</si>
  <si>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</si>
  <si>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</si>
  <si>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</si>
  <si>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</si>
  <si>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</si>
  <si>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</si>
  <si>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</si>
  <si>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</si>
  <si>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</si>
  <si>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</si>
  <si>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</si>
  <si>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</si>
  <si>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</si>
  <si>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</si>
  <si>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</si>
  <si>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</si>
  <si>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</si>
  <si>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</si>
  <si>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</si>
  <si>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</si>
  <si>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</si>
  <si>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</si>
  <si>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</si>
  <si>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</si>
  <si>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</si>
  <si>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</si>
  <si>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</si>
  <si>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</si>
  <si>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</si>
  <si>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</si>
  <si>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</si>
  <si>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</si>
  <si>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</si>
  <si>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</si>
  <si>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</si>
  <si>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</si>
  <si>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</si>
  <si>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</si>
  <si>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</si>
  <si>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</si>
  <si>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</si>
  <si>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</si>
  <si>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</si>
  <si>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</si>
  <si>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</si>
  <si>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</si>
  <si>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</si>
  <si>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</si>
  <si>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</si>
  <si>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</si>
  <si>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</si>
  <si>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</si>
  <si>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</si>
  <si>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</si>
  <si>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</si>
  <si>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</si>
  <si>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</si>
  <si>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</si>
  <si>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</si>
  <si>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</si>
  <si>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</si>
  <si>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</si>
  <si>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</si>
  <si>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</si>
  <si>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</si>
  <si>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</si>
  <si>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</si>
  <si>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</si>
  <si>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</si>
  <si>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</si>
  <si>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</si>
  <si>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</si>
  <si>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</si>
  <si>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</si>
  <si>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</si>
  <si>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</si>
  <si>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</si>
  <si>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</si>
  <si>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</si>
  <si>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</si>
  <si>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</si>
  <si>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</si>
  <si>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</si>
  <si>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</si>
  <si>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</si>
  <si>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</si>
  <si>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</si>
  <si>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</si>
  <si>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</si>
  <si>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</si>
  <si>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</si>
  <si>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</si>
  <si>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</si>
  <si>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</si>
  <si>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</si>
  <si>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</si>
  <si>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</si>
  <si>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</si>
  <si>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</si>
  <si>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</si>
  <si>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</si>
  <si>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</si>
  <si>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</si>
  <si>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</si>
  <si>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</si>
  <si>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</si>
  <si>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</si>
  <si>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</si>
  <si>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</si>
  <si>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</si>
  <si>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</si>
  <si>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</si>
  <si>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</si>
  <si>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</si>
  <si>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</si>
  <si>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</si>
  <si>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</si>
  <si>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</si>
  <si>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</si>
  <si>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</si>
  <si>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</si>
  <si>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</si>
  <si>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</si>
  <si>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</si>
  <si>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</si>
  <si>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</si>
  <si>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</si>
  <si>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</si>
  <si>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</si>
  <si>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</si>
  <si>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</si>
  <si>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</si>
  <si>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</si>
  <si>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</si>
  <si>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</si>
  <si>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</si>
  <si>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</si>
  <si>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</si>
  <si>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</si>
  <si>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</si>
  <si>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</si>
  <si>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</si>
  <si>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</si>
  <si>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</si>
  <si>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</si>
  <si>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</si>
  <si>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</si>
  <si>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</si>
  <si>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</si>
  <si>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</si>
  <si>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</si>
  <si>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</si>
  <si>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</si>
  <si>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</si>
  <si>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</si>
  <si>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</si>
  <si>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</si>
  <si>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</si>
  <si>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</si>
  <si>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</si>
  <si>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</si>
  <si>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</si>
  <si>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</si>
  <si>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</si>
  <si>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</si>
  <si>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</si>
  <si>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</si>
  <si>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</si>
  <si>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</si>
  <si>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</si>
  <si>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</si>
  <si>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</si>
  <si>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</si>
  <si>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</si>
  <si>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</si>
  <si>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</si>
  <si>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</si>
  <si>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</si>
  <si>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</si>
  <si>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</si>
  <si>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</si>
  <si>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</si>
  <si>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</si>
  <si>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</si>
  <si>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</si>
  <si>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</si>
  <si>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</si>
  <si>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</si>
  <si>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</si>
  <si>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</si>
  <si>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</si>
  <si>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</si>
  <si>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</si>
  <si>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</si>
  <si>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</si>
  <si>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</si>
  <si>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</si>
  <si>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</si>
  <si>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</si>
  <si>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</si>
  <si>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</si>
  <si>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</si>
  <si>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</si>
  <si>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</si>
  <si>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</si>
  <si>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</si>
  <si>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</si>
  <si>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</si>
  <si>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</si>
  <si>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</si>
  <si>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</si>
  <si>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</si>
  <si>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</si>
  <si>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</si>
  <si>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</si>
  <si>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</si>
  <si>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</si>
  <si>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</si>
  <si>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</si>
  <si>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</si>
  <si>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</si>
  <si>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</si>
  <si>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</si>
  <si>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</si>
  <si>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</si>
  <si>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</si>
  <si>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</si>
  <si>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</si>
  <si>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</si>
  <si>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</si>
  <si>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</si>
  <si>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</si>
  <si>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</si>
  <si>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</si>
  <si>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</si>
  <si>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</si>
  <si>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</si>
  <si>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</si>
  <si>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</si>
  <si>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</si>
  <si>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</si>
  <si>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</si>
  <si>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</si>
  <si>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</si>
  <si>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</si>
  <si>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</si>
  <si>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</si>
  <si>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</si>
  <si>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</si>
  <si>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</si>
  <si>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</si>
  <si>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</si>
  <si>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</si>
  <si>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</si>
  <si>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</si>
  <si>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</si>
  <si>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</si>
  <si>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</si>
  <si>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</si>
  <si>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</si>
  <si>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</si>
  <si>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</si>
  <si>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</si>
  <si>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</si>
  <si>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</si>
  <si>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</si>
  <si>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</si>
  <si>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</si>
  <si>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</si>
  <si>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</si>
  <si>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</si>
  <si>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</si>
  <si>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</si>
  <si>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</si>
  <si>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</si>
  <si>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</si>
  <si>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</si>
  <si>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</si>
  <si>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</si>
  <si>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</si>
  <si>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</si>
  <si>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</si>
  <si>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</si>
  <si>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</si>
  <si>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</si>
  <si>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</si>
  <si>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</si>
  <si>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</si>
  <si>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</si>
  <si>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</si>
  <si>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</si>
  <si>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</si>
  <si>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</si>
  <si>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</si>
  <si>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</si>
  <si>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</si>
  <si>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</si>
  <si>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</si>
  <si>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</si>
  <si>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</si>
  <si>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</si>
  <si>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</si>
  <si>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</si>
  <si>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</si>
  <si>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</si>
  <si>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</si>
  <si>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</si>
  <si>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</si>
  <si>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</si>
  <si>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</si>
  <si>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</si>
  <si>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</si>
  <si>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</si>
  <si>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</si>
  <si>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</si>
  <si>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</si>
  <si>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</si>
  <si>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</si>
  <si>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</si>
  <si>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</si>
  <si>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</si>
  <si>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</si>
  <si>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</si>
  <si>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</si>
  <si>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</si>
  <si>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</si>
  <si>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</si>
  <si>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</si>
  <si>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</si>
  <si>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</si>
  <si>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</si>
  <si>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</si>
  <si>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</si>
  <si>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</si>
  <si>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</si>
  <si>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</si>
  <si>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</si>
  <si>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</si>
  <si>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</si>
  <si>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</si>
  <si>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</si>
  <si>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</si>
  <si>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</si>
  <si>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</si>
  <si>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</si>
  <si>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</si>
  <si>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</si>
  <si>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</si>
  <si>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</si>
  <si>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</si>
  <si>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</si>
  <si>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</si>
  <si>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</si>
  <si>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</si>
  <si>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</si>
  <si>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</si>
  <si>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</si>
  <si>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</si>
  <si>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</si>
  <si>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</si>
  <si>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</si>
  <si>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</si>
  <si>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</si>
  <si>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</si>
  <si>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</si>
  <si>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</si>
  <si>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</si>
  <si>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</si>
  <si>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</si>
  <si>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</si>
  <si>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</si>
  <si>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</si>
  <si>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</si>
  <si>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</si>
  <si>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</si>
  <si>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</si>
  <si>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</si>
  <si>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</si>
  <si>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</si>
  <si>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</si>
  <si>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</si>
  <si>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</si>
  <si>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</si>
  <si>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</si>
  <si>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</si>
  <si>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</si>
  <si>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</si>
  <si>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</si>
  <si>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</si>
  <si>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</si>
  <si>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</si>
  <si>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</si>
  <si>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</si>
  <si>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</si>
  <si>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</si>
  <si>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</si>
  <si>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</si>
  <si>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</si>
  <si>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</si>
  <si>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</si>
  <si>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</si>
  <si>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</si>
  <si>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</si>
  <si>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</si>
  <si>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</si>
  <si>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</si>
  <si>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</si>
  <si>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</si>
  <si>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</si>
  <si>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</si>
  <si>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</si>
  <si>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</si>
  <si>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</si>
  <si>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</si>
  <si>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</si>
  <si>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</si>
  <si>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</si>
  <si>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</si>
  <si>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</si>
  <si>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</si>
  <si>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</si>
  <si>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</si>
  <si>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</si>
  <si>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</si>
  <si>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</si>
  <si>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</si>
  <si>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</si>
  <si>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</si>
  <si>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</si>
  <si>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</si>
  <si>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</si>
  <si>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</si>
  <si>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</si>
  <si>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</si>
  <si>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</si>
  <si>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</si>
  <si>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</si>
  <si>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</si>
  <si>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</si>
  <si>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</si>
  <si>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</si>
  <si>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</si>
  <si>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</si>
  <si>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</si>
  <si>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</si>
  <si>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</si>
  <si>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</si>
  <si>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</si>
  <si>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</si>
  <si>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</si>
  <si>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</si>
  <si>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</si>
  <si>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</si>
  <si>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</si>
  <si>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</si>
  <si>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</si>
  <si>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</si>
  <si>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</si>
  <si>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</si>
  <si>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</si>
  <si>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</si>
  <si>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</si>
  <si>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</si>
  <si>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</si>
  <si>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</si>
  <si>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</si>
  <si>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</si>
  <si>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</si>
  <si>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</si>
  <si>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</si>
  <si>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</si>
  <si>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</si>
  <si>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</si>
  <si>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</si>
  <si>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</si>
  <si>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</si>
  <si>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</si>
  <si>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</si>
  <si>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</si>
  <si>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</si>
  <si>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</si>
  <si>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</si>
  <si>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</si>
  <si>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</si>
  <si>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</si>
  <si>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</si>
  <si>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</si>
  <si>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</si>
  <si>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</si>
  <si>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</si>
  <si>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</si>
  <si>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</si>
  <si>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</si>
  <si>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</si>
  <si>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</si>
  <si>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</si>
  <si>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</si>
  <si>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</si>
  <si>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</si>
  <si>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</si>
  <si>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</si>
  <si>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</si>
  <si>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</si>
  <si>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</si>
  <si>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</si>
  <si>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</si>
  <si>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</si>
  <si>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</si>
  <si>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</si>
  <si>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</si>
  <si>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</si>
  <si>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</si>
  <si>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</si>
  <si>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</si>
  <si>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</si>
  <si>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</si>
  <si>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</si>
  <si>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</si>
  <si>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</si>
  <si>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</si>
  <si>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</si>
  <si>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</si>
  <si>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</si>
  <si>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</si>
  <si>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</si>
  <si>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</si>
  <si>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</si>
  <si>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</si>
  <si>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</si>
  <si>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</si>
  <si>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</si>
  <si>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</si>
  <si>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</si>
  <si>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</si>
  <si>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</si>
  <si>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</si>
  <si>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</si>
  <si>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</si>
  <si>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</si>
  <si>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</si>
  <si>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</si>
  <si>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</si>
  <si>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</si>
  <si>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</si>
  <si>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</si>
  <si>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</si>
  <si>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</si>
  <si>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</si>
  <si>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</si>
  <si>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</si>
  <si>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</si>
  <si>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</si>
  <si>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</si>
  <si>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</si>
  <si>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</si>
  <si>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</si>
  <si>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</si>
  <si>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</si>
  <si>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</si>
  <si>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</si>
  <si>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</si>
  <si>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</si>
  <si>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</si>
  <si>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</si>
  <si>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</si>
  <si>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</si>
  <si>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</si>
  <si>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</si>
  <si>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</si>
  <si>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</si>
  <si>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</si>
  <si>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</si>
  <si>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</si>
  <si>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</si>
  <si>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</si>
  <si>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</si>
  <si>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</si>
  <si>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</si>
  <si>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</si>
  <si>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</si>
  <si>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</si>
  <si>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</si>
  <si>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</si>
  <si>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</si>
  <si>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</si>
  <si>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</si>
  <si>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</si>
  <si>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</si>
  <si>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</si>
  <si>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</si>
  <si>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</si>
  <si>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</si>
  <si>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</si>
  <si>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</si>
  <si>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</si>
  <si>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</si>
  <si>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</si>
  <si>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</si>
  <si>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</si>
  <si>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</si>
  <si>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</si>
  <si>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</si>
  <si>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</si>
  <si>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</si>
  <si>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</si>
  <si>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</si>
  <si>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</si>
  <si>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</si>
  <si>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</si>
  <si>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</si>
  <si>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</si>
  <si>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</si>
  <si>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</si>
  <si>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</si>
  <si>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</si>
  <si>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</si>
  <si>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</si>
  <si>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</si>
  <si>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</si>
  <si>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</si>
  <si>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</si>
  <si>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</si>
  <si>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</si>
  <si>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</si>
  <si>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</si>
  <si>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</si>
  <si>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</si>
  <si>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</si>
  <si>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</si>
  <si>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</si>
  <si>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</si>
  <si>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</si>
  <si>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</si>
  <si>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</si>
  <si>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</si>
  <si>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</si>
  <si>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</si>
  <si>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</si>
  <si>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</si>
  <si>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</si>
  <si>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</si>
  <si>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</si>
  <si>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</si>
  <si>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</si>
  <si>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</si>
  <si>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</si>
  <si>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</si>
  <si>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</si>
  <si>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</si>
  <si>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</si>
  <si>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</si>
  <si>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</si>
  <si>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</si>
  <si>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</si>
  <si>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</si>
  <si>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</si>
  <si>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</si>
  <si>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</si>
  <si>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</si>
  <si>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</si>
  <si>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</si>
  <si>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</si>
  <si>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</si>
  <si>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</si>
  <si>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</si>
  <si>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</si>
  <si>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</si>
  <si>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</si>
  <si>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</si>
  <si>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</si>
  <si>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</si>
  <si>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</si>
  <si>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</si>
  <si>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</si>
  <si>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</si>
  <si>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</si>
  <si>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</si>
  <si>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</si>
  <si>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</si>
  <si>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</si>
  <si>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</si>
  <si>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</si>
  <si>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</si>
  <si>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</si>
  <si>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</si>
  <si>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</si>
  <si>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</si>
  <si>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</si>
  <si>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</si>
  <si>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</si>
  <si>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</si>
  <si>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</si>
  <si>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</si>
  <si>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</si>
  <si>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</si>
  <si>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</si>
  <si>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</si>
  <si>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</si>
  <si>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</si>
  <si>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</si>
  <si>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</si>
  <si>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</si>
  <si>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</si>
  <si>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</si>
  <si>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</si>
  <si>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</si>
  <si>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</si>
  <si>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</si>
  <si>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</si>
  <si>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</si>
  <si>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</si>
  <si>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</si>
  <si>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</si>
  <si>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</si>
  <si>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</si>
  <si>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</si>
  <si>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</si>
  <si>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</si>
  <si>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</si>
  <si>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</si>
  <si>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</si>
  <si>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</si>
  <si>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</si>
  <si>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</si>
  <si>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</si>
  <si>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</si>
  <si>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</si>
  <si>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</si>
  <si>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</si>
  <si>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</si>
  <si>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</si>
  <si>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</si>
  <si>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</si>
  <si>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</si>
  <si>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</si>
  <si>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</si>
  <si>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</si>
  <si>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</si>
  <si>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</si>
  <si>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</si>
  <si>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</si>
  <si>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</si>
  <si>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</si>
  <si>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</si>
  <si>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</si>
  <si>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</si>
  <si>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</si>
  <si>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</si>
  <si>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</si>
  <si>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</si>
  <si>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</si>
  <si>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</si>
  <si>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</si>
  <si>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</si>
  <si>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</si>
  <si>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</si>
  <si>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</si>
  <si>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</si>
  <si>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</si>
  <si>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</si>
  <si>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</si>
  <si>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</si>
  <si>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</si>
  <si>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</si>
  <si>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</si>
  <si>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</si>
  <si>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</si>
  <si>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</si>
  <si>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</si>
  <si>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</si>
  <si>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</si>
  <si>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</si>
  <si>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</si>
  <si>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</si>
  <si>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</si>
  <si>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</si>
  <si>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</si>
  <si>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</si>
  <si>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</si>
  <si>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</si>
  <si>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</si>
  <si>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</si>
  <si>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</si>
  <si>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</si>
  <si>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</si>
  <si>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</si>
  <si>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</si>
  <si>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</si>
  <si>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</si>
  <si>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</si>
  <si>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</si>
  <si>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</si>
  <si>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</si>
  <si>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</si>
  <si>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</si>
  <si>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</si>
  <si>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</si>
  <si>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</si>
  <si>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</si>
  <si>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</si>
  <si>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</si>
  <si>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</si>
  <si>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</si>
  <si>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</si>
  <si>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</si>
  <si>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</si>
  <si>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</si>
  <si>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</si>
  <si>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</si>
  <si>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</si>
  <si>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</si>
  <si>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</si>
  <si>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</si>
  <si>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</si>
  <si>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</si>
  <si>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</si>
  <si>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</si>
  <si>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</si>
  <si>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</si>
  <si>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</si>
  <si>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</si>
  <si>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</si>
  <si>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</si>
  <si>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</si>
  <si>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</si>
  <si>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</si>
  <si>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</si>
  <si>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</si>
  <si>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</si>
  <si>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</si>
  <si>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</si>
  <si>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</si>
  <si>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</si>
  <si>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</si>
  <si>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</si>
  <si>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</si>
  <si>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</si>
  <si>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</si>
  <si>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</si>
  <si>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</si>
  <si>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</si>
  <si>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</si>
  <si>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</si>
  <si>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</si>
  <si>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</si>
  <si>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</si>
  <si>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</si>
  <si>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</si>
  <si>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</si>
  <si>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</si>
  <si>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</si>
  <si>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</si>
  <si>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</si>
  <si>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</si>
  <si>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</si>
  <si>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</si>
  <si>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</si>
  <si>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</si>
  <si>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</si>
  <si>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</si>
  <si>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</si>
  <si>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</si>
  <si>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</si>
  <si>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</si>
  <si>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</si>
  <si>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</si>
  <si>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</si>
  <si>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</si>
  <si>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</si>
  <si>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</si>
  <si>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</si>
  <si>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</si>
  <si>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</si>
  <si>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</si>
  <si>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</si>
  <si>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</si>
  <si>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</si>
  <si>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</si>
  <si>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</si>
  <si>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</si>
  <si>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</si>
  <si>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</si>
  <si>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</si>
  <si>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</si>
  <si>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</si>
  <si>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</si>
  <si>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</si>
  <si>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</si>
  <si>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</si>
  <si>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</si>
  <si>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</si>
  <si>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</si>
  <si>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</si>
  <si>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</si>
  <si>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</si>
  <si>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</si>
  <si>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</si>
  <si>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</si>
  <si>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</si>
  <si>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</si>
  <si>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</si>
  <si>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</si>
  <si>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</si>
  <si>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</si>
  <si>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</si>
  <si>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</si>
  <si>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</si>
  <si>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</si>
  <si>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</si>
  <si>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</si>
  <si>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</si>
  <si>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</si>
  <si>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</si>
  <si>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</si>
  <si>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</si>
  <si>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</si>
  <si>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</si>
  <si>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</si>
  <si>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</si>
  <si>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</si>
  <si>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</si>
  <si>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</si>
  <si>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</si>
  <si>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</si>
  <si>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</si>
  <si>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</si>
  <si>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</si>
  <si>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</si>
  <si>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</si>
  <si>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</si>
  <si>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</si>
  <si>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</si>
  <si>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</si>
  <si>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</si>
  <si>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</si>
  <si>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</si>
  <si>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</si>
  <si>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</si>
  <si>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</si>
  <si>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</si>
  <si>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</si>
  <si>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</si>
  <si>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</si>
  <si>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</si>
  <si>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</si>
  <si>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</si>
  <si>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</si>
  <si>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</si>
  <si>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</si>
  <si>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</si>
  <si>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</si>
  <si>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</si>
  <si>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</si>
  <si>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</si>
  <si>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</si>
  <si>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</si>
  <si>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</si>
  <si>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</si>
  <si>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</si>
  <si>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</si>
  <si>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</si>
  <si>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</si>
  <si>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</si>
  <si>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</si>
  <si>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</si>
  <si>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</si>
  <si>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</si>
  <si>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</si>
  <si>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</si>
  <si>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</si>
  <si>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</si>
  <si>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</si>
  <si>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</si>
  <si>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</si>
  <si>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</si>
  <si>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</si>
  <si>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</si>
  <si>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</si>
  <si>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</si>
  <si>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</si>
  <si>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</si>
  <si>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</si>
  <si>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</si>
  <si>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</si>
  <si>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</si>
  <si>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</si>
  <si>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</si>
  <si>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</si>
  <si>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</si>
  <si>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</si>
  <si>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</si>
  <si>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</si>
  <si>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</si>
  <si>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</si>
  <si>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</si>
  <si>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</si>
  <si>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</si>
  <si>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</si>
  <si>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</si>
  <si>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</si>
  <si>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</si>
  <si>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</si>
  <si>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</si>
  <si>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</si>
  <si>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</si>
  <si>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</si>
  <si>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</si>
  <si>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</si>
  <si>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</si>
  <si>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</si>
  <si>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</si>
  <si>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</si>
  <si>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</si>
  <si>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</si>
  <si>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</si>
  <si>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</si>
  <si>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</si>
  <si>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</si>
  <si>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</si>
  <si>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</si>
  <si>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</si>
  <si>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</si>
  <si>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</si>
  <si>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</si>
  <si>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</si>
  <si>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</si>
  <si>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</si>
  <si>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</si>
  <si>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</si>
  <si>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</si>
  <si>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</si>
  <si>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</si>
  <si>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</si>
  <si>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</si>
  <si>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</si>
  <si>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</si>
  <si>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</si>
  <si>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</si>
  <si>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</si>
  <si>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</si>
  <si>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</si>
  <si>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</si>
  <si>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</si>
  <si>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</si>
  <si>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</si>
  <si>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</si>
  <si>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</si>
  <si>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</si>
  <si>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</si>
  <si>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</si>
  <si>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</si>
  <si>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</si>
  <si>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</si>
  <si>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</si>
  <si>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</si>
  <si>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</si>
  <si>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</si>
  <si>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</si>
  <si>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</si>
  <si>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</si>
  <si>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</si>
  <si>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</si>
  <si>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</si>
  <si>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</si>
  <si>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</si>
  <si>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</si>
  <si>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</si>
  <si>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</si>
  <si>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</si>
  <si>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</si>
  <si>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</si>
  <si>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</si>
  <si>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</si>
  <si>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</si>
  <si>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</si>
  <si>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</si>
  <si>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</si>
  <si>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</si>
  <si>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</si>
  <si>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</si>
  <si>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</si>
  <si>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</si>
  <si>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</si>
  <si>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</si>
  <si>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</si>
  <si>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</si>
  <si>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</si>
  <si>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</si>
  <si>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</si>
  <si>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</si>
  <si>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</si>
  <si>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</si>
  <si>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</si>
  <si>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</si>
  <si>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</si>
  <si>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</si>
  <si>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</si>
  <si>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</si>
  <si>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</si>
  <si>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</si>
  <si>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</si>
  <si>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</si>
  <si>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</si>
  <si>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</si>
  <si>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</si>
  <si>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</si>
  <si>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</si>
  <si>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</si>
  <si>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</si>
  <si>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</si>
  <si>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</si>
  <si>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</si>
  <si>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</si>
  <si>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</si>
  <si>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</si>
  <si>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</si>
  <si>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</si>
  <si>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</si>
  <si>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</si>
  <si>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</si>
  <si>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</si>
  <si>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</si>
  <si>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</si>
  <si>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</si>
  <si>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</si>
  <si>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</si>
  <si>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</si>
  <si>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</si>
  <si>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</si>
  <si>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</si>
  <si>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</si>
  <si>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</si>
  <si>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</si>
  <si>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</si>
  <si>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</si>
  <si>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</si>
  <si>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</si>
  <si>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</si>
  <si>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</si>
  <si>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</si>
  <si>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</si>
  <si>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</si>
  <si>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</si>
  <si>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</si>
  <si>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</si>
  <si>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</si>
  <si>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</si>
  <si>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</si>
  <si>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</si>
  <si>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</si>
  <si>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</si>
  <si>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</si>
  <si>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</si>
  <si>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</si>
  <si>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</si>
  <si>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</si>
  <si>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</si>
  <si>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</si>
  <si>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</si>
  <si>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</si>
  <si>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</si>
  <si>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</si>
  <si>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</si>
  <si>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</si>
  <si>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</si>
  <si>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</si>
  <si>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</si>
  <si>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</si>
  <si>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</si>
  <si>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</si>
  <si>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</si>
  <si>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</si>
  <si>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</si>
  <si>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</si>
  <si>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</si>
  <si>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</si>
  <si>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</si>
  <si>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</si>
  <si>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</si>
  <si>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</si>
  <si>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</si>
  <si>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</si>
  <si>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</si>
  <si>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</si>
  <si>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</si>
  <si>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</si>
  <si>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</si>
  <si>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</si>
  <si>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</si>
  <si>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</si>
  <si>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</si>
  <si>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</si>
  <si>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</si>
  <si>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</si>
  <si>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</si>
  <si>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</si>
  <si>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</si>
  <si>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</si>
  <si>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</si>
  <si>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</si>
  <si>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</si>
  <si>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</si>
  <si>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</si>
  <si>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</si>
  <si>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</si>
  <si>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</si>
  <si>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</si>
  <si>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</si>
  <si>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</si>
  <si>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</si>
  <si>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</si>
  <si>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</si>
  <si>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</si>
  <si>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</si>
  <si>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</si>
  <si>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</si>
  <si>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</si>
  <si>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</si>
  <si>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</si>
  <si>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</si>
  <si>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</si>
  <si>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</si>
  <si>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</si>
  <si>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</si>
  <si>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</si>
  <si>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</si>
  <si>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</si>
  <si>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</si>
  <si>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</si>
  <si>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</si>
  <si>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</si>
  <si>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</si>
  <si>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</si>
  <si>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</si>
  <si>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</si>
  <si>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</si>
  <si>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</si>
  <si>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</si>
  <si>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</si>
  <si>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</si>
  <si>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</si>
  <si>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</si>
  <si>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</si>
  <si>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</si>
  <si>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</si>
  <si>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</si>
  <si>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</si>
  <si>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</si>
  <si>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</si>
  <si>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</si>
  <si>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</si>
  <si>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</si>
  <si>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</si>
  <si>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</si>
  <si>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</si>
  <si>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</si>
  <si>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</si>
  <si>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</si>
  <si>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</si>
  <si>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</si>
  <si>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</si>
  <si>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</si>
  <si>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</si>
  <si>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</si>
  <si>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</si>
  <si>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</si>
  <si>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</si>
  <si>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</si>
  <si>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</si>
  <si>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</si>
  <si>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</si>
  <si>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</si>
  <si>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</si>
  <si>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</si>
  <si>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</si>
  <si>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</si>
  <si>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</si>
  <si>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</si>
  <si>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</si>
  <si>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</si>
  <si>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</si>
  <si>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</si>
  <si>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</si>
  <si>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</si>
  <si>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</si>
  <si>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</si>
  <si>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</si>
  <si>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</si>
  <si>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</si>
  <si>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</si>
  <si>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</si>
  <si>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</si>
  <si>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</si>
  <si>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</si>
  <si>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</si>
  <si>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</si>
  <si>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</si>
  <si>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</si>
  <si>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</si>
  <si>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</si>
  <si>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</si>
  <si>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</si>
  <si>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</si>
  <si>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</si>
  <si>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</si>
  <si>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</si>
  <si>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</si>
  <si>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</si>
  <si>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</si>
  <si>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</si>
  <si>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</si>
  <si>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</si>
  <si>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</si>
  <si>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</si>
  <si>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</si>
  <si>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</si>
  <si>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</si>
  <si>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</si>
  <si>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</si>
  <si>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</si>
  <si>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</si>
  <si>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</si>
  <si>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</si>
  <si>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</si>
  <si>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</si>
  <si>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</si>
  <si>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</si>
  <si>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</si>
  <si>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</si>
  <si>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</si>
  <si>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</si>
  <si>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</si>
  <si>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</si>
  <si>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</si>
  <si>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</si>
  <si>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</si>
  <si>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</si>
  <si>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</si>
  <si>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</si>
  <si>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</si>
  <si>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</si>
  <si>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</si>
  <si>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</si>
  <si>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</si>
  <si>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</si>
  <si>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</si>
  <si>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</si>
  <si>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</si>
  <si>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</si>
  <si>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</si>
  <si>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</si>
  <si>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</si>
  <si>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</si>
  <si>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</si>
  <si>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</si>
  <si>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</si>
  <si>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</si>
  <si>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</si>
  <si>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</si>
  <si>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</si>
  <si>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</si>
  <si>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</si>
  <si>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</si>
  <si>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</si>
  <si>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</si>
  <si>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</si>
  <si>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</si>
  <si>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</si>
  <si>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</si>
  <si>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</si>
  <si>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</si>
  <si>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</si>
  <si>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</si>
  <si>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</si>
  <si>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</si>
  <si>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</si>
  <si>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</si>
  <si>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</si>
  <si>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</si>
  <si>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</si>
  <si>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</si>
  <si>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</si>
  <si>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</si>
  <si>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</si>
  <si>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</si>
  <si>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</si>
  <si>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</si>
  <si>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</si>
  <si>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</si>
  <si>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</si>
  <si>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</si>
  <si>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</si>
  <si>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</si>
  <si>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</si>
  <si>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</si>
  <si>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</si>
  <si>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</si>
  <si>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</si>
  <si>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</si>
  <si>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</si>
  <si>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</si>
  <si>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</si>
  <si>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</si>
  <si>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</si>
  <si>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</si>
  <si>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</si>
  <si>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</si>
  <si>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</si>
  <si>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</si>
  <si>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</si>
  <si>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</si>
  <si>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</si>
  <si>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</si>
  <si>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</si>
  <si>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</si>
  <si>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</si>
  <si>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</si>
  <si>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</si>
  <si>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</si>
  <si>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</si>
  <si>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</si>
  <si>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</si>
  <si>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</si>
  <si>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</si>
  <si>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</si>
  <si>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</si>
  <si>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</si>
  <si>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</si>
  <si>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</si>
  <si>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</si>
  <si>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</si>
  <si>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</si>
  <si>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</si>
  <si>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</si>
  <si>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</si>
  <si>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</si>
  <si>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</si>
  <si>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</si>
  <si>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</si>
  <si>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</si>
  <si>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</si>
  <si>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</si>
  <si>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</si>
  <si>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</si>
  <si>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</si>
  <si>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</si>
  <si>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</si>
  <si>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</si>
  <si>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</si>
  <si>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</si>
  <si>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</si>
  <si>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</si>
  <si>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</si>
  <si>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</si>
  <si>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</si>
  <si>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</si>
  <si>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</si>
  <si>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</si>
  <si>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</si>
  <si>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</si>
  <si>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</si>
  <si>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</si>
  <si>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</si>
  <si>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</si>
  <si>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</si>
  <si>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</si>
  <si>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</si>
  <si>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</si>
  <si>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</si>
  <si>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</si>
  <si>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</si>
  <si>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</si>
  <si>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</si>
  <si>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</si>
  <si>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</si>
  <si>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</si>
  <si>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</si>
  <si>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</si>
  <si>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</si>
  <si>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</si>
  <si>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</si>
  <si>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</si>
  <si>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</si>
  <si>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</si>
  <si>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</si>
  <si>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</si>
  <si>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</si>
  <si>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</si>
  <si>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</si>
  <si>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</si>
  <si>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</si>
  <si>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</si>
  <si>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</si>
  <si>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</si>
  <si>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</si>
  <si>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</si>
  <si>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</si>
  <si>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</si>
  <si>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</si>
  <si>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</si>
  <si>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</si>
  <si>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</si>
  <si>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</si>
  <si>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</si>
  <si>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</si>
  <si>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</si>
  <si>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</si>
  <si>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</si>
  <si>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</si>
  <si>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</si>
  <si>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</si>
  <si>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</si>
  <si>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</si>
  <si>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</si>
  <si>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</si>
  <si>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</si>
  <si>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</si>
  <si>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</si>
  <si>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</si>
  <si>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</si>
  <si>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</si>
  <si>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</si>
  <si>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</si>
  <si>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</si>
  <si>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</si>
  <si>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</si>
  <si>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</si>
  <si>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</si>
  <si>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</si>
  <si>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</si>
  <si>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</si>
  <si>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</si>
  <si>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</si>
  <si>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</si>
  <si>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</si>
  <si>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</si>
  <si>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</si>
  <si>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</si>
  <si>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</si>
  <si>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</si>
  <si>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</si>
  <si>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</si>
  <si>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</si>
  <si>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</si>
  <si>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</si>
  <si>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</si>
  <si>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</si>
  <si>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</si>
  <si>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</si>
  <si>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</si>
  <si>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</si>
  <si>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</si>
  <si>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</si>
  <si>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</si>
  <si>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</si>
  <si>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</si>
  <si>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</si>
  <si>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</si>
  <si>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</si>
  <si>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</si>
  <si>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</si>
  <si>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</si>
  <si>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</si>
  <si>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</si>
  <si>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</si>
  <si>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</si>
  <si>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</si>
  <si>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</si>
  <si>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</si>
  <si>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</si>
  <si>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</si>
  <si>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</si>
  <si>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</si>
  <si>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</si>
  <si>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</si>
  <si>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</si>
  <si>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</si>
  <si>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</si>
  <si>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</si>
  <si>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</si>
  <si>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</si>
  <si>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</si>
  <si>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</si>
  <si>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</si>
  <si>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</si>
  <si>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</si>
  <si>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</si>
  <si>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</si>
  <si>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</si>
  <si>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</si>
  <si>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</si>
  <si>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</si>
  <si>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</si>
  <si>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</si>
  <si>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</si>
  <si>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</si>
  <si>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</si>
  <si>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</si>
  <si>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</si>
  <si>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</si>
  <si>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</si>
  <si>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</si>
  <si>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</si>
  <si>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</si>
  <si>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</si>
  <si>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</si>
  <si>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</si>
  <si>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</si>
  <si>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</si>
  <si>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</si>
  <si>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</si>
  <si>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</si>
  <si>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</si>
  <si>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</si>
  <si>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</si>
  <si>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</si>
  <si>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</si>
  <si>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</si>
  <si>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</si>
  <si>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</si>
  <si>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</si>
  <si>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</si>
  <si>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</si>
  <si>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</si>
  <si>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</si>
  <si>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</si>
  <si>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</si>
  <si>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</si>
  <si>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</si>
  <si>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</si>
  <si>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</si>
  <si>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</si>
  <si>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</si>
  <si>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</si>
  <si>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</si>
  <si>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</si>
  <si>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</si>
  <si>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</si>
  <si>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</si>
  <si>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</si>
  <si>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</si>
  <si>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</si>
  <si>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</si>
  <si>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</si>
  <si>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</si>
  <si>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</si>
  <si>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</si>
  <si>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</si>
  <si>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</si>
  <si>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</si>
  <si>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</si>
  <si>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</si>
  <si>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</si>
  <si>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</si>
  <si>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</si>
  <si>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</si>
  <si>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</si>
  <si>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</si>
  <si>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</si>
  <si>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</si>
  <si>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</si>
  <si>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</si>
  <si>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</si>
  <si>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</si>
  <si>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</si>
  <si>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</si>
  <si>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</si>
  <si>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</si>
  <si>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</si>
  <si>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</si>
  <si>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</si>
  <si>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</si>
  <si>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</si>
  <si>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</si>
  <si>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</si>
  <si>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</si>
  <si>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</si>
  <si>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</si>
  <si>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</si>
  <si>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</si>
  <si>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</si>
  <si>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</si>
  <si>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</si>
  <si>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</si>
  <si>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</si>
  <si>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</si>
  <si>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</si>
  <si>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</si>
  <si>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</si>
  <si>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</si>
  <si>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</si>
  <si>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</si>
  <si>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</si>
  <si>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</si>
  <si>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</si>
  <si>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</si>
  <si>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</si>
  <si>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</si>
  <si>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</si>
  <si>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</si>
  <si>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</si>
  <si>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</si>
  <si>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</si>
  <si>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</si>
  <si>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</si>
  <si>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</si>
  <si>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</si>
  <si>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</si>
  <si>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</si>
  <si>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</si>
  <si>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</si>
  <si>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</si>
  <si>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</si>
  <si>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</si>
  <si>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</si>
  <si>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</si>
  <si>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</si>
  <si>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</si>
  <si>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</si>
  <si>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</si>
  <si>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</si>
  <si>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</si>
  <si>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</si>
  <si>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</si>
  <si>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</si>
  <si>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</si>
  <si>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</si>
  <si>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</si>
  <si>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</si>
  <si>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</si>
  <si>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</si>
  <si>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</si>
  <si>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</si>
  <si>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</si>
  <si>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</si>
  <si>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</si>
  <si>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</si>
  <si>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</si>
  <si>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</si>
  <si>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</si>
  <si>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</si>
  <si>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</si>
  <si>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</si>
  <si>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</si>
  <si>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</si>
  <si>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</si>
  <si>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</si>
  <si>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</si>
  <si>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</si>
  <si>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</si>
  <si>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</si>
  <si>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</si>
  <si>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</si>
  <si>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</si>
  <si>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</si>
  <si>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</si>
  <si>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</si>
  <si>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</si>
  <si>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</si>
  <si>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</si>
  <si>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</si>
  <si>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</si>
  <si>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</si>
  <si>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</si>
  <si>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</si>
  <si>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</si>
  <si>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</si>
  <si>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</si>
  <si>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</si>
  <si>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</si>
  <si>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</si>
  <si>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</si>
  <si>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</si>
  <si>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</si>
  <si>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</si>
  <si>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</si>
  <si>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</si>
  <si>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</si>
  <si>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</si>
  <si>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</si>
  <si>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</si>
  <si>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</si>
  <si>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</si>
  <si>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</si>
  <si>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</si>
  <si>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</si>
  <si>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</si>
  <si>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</si>
  <si>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</si>
  <si>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</si>
  <si>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</si>
  <si>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</si>
  <si>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</si>
  <si>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</si>
  <si>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</si>
  <si>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</si>
  <si>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</si>
  <si>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</si>
  <si>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</si>
  <si>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</si>
  <si>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</si>
  <si>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</si>
  <si>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</si>
  <si>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</si>
  <si>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</si>
  <si>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</si>
  <si>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</si>
  <si>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</si>
  <si>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</si>
  <si>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</si>
  <si>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</si>
  <si>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</si>
  <si>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</si>
  <si>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</si>
  <si>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</si>
  <si>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</si>
  <si>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</si>
  <si>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</si>
  <si>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</si>
  <si>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</si>
  <si>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</si>
  <si>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</si>
  <si>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</si>
  <si>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</si>
  <si>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</si>
  <si>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</si>
  <si>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</si>
  <si>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</si>
  <si>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</si>
  <si>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</si>
  <si>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</si>
  <si>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</si>
  <si>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</si>
  <si>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</si>
  <si>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</si>
  <si>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</si>
  <si>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</si>
  <si>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</si>
  <si>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</si>
  <si>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</si>
  <si>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</si>
  <si>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</si>
  <si>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</si>
  <si>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</si>
  <si>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</si>
  <si>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</si>
  <si>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</si>
  <si>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</si>
  <si>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</si>
  <si>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</si>
  <si>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</si>
  <si>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</si>
  <si>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</si>
  <si>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</si>
  <si>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</si>
  <si>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</si>
  <si>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</si>
  <si>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</si>
  <si>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</si>
  <si>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</si>
  <si>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</si>
  <si>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</si>
  <si>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</si>
  <si>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</si>
  <si>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</si>
  <si>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</si>
  <si>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</si>
  <si>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</si>
  <si>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</si>
  <si>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</si>
  <si>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</si>
  <si>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</si>
  <si>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</si>
  <si>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</si>
  <si>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</si>
  <si>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</si>
  <si>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</si>
  <si>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</si>
  <si>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</si>
  <si>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</si>
  <si>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</si>
  <si>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</si>
  <si>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</si>
  <si>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</si>
  <si>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</si>
  <si>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</si>
  <si>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</si>
  <si>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</si>
  <si>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</si>
  <si>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</si>
  <si>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</si>
  <si>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</si>
  <si>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</si>
  <si>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</si>
  <si>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</si>
  <si>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</si>
  <si>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</si>
  <si>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</si>
  <si>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</si>
  <si>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</si>
  <si>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</si>
  <si>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</si>
  <si>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</si>
  <si>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</si>
  <si>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</si>
  <si>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</si>
  <si>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</si>
  <si>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</si>
  <si>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</si>
  <si>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</si>
  <si>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</si>
  <si>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</si>
  <si>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</si>
  <si>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</si>
  <si>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</si>
  <si>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</si>
  <si>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</si>
  <si>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</si>
  <si>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</si>
  <si>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</si>
  <si>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</si>
  <si>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</si>
  <si>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</si>
  <si>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</si>
  <si>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</si>
  <si>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</si>
  <si>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</si>
  <si>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</si>
  <si>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</si>
  <si>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</si>
  <si>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</si>
  <si>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</si>
  <si>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</si>
  <si>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</si>
  <si>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</si>
  <si>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</si>
  <si>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</si>
  <si>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</si>
  <si>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</si>
  <si>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</si>
  <si>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</si>
  <si>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</si>
  <si>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</si>
  <si>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</si>
  <si>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</si>
  <si>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</si>
  <si>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</si>
  <si>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</si>
  <si>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</si>
  <si>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</si>
  <si>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</si>
  <si>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</si>
  <si>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</si>
  <si>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</si>
  <si>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</si>
  <si>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</si>
  <si>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</si>
  <si>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</si>
  <si>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</si>
  <si>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</si>
  <si>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</si>
  <si>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</si>
  <si>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</si>
  <si>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</si>
  <si>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</si>
  <si>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</si>
  <si>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</si>
  <si>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</si>
  <si>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</si>
  <si>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</si>
  <si>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</si>
  <si>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</si>
  <si>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</si>
  <si>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</si>
  <si>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</si>
  <si>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</si>
  <si>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</si>
  <si>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</si>
  <si>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</si>
  <si>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</si>
  <si>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</si>
  <si>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</si>
  <si>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</si>
  <si>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</si>
  <si>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</si>
  <si>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</si>
  <si>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</si>
  <si>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</si>
  <si>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</si>
  <si>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</si>
  <si>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</si>
  <si>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</si>
  <si>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</si>
  <si>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</si>
  <si>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</si>
  <si>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</si>
  <si>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</si>
  <si>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</si>
  <si>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</si>
  <si>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</si>
  <si>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</si>
  <si>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</si>
  <si>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</si>
  <si>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</si>
  <si>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</si>
  <si>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</si>
  <si>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</si>
  <si>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</si>
  <si>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</si>
  <si>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</si>
  <si>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</si>
  <si>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</si>
  <si>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</si>
  <si>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</si>
  <si>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</si>
  <si>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</si>
  <si>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</si>
  <si>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</si>
  <si>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</si>
  <si>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</si>
  <si>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</si>
  <si>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</si>
  <si>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</si>
  <si>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</si>
  <si>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</si>
  <si>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</si>
  <si>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</si>
  <si>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</si>
  <si>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</si>
  <si>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</si>
  <si>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</si>
  <si>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</si>
  <si>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</si>
  <si>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</si>
  <si>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</si>
  <si>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</si>
  <si>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</si>
  <si>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</si>
  <si>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</si>
  <si>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</si>
  <si>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</si>
  <si>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</si>
  <si>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</si>
  <si>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</si>
  <si>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</si>
  <si>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</si>
  <si>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</si>
  <si>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</si>
  <si>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</si>
  <si>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</si>
  <si>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</si>
  <si>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</si>
  <si>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</si>
  <si>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</si>
  <si>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</si>
  <si>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</si>
  <si>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</si>
  <si>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</si>
  <si>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</si>
  <si>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</si>
  <si>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</si>
  <si>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</si>
  <si>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</si>
  <si>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</si>
  <si>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</si>
  <si>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</si>
  <si>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</si>
  <si>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</si>
  <si>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</si>
  <si>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</si>
  <si>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</si>
  <si>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</si>
  <si>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</si>
  <si>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</si>
  <si>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</si>
  <si>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</si>
  <si>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</si>
  <si>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华融国际信托有限责任公司</t>
    <phoneticPr fontId="6" type="noConversion"/>
  </si>
  <si>
    <t>中科建设开发总公司</t>
    <phoneticPr fontId="6" type="noConversion"/>
  </si>
  <si>
    <t>抵押</t>
  </si>
  <si>
    <t>房地产抵押价值</t>
  </si>
  <si>
    <t>其他：</t>
  </si>
  <si>
    <t>江苏省宿迁市</t>
    <phoneticPr fontId="6" type="noConversion"/>
  </si>
  <si>
    <t>宿城区水韵城项目部分商业用途</t>
    <phoneticPr fontId="6" type="noConversion"/>
  </si>
  <si>
    <t>企业</t>
  </si>
  <si>
    <t>宿迁用世置业有限公司</t>
    <phoneticPr fontId="6" type="noConversion"/>
  </si>
  <si>
    <t>出让</t>
  </si>
  <si>
    <t>商业</t>
    <phoneticPr fontId="6" type="noConversion"/>
  </si>
  <si>
    <r>
      <rPr>
        <sz val="12"/>
        <color theme="9" tint="-0.249977111117893"/>
        <rFont val="宋体"/>
        <family val="3"/>
        <charset val="134"/>
      </rPr>
      <t>商业</t>
    </r>
    <r>
      <rPr>
        <sz val="12"/>
        <color theme="9" tint="-0.249977111117893"/>
        <rFont val="Arial"/>
        <family val="2"/>
      </rPr>
      <t>34.26</t>
    </r>
    <r>
      <rPr>
        <sz val="12"/>
        <color theme="9" tint="-0.249977111117893"/>
        <rFont val="宋体"/>
        <family val="3"/>
        <charset val="134"/>
      </rPr>
      <t>年</t>
    </r>
    <phoneticPr fontId="6" type="noConversion"/>
  </si>
  <si>
    <t>《不动产权证书》[苏2016宿迁市不动产权第0028115号等41件]、《国有土地使用证》[宿国用2015第25472号等67件]</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</si>
  <si>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苏</t>
    </r>
    <r>
      <rPr>
        <sz val="12"/>
        <color theme="9" tint="-0.249977111117893"/>
        <rFont val="Arial"/>
        <family val="2"/>
      </rPr>
      <t>2016</t>
    </r>
    <r>
      <rPr>
        <sz val="12"/>
        <color theme="9" tint="-0.249977111117893"/>
        <rFont val="宋体"/>
        <family val="3"/>
        <charset val="134"/>
      </rPr>
      <t>宿迁市不动产权第</t>
    </r>
    <r>
      <rPr>
        <sz val="12"/>
        <color theme="9" tint="-0.249977111117893"/>
        <rFont val="Arial"/>
        <family val="2"/>
      </rPr>
      <t>0028115</t>
    </r>
    <r>
      <rPr>
        <sz val="12"/>
        <color theme="9" tint="-0.249977111117893"/>
        <rFont val="宋体"/>
        <family val="3"/>
        <charset val="134"/>
      </rPr>
      <t>号等</t>
    </r>
    <r>
      <rPr>
        <sz val="12"/>
        <color theme="9" tint="-0.249977111117893"/>
        <rFont val="Arial"/>
        <family val="2"/>
      </rPr>
      <t>41</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宿房权证宿城字第</t>
    </r>
    <r>
      <rPr>
        <sz val="12"/>
        <color theme="9" tint="-0.249977111117893"/>
        <rFont val="Arial"/>
        <family val="2"/>
      </rPr>
      <t>15010568</t>
    </r>
    <r>
      <rPr>
        <sz val="12"/>
        <color theme="9" tint="-0.249977111117893"/>
        <rFont val="宋体"/>
        <family val="3"/>
        <charset val="134"/>
      </rPr>
      <t>号等</t>
    </r>
    <r>
      <rPr>
        <sz val="12"/>
        <color theme="9" tint="-0.249977111117893"/>
        <rFont val="Arial"/>
        <family val="2"/>
      </rPr>
      <t>67</t>
    </r>
    <r>
      <rPr>
        <sz val="12"/>
        <color theme="9" tint="-0.249977111117893"/>
        <rFont val="宋体"/>
        <family val="3"/>
        <charset val="134"/>
      </rPr>
      <t>件</t>
    </r>
    <r>
      <rPr>
        <sz val="12"/>
        <color theme="9" tint="-0.249977111117893"/>
        <rFont val="Arial"/>
        <family val="2"/>
      </rPr>
      <t>]</t>
    </r>
    <r>
      <rPr>
        <sz val="12"/>
        <color theme="9" tint="-0.249977111117893"/>
        <rFont val="宋体"/>
        <family val="3"/>
        <charset val="134"/>
      </rPr>
      <t/>
    </r>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</si>
  <si>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</si>
  <si>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</si>
  <si>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</si>
  <si>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</si>
  <si>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</si>
  <si>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</si>
  <si>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</si>
  <si>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</si>
  <si>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</si>
  <si>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</si>
  <si>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</si>
  <si>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</si>
  <si>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</si>
  <si>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</si>
  <si>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</si>
  <si>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独立商业</t>
  </si>
  <si>
    <t>水韵城房产明细表</t>
    <phoneticPr fontId="143" type="noConversion"/>
  </si>
  <si>
    <t>不动产权证</t>
    <phoneticPr fontId="143" type="noConversion"/>
  </si>
  <si>
    <t>房产证及土地证</t>
    <phoneticPr fontId="143" type="noConversion"/>
  </si>
  <si>
    <t>序号</t>
  </si>
  <si>
    <t>楼层</t>
    <phoneticPr fontId="143" type="noConversion"/>
  </si>
  <si>
    <t>商铺编号</t>
  </si>
  <si>
    <t>楼层</t>
  </si>
  <si>
    <t>房产证号</t>
  </si>
  <si>
    <t>面积</t>
  </si>
  <si>
    <t>土地证号</t>
  </si>
  <si>
    <t>土地面积</t>
  </si>
  <si>
    <t>宿房权证宿城字第15010568号</t>
    <phoneticPr fontId="143" type="noConversion"/>
  </si>
  <si>
    <t>宿国用2015第25472号</t>
    <phoneticPr fontId="143" type="noConversion"/>
  </si>
  <si>
    <t>A1-030</t>
  </si>
  <si>
    <t>宿房权证宿城字第16002414号</t>
  </si>
  <si>
    <t>宿国用2016第7790号</t>
  </si>
  <si>
    <t>A1-031</t>
  </si>
  <si>
    <t>宿房权证宿城字第16002415号</t>
  </si>
  <si>
    <t>宿国用2016第7795号</t>
  </si>
  <si>
    <t>A1-035</t>
  </si>
  <si>
    <t>宿房权证宿城字第16002416号</t>
  </si>
  <si>
    <t>宿国用2016第7797号</t>
  </si>
  <si>
    <t>A1-036</t>
  </si>
  <si>
    <t>宿房权证宿城字第16002417号</t>
  </si>
  <si>
    <t>宿国用2016第7801号</t>
  </si>
  <si>
    <t>A1-037</t>
  </si>
  <si>
    <t>宿房权证宿城字第16002418号</t>
  </si>
  <si>
    <t>宿国用2016第7805号</t>
  </si>
  <si>
    <t>A1-038</t>
  </si>
  <si>
    <t>宿房权证宿城字第16002419号</t>
  </si>
  <si>
    <t>宿国用2016第7808号</t>
  </si>
  <si>
    <t>A1-045</t>
  </si>
  <si>
    <t>苏2016宿迁市不动产权第0028115号</t>
    <phoneticPr fontId="143" type="noConversion"/>
  </si>
  <si>
    <t>D1-201</t>
  </si>
  <si>
    <t>宿房权证宿城字第15010565号</t>
  </si>
  <si>
    <t>宿国用2015第25470号</t>
  </si>
  <si>
    <t>C1-003</t>
  </si>
  <si>
    <t>宿房权证宿城字第15006905号</t>
  </si>
  <si>
    <t>宿国用2015第14671号</t>
  </si>
  <si>
    <t>C1-004</t>
  </si>
  <si>
    <t>宿房权证宿城字第15006906号</t>
  </si>
  <si>
    <t>宿国用2015第14673号</t>
  </si>
  <si>
    <t>C1-005</t>
  </si>
  <si>
    <t>宿房权证宿城字第15006907号</t>
  </si>
  <si>
    <t>宿国用2015第14675号</t>
  </si>
  <si>
    <t>C2-004</t>
  </si>
  <si>
    <t>宿房权证宿城字第15006983号</t>
  </si>
  <si>
    <t>宿国用2015第14641号</t>
  </si>
  <si>
    <t>A3-002</t>
  </si>
  <si>
    <t>苏2016宿迁市不动产权第0007517号</t>
  </si>
  <si>
    <t>A3-003</t>
  </si>
  <si>
    <t>苏2016宿迁市不动产权第0007529号</t>
  </si>
  <si>
    <t>A3-004</t>
  </si>
  <si>
    <t>苏2016宿迁市不动产权第0007531号</t>
  </si>
  <si>
    <t>A3-005</t>
  </si>
  <si>
    <t>苏2016宿迁市不动产权第0007550号</t>
  </si>
  <si>
    <t>A3-006</t>
  </si>
  <si>
    <t>苏2016宿迁市不动产权第0007557号</t>
  </si>
  <si>
    <t>A3-007</t>
  </si>
  <si>
    <t>苏2016宿迁市不动产权第0007561号</t>
  </si>
  <si>
    <t>A3-008</t>
  </si>
  <si>
    <t>苏2016宿迁市不动产权第0007562号</t>
  </si>
  <si>
    <t>A3-009</t>
  </si>
  <si>
    <t>苏2016宿迁市不动产权第0007564号</t>
  </si>
  <si>
    <t>A3-019</t>
  </si>
  <si>
    <t>苏2016宿迁市不动产权第0007563号</t>
  </si>
  <si>
    <t>A3-020</t>
  </si>
  <si>
    <t>苏2016宿迁市不动产权第0007566号</t>
  </si>
  <si>
    <t>A3-021</t>
  </si>
  <si>
    <t>苏2016宿迁市不动产权第0007568号</t>
  </si>
  <si>
    <t>A3-022</t>
  </si>
  <si>
    <t>苏2016宿迁市不动产权第0007571号</t>
  </si>
  <si>
    <t>A3-023</t>
  </si>
  <si>
    <t>苏2016宿迁市不动产权第0007572号</t>
  </si>
  <si>
    <t>A3-024</t>
  </si>
  <si>
    <t>苏2016宿迁市不动产权第0007573号</t>
  </si>
  <si>
    <t>D3-003</t>
  </si>
  <si>
    <t>苏2016宿迁市不动产权第0013386号</t>
  </si>
  <si>
    <t>D3-004</t>
  </si>
  <si>
    <t>苏2016宿迁市不动产权第0013388号</t>
  </si>
  <si>
    <t>D3-004-1</t>
  </si>
  <si>
    <t>苏2016宿迁市不动产权第0013390号</t>
  </si>
  <si>
    <t>D3-049</t>
  </si>
  <si>
    <t>苏2016宿迁市不动产权第0013392号</t>
  </si>
  <si>
    <t>D3-076</t>
  </si>
  <si>
    <t>苏2016宿迁市不动产权第0013393号</t>
  </si>
  <si>
    <t>D3-077</t>
  </si>
  <si>
    <t>苏2016宿迁市不动产权第0013394号</t>
  </si>
  <si>
    <t>D3-078</t>
  </si>
  <si>
    <t>苏2016宿迁市不动产权第0013395号</t>
  </si>
  <si>
    <t>D3-080</t>
  </si>
  <si>
    <t>苏2017宿迁市不动产权第0000149号</t>
  </si>
  <si>
    <t>D3-081</t>
  </si>
  <si>
    <t>苏2017宿迁市不动产权第0000148号</t>
  </si>
  <si>
    <t>D3-082</t>
  </si>
  <si>
    <t>苏2017宿迁市不动产权第0000147号</t>
  </si>
  <si>
    <t>D3-083</t>
  </si>
  <si>
    <t>苏2017宿迁市不动产权第0000146号</t>
  </si>
  <si>
    <t>D3-085</t>
  </si>
  <si>
    <t>苏2017宿迁市不动产权第0000145号</t>
  </si>
  <si>
    <t>D3-085-1</t>
  </si>
  <si>
    <t>苏2017宿迁市不动产权第0000144号</t>
  </si>
  <si>
    <t>D3-089</t>
  </si>
  <si>
    <t>苏2017宿迁市不动产权第0000143号</t>
  </si>
  <si>
    <t>D3-090-1</t>
  </si>
  <si>
    <t>苏2017宿迁市不动产权第0000142号</t>
  </si>
  <si>
    <t>D3-090-2</t>
  </si>
  <si>
    <t>苏2017宿迁市不动产权第0000136号</t>
  </si>
  <si>
    <t>D3-097</t>
  </si>
  <si>
    <t>苏2017宿迁市不动产权第0000097号</t>
  </si>
  <si>
    <t>D3-097-1</t>
  </si>
  <si>
    <t>苏2017宿迁市不动产权第0000133号</t>
  </si>
  <si>
    <t>D3-098-1</t>
  </si>
  <si>
    <t>苏2017宿迁市不动产权第0000131号</t>
  </si>
  <si>
    <t>D3-099-1</t>
  </si>
  <si>
    <t>苏2017宿迁市不动产权第0000456号</t>
  </si>
  <si>
    <t>D3-100</t>
  </si>
  <si>
    <t>苏2017宿迁市不动产权第0000103号</t>
  </si>
  <si>
    <t>D3-007</t>
  </si>
  <si>
    <t>宿房权证宿城字第15010809号</t>
  </si>
  <si>
    <t>宿国用2015第25477号</t>
  </si>
  <si>
    <t>D3-008</t>
  </si>
  <si>
    <t>宿房权证宿城字第15010810号</t>
  </si>
  <si>
    <t>宿国用2015第25478号</t>
  </si>
  <si>
    <t>D3-008-1</t>
  </si>
  <si>
    <t>宿房权证宿城字第15010811号</t>
  </si>
  <si>
    <t>宿国用2015第25479号</t>
  </si>
  <si>
    <t>D3-014</t>
  </si>
  <si>
    <t>宿房权证宿城字第15010812号</t>
  </si>
  <si>
    <t>宿国用2015第25480号</t>
  </si>
  <si>
    <t>D3-016</t>
  </si>
  <si>
    <t>宿房权证宿城字第15010813号</t>
  </si>
  <si>
    <t>宿国用2015第25481号</t>
  </si>
  <si>
    <t>D3-017</t>
  </si>
  <si>
    <t>宿房权证宿城字第15010815号</t>
  </si>
  <si>
    <t>宿国用2015第25482号</t>
  </si>
  <si>
    <t>D3-018</t>
  </si>
  <si>
    <t>宿房权证宿城字第15010816号</t>
  </si>
  <si>
    <t>宿国用2015第25483号</t>
  </si>
  <si>
    <t>D3-019</t>
  </si>
  <si>
    <t>宿房权证宿城字第15010817号</t>
  </si>
  <si>
    <t>宿国用2015第25484号</t>
  </si>
  <si>
    <t>D3-020</t>
  </si>
  <si>
    <t>宿房权证宿城字第15010819号</t>
  </si>
  <si>
    <t>宿国用2015第25485号</t>
  </si>
  <si>
    <t>D3-020-1</t>
  </si>
  <si>
    <t>宿房权证宿城字第15010821号</t>
  </si>
  <si>
    <t>宿国用2015第25486号</t>
  </si>
  <si>
    <t>D3-021</t>
  </si>
  <si>
    <t>宿房权证宿城字第15010839号</t>
  </si>
  <si>
    <t>宿国用2015第25487号</t>
  </si>
  <si>
    <t>D3-022</t>
  </si>
  <si>
    <t>宿房权证宿城字第15010825号</t>
  </si>
  <si>
    <t>宿国用2015第25488号</t>
  </si>
  <si>
    <t>D3-023</t>
  </si>
  <si>
    <t>宿房权证宿城字第15010827号</t>
  </si>
  <si>
    <t>宿国用2015第25495号</t>
  </si>
  <si>
    <t>D3-024</t>
  </si>
  <si>
    <t>宿房权证宿城字第15010834号</t>
  </si>
  <si>
    <t>宿国用2015第25496号</t>
  </si>
  <si>
    <t>D3-025</t>
  </si>
  <si>
    <t>宿房权证宿城字第15010837号</t>
  </si>
  <si>
    <t>宿国用2015第25497号</t>
  </si>
  <si>
    <t>D3-026</t>
  </si>
  <si>
    <t>宿房权证宿城字第15010838号</t>
  </si>
  <si>
    <t>宿国用2015第25499号</t>
  </si>
  <si>
    <t>D3-026-1</t>
  </si>
  <si>
    <t>宿房权证宿城字第15010841号</t>
  </si>
  <si>
    <t>宿国用2015第25500号</t>
  </si>
  <si>
    <t>D3-028</t>
  </si>
  <si>
    <t>宿房权证宿城字第15010845号</t>
  </si>
  <si>
    <t>宿国用2015第25503号</t>
  </si>
  <si>
    <t>D3-028-1</t>
  </si>
  <si>
    <t>宿房权证宿城字第15010822号</t>
  </si>
  <si>
    <t>宿国用2015第25506号</t>
  </si>
  <si>
    <t>D3-029</t>
  </si>
  <si>
    <t>宿房权证宿城字第15010830号</t>
  </si>
  <si>
    <t>宿国用2015第25508号</t>
  </si>
  <si>
    <t>D3-029-1</t>
  </si>
  <si>
    <t>宿房权证宿城字第15010823号</t>
  </si>
  <si>
    <t>宿国用2015第25511号</t>
  </si>
  <si>
    <t>D3-030</t>
  </si>
  <si>
    <t>宿房权证宿城字第15010829号</t>
  </si>
  <si>
    <t>宿国用2015第25512号</t>
  </si>
  <si>
    <t>D3-030-1</t>
  </si>
  <si>
    <t>宿房权证宿城字第15010835号</t>
  </si>
  <si>
    <t>宿国用2015第25515号</t>
  </si>
  <si>
    <t>D3-031</t>
  </si>
  <si>
    <t>宿房权证宿城字第15010832号</t>
  </si>
  <si>
    <t>宿国用2015第25516号</t>
  </si>
  <si>
    <t>D3-032</t>
  </si>
  <si>
    <t>宿房权证宿城字第15010840号</t>
  </si>
  <si>
    <t>宿国用2015第25519号</t>
  </si>
  <si>
    <t>D3-038</t>
  </si>
  <si>
    <t>宿房权证宿城字第15010850号</t>
  </si>
  <si>
    <t>宿国用2015第25521号</t>
  </si>
  <si>
    <t>D3-038-1</t>
  </si>
  <si>
    <t>宿房权证宿城字第15010852号</t>
  </si>
  <si>
    <t>宿国用2015第25525号</t>
  </si>
  <si>
    <t>D3-039</t>
  </si>
  <si>
    <t>宿房权证宿城字第15010853号</t>
  </si>
  <si>
    <t>宿国用2015第25527号</t>
  </si>
  <si>
    <t>D3-040</t>
  </si>
  <si>
    <t>宿房权证宿城字第15010854号</t>
  </si>
  <si>
    <t>宿国用2015第25532号</t>
  </si>
  <si>
    <t>D3-122</t>
  </si>
  <si>
    <t>宿房权证宿城字第15011022号</t>
  </si>
  <si>
    <t>宿国用2015第25655号</t>
  </si>
  <si>
    <t>D3-123</t>
  </si>
  <si>
    <t>宿房权证宿城字第15011025号</t>
  </si>
  <si>
    <t>宿国用2015第25654号</t>
  </si>
  <si>
    <t>D3-123-1</t>
  </si>
  <si>
    <t>宿房权证宿城字第15011029号</t>
  </si>
  <si>
    <t>宿国用2015第25653号</t>
  </si>
  <si>
    <t>D3-124</t>
  </si>
  <si>
    <t>宿房权证宿城字第15011033号</t>
  </si>
  <si>
    <t>宿国用2015第25652号</t>
  </si>
  <si>
    <t>D3-124-1</t>
  </si>
  <si>
    <t>宿房权证宿城字第15011038号</t>
  </si>
  <si>
    <t>宿国用2015第25651号</t>
  </si>
  <si>
    <t>D3-125</t>
  </si>
  <si>
    <t>宿房权证宿城字第15011042号</t>
  </si>
  <si>
    <t>宿国用2015第25650号</t>
  </si>
  <si>
    <t>D3-125-1</t>
  </si>
  <si>
    <t>宿房权证宿城字第15011044号</t>
  </si>
  <si>
    <t>宿国用2015第25649号</t>
  </si>
  <si>
    <t>D3-126</t>
  </si>
  <si>
    <t>宿房权证宿城字第15011046号</t>
  </si>
  <si>
    <t>宿国用2015第25648号</t>
  </si>
  <si>
    <t>D3-126-1</t>
  </si>
  <si>
    <t>宿房权证宿城字第15011048号</t>
  </si>
  <si>
    <t>宿国用2015第25647号</t>
  </si>
  <si>
    <t>D3-127</t>
  </si>
  <si>
    <t>宿房权证宿城字第15011050号</t>
  </si>
  <si>
    <t>宿国用2015第25646号</t>
  </si>
  <si>
    <t>D3-127-1</t>
  </si>
  <si>
    <t>宿房权证宿城字第15011052号</t>
  </si>
  <si>
    <t>宿国用2015第25666号</t>
  </si>
  <si>
    <t>D3-128</t>
  </si>
  <si>
    <t>宿房权证宿城字第15011054号</t>
  </si>
  <si>
    <t>宿国用2015第25665号</t>
  </si>
  <si>
    <t>D3-128-1</t>
  </si>
  <si>
    <t>宿房权证宿城字第15011056号</t>
  </si>
  <si>
    <t>宿国用2015第25664号</t>
  </si>
  <si>
    <t>D3-129</t>
  </si>
  <si>
    <t>宿房权证宿城字第15011058号</t>
  </si>
  <si>
    <t>宿国用2015第25663号</t>
  </si>
  <si>
    <t>D3-129-1</t>
  </si>
  <si>
    <t>宿房权证宿城字第15011060号</t>
  </si>
  <si>
    <t>宿国用2015第25662号</t>
  </si>
  <si>
    <t>D3-130</t>
  </si>
  <si>
    <t>宿房权证宿城字第15011062号</t>
  </si>
  <si>
    <t>宿国用2015第25645号</t>
  </si>
  <si>
    <t>D3-131</t>
  </si>
  <si>
    <t>宿房权证宿城字第15011063号</t>
  </si>
  <si>
    <t>宿国用2015第25661号</t>
  </si>
  <si>
    <t>D3-132</t>
  </si>
  <si>
    <t>宿房权证宿城字第15011064号</t>
  </si>
  <si>
    <t>宿国用2015第25660号</t>
  </si>
  <si>
    <t>D3-133</t>
  </si>
  <si>
    <t>宿房权证宿城字第15011065号</t>
  </si>
  <si>
    <t>宿国用2015第25659号</t>
  </si>
  <si>
    <t>D3-134</t>
  </si>
  <si>
    <t>宿房权证宿城字第15011067号</t>
  </si>
  <si>
    <t>宿国用2015第25658号</t>
  </si>
  <si>
    <t>D3-139</t>
  </si>
  <si>
    <t>宿房权证宿城字第15011069号</t>
  </si>
  <si>
    <t>宿国用2015第25657号</t>
  </si>
  <si>
    <t>D3-139-1</t>
  </si>
  <si>
    <t>宿房权证宿城字第15011070号</t>
  </si>
  <si>
    <t>宿国用2015第25656号</t>
  </si>
  <si>
    <t>D3-142</t>
  </si>
  <si>
    <t>宿房权证宿城字第15011071号</t>
  </si>
  <si>
    <t>宿国用2015第25668号</t>
  </si>
  <si>
    <t>D3-142-1</t>
  </si>
  <si>
    <t>宿房权证宿城字第15011066号</t>
  </si>
  <si>
    <t>宿国用2015第25670号</t>
  </si>
  <si>
    <t>D3-143</t>
  </si>
  <si>
    <t>宿房权证宿城字第15011068号</t>
  </si>
  <si>
    <t>宿国用2015第25674号</t>
  </si>
  <si>
    <t>D3-143-1</t>
  </si>
  <si>
    <t>宿房权证宿城字第15011072号</t>
  </si>
  <si>
    <t>宿国用2015第25672号</t>
  </si>
  <si>
    <t>D4-043</t>
  </si>
  <si>
    <t>苏2016宿迁市不动产权第0013398号</t>
  </si>
  <si>
    <t>D4-046</t>
  </si>
  <si>
    <t>苏2016宿迁市不动产权第0013399号</t>
  </si>
  <si>
    <t>D4-087</t>
  </si>
  <si>
    <t>苏2016宿迁市不动产权第0013400号</t>
  </si>
  <si>
    <t>D4-117</t>
  </si>
  <si>
    <t>苏2017宿迁市不动产权第0000101号</t>
  </si>
  <si>
    <t>D4-124</t>
  </si>
  <si>
    <t>苏2017宿迁市不动产权第0000100号</t>
  </si>
  <si>
    <t>典型户型商业</t>
  </si>
  <si>
    <t>典型户型商业</t>
    <phoneticPr fontId="7" type="noConversion"/>
  </si>
  <si>
    <t>商业剩余</t>
    <phoneticPr fontId="7" type="noConversion"/>
  </si>
  <si>
    <t>成新度</t>
  </si>
  <si>
    <t>收益法</t>
  </si>
  <si>
    <t>请录依据文件名称：《宿迁市区房地产开发项目行政事业性收费一览表》</t>
    <phoneticPr fontId="3" type="noConversion"/>
  </si>
  <si>
    <t>押三</t>
  </si>
  <si>
    <t>钢混</t>
  </si>
  <si>
    <t>非生产用房</t>
  </si>
  <si>
    <t>收益还原</t>
  </si>
  <si>
    <t>售价</t>
  </si>
  <si>
    <t>比较法-商业</t>
  </si>
  <si>
    <t>用世.水韵城</t>
    <phoneticPr fontId="3" type="noConversion"/>
  </si>
  <si>
    <t>恒昌.乐活广场</t>
    <phoneticPr fontId="3" type="noConversion"/>
  </si>
  <si>
    <t>正常</t>
  </si>
  <si>
    <t>商业</t>
    <phoneticPr fontId="31" type="noConversion"/>
  </si>
  <si>
    <t>好</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</si>
  <si>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</si>
  <si>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</si>
  <si>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</si>
  <si>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</si>
  <si>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</si>
  <si>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</si>
  <si>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</si>
  <si>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</si>
  <si>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</si>
  <si>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</si>
  <si>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</si>
  <si>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</si>
  <si>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</si>
  <si>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</si>
  <si>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</si>
  <si>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</si>
  <si>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t>综合体商业</t>
  </si>
  <si>
    <t>综合体商业</t>
    <phoneticPr fontId="31" type="noConversion"/>
  </si>
  <si>
    <t>商业街商业</t>
  </si>
  <si>
    <t>商业街商业</t>
    <phoneticPr fontId="31" type="noConversion"/>
  </si>
  <si>
    <t>独栋商业楼</t>
    <phoneticPr fontId="31" type="noConversion"/>
  </si>
  <si>
    <t>住宅底商</t>
  </si>
  <si>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</si>
  <si>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</si>
  <si>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</si>
  <si>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</si>
  <si>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</si>
  <si>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</si>
  <si>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</si>
  <si>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</si>
  <si>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</si>
  <si>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</si>
  <si>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</si>
  <si>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</si>
  <si>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</si>
  <si>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</si>
  <si>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</si>
  <si>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</si>
  <si>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</si>
  <si>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</si>
  <si>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</si>
  <si>
    <t>专业性市场</t>
    <phoneticPr fontId="31" type="noConversion"/>
  </si>
  <si>
    <t>社区零售商业</t>
  </si>
  <si>
    <t>社区零售商业</t>
    <phoneticPr fontId="31" type="noConversion"/>
  </si>
  <si>
    <t>挑高层高</t>
  </si>
  <si>
    <t>挑高层高</t>
    <phoneticPr fontId="31" type="noConversion"/>
  </si>
  <si>
    <t>标准层高</t>
    <phoneticPr fontId="31" type="noConversion"/>
  </si>
  <si>
    <t>1层</t>
  </si>
  <si>
    <t>中商.中央广场</t>
    <phoneticPr fontId="3" type="noConversion"/>
  </si>
  <si>
    <t>金鹰国际花园</t>
    <phoneticPr fontId="3" type="noConversion"/>
  </si>
  <si>
    <t>项目局部</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</si>
  <si>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</si>
  <si>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</si>
  <si>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</si>
  <si>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</si>
  <si>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t>2层</t>
  </si>
  <si>
    <t>3层</t>
  </si>
  <si>
    <t>4层</t>
  </si>
  <si>
    <t>成本法</t>
  </si>
  <si>
    <t>30-40（含）</t>
  </si>
  <si>
    <t>按租金收入计税</t>
  </si>
  <si>
    <t>·</t>
    <phoneticPr fontId="143" type="noConversion"/>
  </si>
  <si>
    <t>合计</t>
    <phoneticPr fontId="143" type="noConversion"/>
  </si>
  <si>
    <t>D1-203</t>
    <phoneticPr fontId="14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</si>
  <si>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</si>
  <si>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</si>
  <si>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</si>
  <si>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</si>
  <si>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</si>
  <si>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</si>
  <si>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</si>
  <si>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</si>
  <si>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</si>
  <si>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</si>
  <si>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</si>
  <si>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</si>
  <si>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</si>
  <si>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</si>
  <si>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</si>
  <si>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</si>
  <si>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</si>
  <si>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</si>
  <si>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</si>
  <si>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</si>
  <si>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</si>
  <si>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3" type="noConversion"/>
  </si>
  <si>
    <t>宿迁市宿城区运河路与西湖路交汇处</t>
    <phoneticPr fontId="143" type="noConversion"/>
  </si>
  <si>
    <t>中商.中央广场</t>
    <phoneticPr fontId="143" type="noConversion"/>
  </si>
  <si>
    <t>宿迁市宿城区幸福南路88号</t>
    <phoneticPr fontId="3" type="noConversion"/>
  </si>
  <si>
    <t>宿迁市宿城区幸福南路88号</t>
    <phoneticPr fontId="143" type="noConversion"/>
  </si>
  <si>
    <t>金鹰国际花园</t>
    <phoneticPr fontId="143" type="noConversion"/>
  </si>
  <si>
    <t>宿迁市金鹰购物中心北150米</t>
    <phoneticPr fontId="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</si>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</sst>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宋体"/>
      <family val="3"/>
      <charset val="134"/>
      <scheme val="minor"/>
    </font>
    <font>
      <sz val="11"/>
      <color rgb="FF000000"/>
      <name val="宋体"/>
      <family val="3"/>
      <charset val="134"/>
    </font>
    <font>
      <sz val="11"/>
      <name val="宋体"/>
      <family val="3"/>
      <charset val="134"/>
      <scheme val="minor"/>
    </font>
    <font>
      <sz val="9"/>
      <color theme="1"/>
      <name val="华文细黑"/>
      <family val="3"/>
      <charset val="134"/>
    </font>
    <font>
      <sz val="9"/>
      <color theme="1"/>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37" fillId="0" borderId="0">
      <alignment vertical="center"/>
    </xf>
    <xf numFmtId="0" fontId="19" fillId="0" borderId="0"/>
    <xf numFmtId="0" fontId="19" fillId="0" borderId="0"/>
    <xf numFmtId="0" fontId="19" fillId="0" borderId="0"/>
    <xf numFmtId="0" fontId="19" fillId="0" borderId="0"/>
    <xf numFmtId="0" fontId="19" fillId="0" borderId="0"/>
    <xf numFmtId="0" fontId="19"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0" fontId="0" fillId="5" borderId="0" xfId="0" applyFill="1">
      <alignment vertical="center"/>
    </xf>
    <xf numFmtId="179" fontId="255" fillId="7" borderId="1" xfId="0" applyNumberFormat="1" applyFont="1" applyFill="1" applyBorder="1" applyAlignment="1">
      <alignment horizontal="center" vertical="center" wrapText="1"/>
    </xf>
    <xf numFmtId="0" fontId="98" fillId="7" borderId="1" xfId="9" applyNumberFormat="1" applyFont="1" applyFill="1" applyBorder="1" applyAlignment="1" applyProtection="1">
      <alignment horizontal="center" vertical="center"/>
    </xf>
    <xf numFmtId="179" fontId="98" fillId="7" borderId="1" xfId="0" applyNumberFormat="1" applyFont="1" applyFill="1" applyBorder="1" applyAlignment="1">
      <alignment horizontal="center" vertical="center" wrapText="1"/>
    </xf>
    <xf numFmtId="197" fontId="98" fillId="7" borderId="1" xfId="9" applyNumberFormat="1" applyFont="1" applyFill="1" applyBorder="1" applyAlignment="1" applyProtection="1">
      <alignment horizontal="center" vertical="center"/>
    </xf>
    <xf numFmtId="186" fontId="122" fillId="7" borderId="1" xfId="15" applyNumberFormat="1" applyFont="1" applyFill="1" applyBorder="1" applyAlignment="1" applyProtection="1">
      <alignment horizontal="center" vertical="center"/>
    </xf>
    <xf numFmtId="197" fontId="122" fillId="7" borderId="1" xfId="15" applyNumberFormat="1"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0" fontId="0" fillId="7" borderId="0" xfId="0" applyFill="1">
      <alignment vertical="center"/>
    </xf>
    <xf numFmtId="0" fontId="99" fillId="7" borderId="0" xfId="0" applyFont="1" applyFill="1">
      <alignment vertical="center"/>
    </xf>
    <xf numFmtId="0" fontId="37" fillId="7" borderId="1" xfId="6" applyFont="1" applyFill="1" applyBorder="1" applyAlignment="1">
      <alignment horizontal="center" vertical="center"/>
    </xf>
    <xf numFmtId="0" fontId="137" fillId="7" borderId="1" xfId="13" applyFont="1" applyFill="1" applyBorder="1" applyAlignment="1">
      <alignment horizontal="center" vertical="center" wrapText="1"/>
    </xf>
    <xf numFmtId="186" fontId="137" fillId="7" borderId="1" xfId="13" applyNumberFormat="1" applyFont="1" applyFill="1" applyBorder="1" applyAlignment="1">
      <alignment horizontal="center" vertical="center" wrapText="1"/>
    </xf>
    <xf numFmtId="0" fontId="80" fillId="7" borderId="1" xfId="13" applyFont="1" applyFill="1" applyBorder="1" applyAlignment="1">
      <alignment horizontal="center" vertical="center" wrapText="1"/>
    </xf>
    <xf numFmtId="0" fontId="19" fillId="7" borderId="1" xfId="6" applyFont="1" applyFill="1" applyBorder="1" applyAlignment="1">
      <alignment horizontal="center" vertical="center"/>
    </xf>
    <xf numFmtId="0" fontId="99" fillId="7" borderId="1" xfId="0" applyFont="1" applyFill="1" applyBorder="1" applyAlignment="1">
      <alignment horizontal="center" vertical="center"/>
    </xf>
    <xf numFmtId="0" fontId="137" fillId="7" borderId="1" xfId="0" applyNumberFormat="1" applyFont="1" applyFill="1" applyBorder="1" applyAlignment="1" applyProtection="1">
      <alignment horizontal="center" vertical="center"/>
    </xf>
    <xf numFmtId="0" fontId="98" fillId="7" borderId="1" xfId="14" applyNumberFormat="1" applyFont="1" applyFill="1" applyBorder="1" applyAlignment="1" applyProtection="1">
      <alignment horizontal="center" vertical="center"/>
    </xf>
    <xf numFmtId="197" fontId="99" fillId="7" borderId="1" xfId="15" applyNumberFormat="1" applyFont="1" applyFill="1" applyBorder="1" applyAlignment="1" applyProtection="1">
      <alignment horizontal="center" vertical="center"/>
    </xf>
    <xf numFmtId="0" fontId="98" fillId="7" borderId="1" xfId="6" applyFont="1" applyFill="1" applyBorder="1" applyAlignment="1">
      <alignment horizontal="center" vertical="center"/>
    </xf>
    <xf numFmtId="0" fontId="255" fillId="7" borderId="1" xfId="0" applyFont="1" applyFill="1" applyBorder="1" applyAlignment="1">
      <alignment horizontal="center" vertical="center" wrapText="1"/>
    </xf>
    <xf numFmtId="0" fontId="99" fillId="7" borderId="1" xfId="16" applyNumberFormat="1" applyFont="1" applyFill="1" applyBorder="1" applyAlignment="1" applyProtection="1">
      <alignment horizontal="center" vertical="center"/>
    </xf>
    <xf numFmtId="0" fontId="122" fillId="7" borderId="1" xfId="17" applyNumberFormat="1" applyFont="1" applyFill="1" applyBorder="1" applyAlignment="1" applyProtection="1">
      <alignment horizontal="center" vertical="center"/>
    </xf>
    <xf numFmtId="0" fontId="122" fillId="7" borderId="1" xfId="11" applyNumberFormat="1" applyFont="1" applyFill="1" applyBorder="1" applyAlignment="1" applyProtection="1">
      <alignment horizontal="center" vertical="center"/>
    </xf>
    <xf numFmtId="197" fontId="122" fillId="7" borderId="1" xfId="11" applyNumberFormat="1" applyFont="1" applyFill="1" applyBorder="1" applyAlignment="1" applyProtection="1">
      <alignment horizontal="center" vertical="center"/>
    </xf>
    <xf numFmtId="0" fontId="122" fillId="7" borderId="1" xfId="18" applyNumberFormat="1" applyFont="1" applyFill="1" applyBorder="1" applyAlignment="1" applyProtection="1">
      <alignment horizontal="center" vertical="center"/>
    </xf>
    <xf numFmtId="197" fontId="122" fillId="7" borderId="1" xfId="18" applyNumberFormat="1" applyFont="1" applyFill="1" applyBorder="1" applyAlignment="1" applyProtection="1">
      <alignment horizontal="center" vertical="center"/>
    </xf>
    <xf numFmtId="0" fontId="99" fillId="7" borderId="1" xfId="17" applyNumberFormat="1" applyFont="1" applyFill="1" applyBorder="1" applyAlignment="1" applyProtection="1">
      <alignment horizontal="center" vertical="center"/>
    </xf>
    <xf numFmtId="0" fontId="137" fillId="7" borderId="1" xfId="11" applyNumberFormat="1" applyFont="1" applyFill="1" applyBorder="1" applyAlignment="1" applyProtection="1">
      <alignment horizontal="center" vertical="center"/>
    </xf>
    <xf numFmtId="197" fontId="98" fillId="7" borderId="1" xfId="11" applyNumberFormat="1" applyFont="1" applyFill="1" applyBorder="1" applyAlignment="1" applyProtection="1">
      <alignment horizontal="center" vertical="center"/>
    </xf>
    <xf numFmtId="0" fontId="99" fillId="7" borderId="1" xfId="11" applyFont="1" applyFill="1" applyBorder="1" applyAlignment="1">
      <alignment horizontal="center" vertical="center"/>
    </xf>
    <xf numFmtId="0" fontId="122" fillId="7" borderId="1" xfId="19" applyNumberFormat="1" applyFont="1" applyFill="1" applyBorder="1" applyAlignment="1" applyProtection="1">
      <alignment horizontal="center" vertical="center"/>
    </xf>
    <xf numFmtId="0" fontId="99" fillId="7" borderId="1" xfId="19" applyNumberFormat="1" applyFont="1" applyFill="1" applyBorder="1" applyAlignment="1" applyProtection="1">
      <alignment horizontal="center" vertical="center"/>
    </xf>
    <xf numFmtId="0" fontId="0" fillId="18" borderId="0" xfId="0" applyFill="1">
      <alignment vertical="center"/>
    </xf>
    <xf numFmtId="0" fontId="99" fillId="5" borderId="0" xfId="0" applyFont="1" applyFill="1">
      <alignment vertical="center"/>
    </xf>
    <xf numFmtId="0" fontId="0" fillId="7" borderId="1" xfId="0" applyFill="1" applyBorder="1">
      <alignment vertical="center"/>
    </xf>
    <xf numFmtId="197" fontId="0" fillId="7" borderId="1" xfId="0" applyNumberFormat="1" applyFill="1" applyBorder="1">
      <alignment vertical="center"/>
    </xf>
    <xf numFmtId="0" fontId="257" fillId="0" borderId="162" xfId="0" applyFont="1" applyBorder="1" applyAlignment="1">
      <alignment vertical="center" wrapText="1"/>
    </xf>
    <xf numFmtId="0" fontId="257" fillId="0" borderId="161" xfId="0" applyFont="1" applyBorder="1" applyAlignment="1">
      <alignment horizontal="justify" vertical="center" wrapText="1"/>
    </xf>
    <xf numFmtId="0" fontId="257" fillId="0" borderId="161" xfId="0" applyFont="1" applyBorder="1" applyAlignment="1">
      <alignment vertical="top" wrapText="1"/>
    </xf>
    <xf numFmtId="0" fontId="257" fillId="0" borderId="161" xfId="0" applyFont="1" applyBorder="1" applyAlignment="1">
      <alignment vertical="center" wrapText="1"/>
    </xf>
    <xf numFmtId="57" fontId="257" fillId="0" borderId="161" xfId="0" applyNumberFormat="1" applyFont="1" applyBorder="1" applyAlignment="1">
      <alignment vertical="center" wrapText="1"/>
    </xf>
    <xf numFmtId="0" fontId="257" fillId="0" borderId="43" xfId="0" applyFont="1" applyBorder="1">
      <alignment vertical="center"/>
    </xf>
    <xf numFmtId="0" fontId="257" fillId="0" borderId="161" xfId="0" applyFont="1" applyBorder="1">
      <alignment vertical="center"/>
    </xf>
    <xf numFmtId="9" fontId="257" fillId="0" borderId="161" xfId="0" applyNumberFormat="1" applyFont="1" applyBorder="1" applyAlignment="1">
      <alignment horizontal="justify" vertical="center" wrapText="1"/>
    </xf>
    <xf numFmtId="0" fontId="257" fillId="0" borderId="161" xfId="0" applyFont="1" applyBorder="1" applyAlignment="1">
      <alignment horizontal="left" vertical="center" wrapText="1"/>
    </xf>
    <xf numFmtId="0" fontId="258" fillId="0" borderId="161" xfId="0" applyFont="1" applyBorder="1" applyAlignment="1">
      <alignment vertical="center" wrapText="1"/>
    </xf>
    <xf numFmtId="0" fontId="257" fillId="0" borderId="1" xfId="0" applyFont="1" applyBorder="1" applyAlignment="1">
      <alignment vertical="center" wrapText="1"/>
    </xf>
    <xf numFmtId="0" fontId="258" fillId="0" borderId="1" xfId="0" applyFont="1" applyBorder="1" applyAlignment="1">
      <alignment vertical="center" wrapText="1"/>
    </xf>
    <xf numFmtId="0" fontId="257" fillId="0" borderId="1" xfId="0" applyFont="1" applyBorder="1">
      <alignment vertical="center"/>
    </xf>
    <xf numFmtId="0" fontId="258"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1" fillId="7" borderId="1" xfId="6" applyFont="1" applyFill="1" applyBorder="1" applyAlignment="1">
      <alignment horizontal="center" vertical="center"/>
    </xf>
    <xf numFmtId="0" fontId="256" fillId="7" borderId="1" xfId="6" applyFont="1" applyFill="1" applyBorder="1" applyAlignment="1">
      <alignment horizontal="center" vertical="center"/>
    </xf>
    <xf numFmtId="0" fontId="99" fillId="7" borderId="5" xfId="0" applyFont="1" applyFill="1" applyBorder="1" applyAlignment="1">
      <alignment horizontal="center" vertical="center"/>
    </xf>
    <xf numFmtId="0" fontId="99" fillId="7" borderId="54" xfId="0" applyFont="1" applyFill="1" applyBorder="1" applyAlignment="1">
      <alignment horizontal="center" vertical="center"/>
    </xf>
    <xf numFmtId="0" fontId="99" fillId="7" borderId="3" xfId="0" applyFont="1" applyFill="1" applyBorder="1" applyAlignment="1">
      <alignment horizontal="center" vertical="center"/>
    </xf>
    <xf numFmtId="197" fontId="0" fillId="7" borderId="5" xfId="0" applyNumberFormat="1" applyFill="1" applyBorder="1" applyAlignment="1">
      <alignment horizontal="center" vertical="center"/>
    </xf>
    <xf numFmtId="197" fontId="0" fillId="7" borderId="3" xfId="0" applyNumberFormat="1" applyFill="1" applyBorder="1" applyAlignment="1">
      <alignment horizontal="center" vertical="center"/>
    </xf>
    <xf numFmtId="0" fontId="256" fillId="7" borderId="5" xfId="6" applyFont="1" applyFill="1" applyBorder="1" applyAlignment="1">
      <alignment horizontal="center" vertical="center"/>
    </xf>
    <xf numFmtId="0" fontId="256" fillId="7" borderId="3" xfId="6" applyFont="1" applyFill="1" applyBorder="1" applyAlignment="1">
      <alignment horizontal="center" vertical="center"/>
    </xf>
    <xf numFmtId="0" fontId="99" fillId="7" borderId="1" xfId="6" applyFont="1" applyFill="1" applyBorder="1" applyAlignment="1">
      <alignment horizontal="center" vertical="center"/>
    </xf>
    <xf numFmtId="0" fontId="163" fillId="7" borderId="60" xfId="6" applyFont="1" applyFill="1" applyBorder="1" applyAlignment="1">
      <alignment horizontal="center" vertical="center"/>
    </xf>
    <xf numFmtId="0" fontId="254" fillId="7" borderId="1" xfId="6" applyFont="1" applyFill="1" applyBorder="1" applyAlignment="1">
      <alignment horizontal="center" vertical="center"/>
    </xf>
    <xf numFmtId="0" fontId="257" fillId="0" borderId="156" xfId="0" applyFont="1" applyBorder="1">
      <alignment vertical="center"/>
    </xf>
    <xf numFmtId="0" fontId="257" fillId="0" borderId="157" xfId="0" applyFont="1" applyBorder="1">
      <alignment vertical="center"/>
    </xf>
    <xf numFmtId="0" fontId="257" fillId="0" borderId="158" xfId="0" applyFont="1" applyBorder="1">
      <alignment vertical="center"/>
    </xf>
    <xf numFmtId="0" fontId="257" fillId="0" borderId="159" xfId="0" applyFont="1" applyBorder="1">
      <alignment vertical="center"/>
    </xf>
    <xf numFmtId="0" fontId="257" fillId="0" borderId="160" xfId="0" applyFont="1" applyBorder="1">
      <alignment vertical="center"/>
    </xf>
    <xf numFmtId="0" fontId="257" fillId="0" borderId="161" xfId="0" applyFont="1" applyBorder="1">
      <alignment vertical="center"/>
    </xf>
    <xf numFmtId="0" fontId="257" fillId="0" borderId="165" xfId="0" applyFont="1" applyBorder="1">
      <alignment vertical="center"/>
    </xf>
    <xf numFmtId="0" fontId="257" fillId="0" borderId="162" xfId="0" applyFont="1" applyBorder="1">
      <alignment vertical="center"/>
    </xf>
    <xf numFmtId="0" fontId="257" fillId="0" borderId="166" xfId="0" applyFont="1" applyBorder="1">
      <alignment vertical="center"/>
    </xf>
    <xf numFmtId="0" fontId="257" fillId="0" borderId="167" xfId="0" applyFont="1" applyBorder="1">
      <alignment vertical="center"/>
    </xf>
    <xf numFmtId="0" fontId="257" fillId="0" borderId="169" xfId="0" applyFont="1" applyBorder="1" applyAlignment="1">
      <alignment vertical="center" wrapText="1"/>
    </xf>
    <xf numFmtId="0" fontId="257" fillId="0" borderId="164" xfId="0" applyFont="1" applyBorder="1" applyAlignment="1">
      <alignment vertical="center" wrapText="1"/>
    </xf>
    <xf numFmtId="0" fontId="257" fillId="0" borderId="163" xfId="0" applyFont="1" applyBorder="1" applyAlignment="1">
      <alignment vertical="center" wrapText="1"/>
    </xf>
    <xf numFmtId="0" fontId="257" fillId="0" borderId="27" xfId="0" applyFont="1" applyBorder="1" applyAlignment="1">
      <alignment horizontal="center" vertical="center" wrapText="1"/>
    </xf>
    <xf numFmtId="0" fontId="257" fillId="0" borderId="80"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168" xfId="0" applyFont="1" applyBorder="1" applyAlignment="1">
      <alignment horizontal="center" vertical="center" wrapText="1"/>
    </xf>
    <xf numFmtId="0" fontId="257" fillId="0" borderId="164" xfId="0" applyFont="1" applyBorder="1" applyAlignment="1">
      <alignment horizontal="center" vertical="center" wrapText="1"/>
    </xf>
    <xf numFmtId="0" fontId="257" fillId="0" borderId="165" xfId="0" applyFont="1" applyBorder="1" applyAlignment="1"/>
    <xf numFmtId="0" fontId="257" fillId="0" borderId="162" xfId="0" applyFont="1" applyBorder="1" applyAlignment="1"/>
    <xf numFmtId="0" fontId="257" fillId="0" borderId="1" xfId="0" applyFont="1" applyBorder="1">
      <alignment vertical="center"/>
    </xf>
    <xf numFmtId="0" fontId="257" fillId="0" borderId="1" xfId="0" applyFont="1" applyBorder="1" applyAlignment="1">
      <alignment vertical="center" wrapText="1"/>
    </xf>
    <xf numFmtId="0" fontId="257" fillId="0" borderId="1" xfId="0" applyFont="1" applyBorder="1" applyAlignment="1">
      <alignment horizontal="center" vertical="center" wrapText="1"/>
    </xf>
    <xf numFmtId="0" fontId="257" fillId="0" borderId="165" xfId="0" applyFont="1" applyBorder="1" applyAlignment="1">
      <alignment vertical="top" wrapText="1"/>
    </xf>
    <xf numFmtId="0" fontId="257" fillId="0" borderId="162" xfId="0" applyFont="1" applyBorder="1" applyAlignment="1">
      <alignment vertical="top" wrapText="1"/>
    </xf>
    <xf numFmtId="0" fontId="257" fillId="0" borderId="169" xfId="0" applyFont="1" applyBorder="1" applyAlignment="1">
      <alignment horizontal="center" vertical="center" wrapText="1"/>
    </xf>
    <xf numFmtId="0" fontId="257" fillId="0" borderId="163" xfId="0" applyFont="1" applyBorder="1" applyAlignment="1">
      <alignment horizontal="center" vertical="center" wrapText="1"/>
    </xf>
    <xf numFmtId="0" fontId="257" fillId="0" borderId="165" xfId="0" applyFont="1" applyBorder="1" applyAlignment="1">
      <alignment vertical="center" wrapText="1"/>
    </xf>
    <xf numFmtId="0" fontId="257" fillId="0" borderId="162" xfId="0" applyFont="1" applyBorder="1" applyAlignment="1">
      <alignment vertical="center" wrapText="1"/>
    </xf>
  </cellXfs>
  <cellStyles count="20">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D区二层价格_1" xfId="13"/>
    <cellStyle name="常规_D区二层价格_4" xfId="18"/>
    <cellStyle name="常规_D区一层价格_4" xfId="14"/>
    <cellStyle name="常规_D区一层价格_4 2" xfId="16"/>
    <cellStyle name="常规_D区一层价格_4 2 2" xfId="19"/>
    <cellStyle name="常规_D区一层价格_4 3" xfId="17"/>
    <cellStyle name="常规_D区一层价格_5 2" xfId="15"/>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江苏省宿迁市宿城区水韵城项目部分商业用途房地产抵押价值预评估</v>
      </c>
    </row>
    <row r="3" spans="1:2" s="1595" customFormat="1">
      <c r="A3" s="1593" t="s">
        <v>1221</v>
      </c>
      <c r="B3" s="1594" t="str">
        <f>'预评函-封皮'!B40</f>
        <v>华融国际信托有限责任公司</v>
      </c>
    </row>
    <row r="4" spans="1:2" s="1595" customFormat="1">
      <c r="A4" s="1593" t="s">
        <v>1222</v>
      </c>
      <c r="B4" s="1594" t="str">
        <f ca="1">'预评函-封皮'!B46</f>
        <v>郑燚（注册号：1120070131)、王萌（注册号：1120130048)</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受贵公司委托，我公司对江苏省宿迁市宿城区水韵城项目部分商业用途房地产抵押价值进行了预评估。</v>
      </c>
    </row>
    <row r="7" spans="1:2" s="1595" customFormat="1">
      <c r="A7" s="1593" t="s">
        <v>1264</v>
      </c>
      <c r="B7" s="1594" t="str">
        <f>'预评函-1'!A7</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2" spans="1:2" s="1595" customFormat="1">
      <c r="A12" s="1593" t="s">
        <v>1226</v>
      </c>
      <c r="B12" s="1594" t="str">
        <f>'预评函-1'!A15</f>
        <v>2018年4月12日（评估专业人员实地查勘之日）</v>
      </c>
    </row>
    <row r="13" spans="1:2" s="1595" customFormat="1">
      <c r="A13" s="1593" t="s">
        <v>1227</v>
      </c>
      <c r="B13" s="1594" t="str">
        <f>'预评函-1'!A18</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本次评估采用的主估价方法为收益法和比较法。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666</v>
      </c>
    </row>
    <row r="21" spans="1:2" s="1595" customFormat="1">
      <c r="A21" s="1593" t="s">
        <v>1235</v>
      </c>
      <c r="B21" s="1594">
        <f ca="1">'预评函-2'!D7</f>
        <v>39429</v>
      </c>
    </row>
    <row r="22" spans="1:2" s="1595" customFormat="1">
      <c r="A22" s="1593" t="s">
        <v>1236</v>
      </c>
      <c r="B22" s="1594" t="str">
        <f ca="1">'预评函-2'!D6</f>
        <v>陆佰陆拾陆万元整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666</v>
      </c>
    </row>
    <row r="31" spans="1:2" s="1595" customFormat="1">
      <c r="A31" s="1593" t="s">
        <v>1274</v>
      </c>
      <c r="B31" s="1594">
        <f ca="1">'预评函-2'!D15</f>
        <v>1378</v>
      </c>
    </row>
    <row r="32" spans="1:2" s="1595" customFormat="1">
      <c r="A32" s="1593" t="s">
        <v>1241</v>
      </c>
      <c r="B32" s="1594" t="str">
        <f ca="1">'预评函-2'!D14</f>
        <v>陆佰陆拾陆万元整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江苏省宿迁市宿城区水韵城项目部分商业用途房地产</v>
      </c>
    </row>
    <row r="42" spans="1:2" s="1595" customFormat="1">
      <c r="A42" s="1593" t="s">
        <v>1288</v>
      </c>
      <c r="B42" s="1594" t="str">
        <f>'预评函-3'!B2</f>
        <v>建筑面积</v>
      </c>
    </row>
    <row r="43" spans="1:2" s="1595" customFormat="1">
      <c r="A43" s="1593" t="s">
        <v>1289</v>
      </c>
      <c r="B43" s="1594">
        <f>'预评函-3'!B4</f>
        <v>4833.9999999999973</v>
      </c>
    </row>
    <row r="44" spans="1:2" s="1595" customFormat="1">
      <c r="A44" s="1593" t="s">
        <v>1273</v>
      </c>
      <c r="B44" s="1594" t="str">
        <f>'预评函-3'!C2</f>
        <v>(分摊)土地面积</v>
      </c>
    </row>
    <row r="45" spans="1:2" s="1595" customFormat="1">
      <c r="A45" s="1593" t="s">
        <v>1245</v>
      </c>
      <c r="B45" s="1594">
        <f>'预评函-3'!C4</f>
        <v>909.82</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（1）根据估价对象《房屋所有权证》原件、《国有土地使用权》原件，截至价值时点，估价对象抵押权未见登记。</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王萌</v>
      </c>
    </row>
    <row r="73" spans="1:2" s="1589" customFormat="1" ht="15" thickBot="1">
      <c r="A73" s="1596" t="s">
        <v>1263</v>
      </c>
      <c r="B73" s="1597">
        <f ca="1">'预评函-4'!B5</f>
        <v>1120130048</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为估价委托人在向华融国际信托有限责任公司办理贷款手续过程中，确定房地产抵押贷款额度提供参考依据而评估房地产抵押价值。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8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12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83"/>
      <c r="B54" s="2024" t="s">
        <v>864</v>
      </c>
      <c r="C54" s="2021" t="s">
        <v>1281</v>
      </c>
    </row>
    <row r="55" spans="1:4">
      <c r="A55" s="3083"/>
      <c r="B55" s="2024" t="s">
        <v>865</v>
      </c>
      <c r="C55" s="2021" t="s">
        <v>1282</v>
      </c>
    </row>
    <row r="56" spans="1:4">
      <c r="A56" s="3083"/>
      <c r="B56" s="2024" t="s">
        <v>866</v>
      </c>
      <c r="C56" s="2021" t="s">
        <v>1286</v>
      </c>
    </row>
    <row r="57" spans="1:4">
      <c r="A57" s="308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1775</v>
      </c>
      <c r="B1" s="3092" t="str">
        <f>IF(B10="北京市","北京市",C10)&amp;F10&amp;IF(结果表!G1="在建","出让国有建设用地使用权及在建建筑物",IF(结果表!G1="土地","出让国有建设用地使用权",))&amp;B9&amp;"预评估"</f>
        <v>江苏省宿迁市宿城区水韵城项目部分商业用途房地产抵押价值预评估</v>
      </c>
      <c r="C1" s="3093"/>
      <c r="D1" s="3093"/>
      <c r="E1" s="3093"/>
      <c r="F1" s="3093"/>
      <c r="G1" s="3093"/>
      <c r="H1" s="3093"/>
      <c r="I1" s="309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江苏省宿迁市宿城区水韵城项目部分商业用途房地产抵押价值</v>
      </c>
    </row>
    <row r="2" spans="1:19" ht="18" customHeight="1">
      <c r="A2" s="2028" t="s">
        <v>1776</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江苏省宿迁市宿城区水韵城项目部分商业用途房地产</v>
      </c>
    </row>
    <row r="3" spans="1:19" ht="18" customHeight="1">
      <c r="A3" s="2037" t="s">
        <v>1777</v>
      </c>
      <c r="B3" s="2038">
        <v>43202</v>
      </c>
      <c r="C3" s="2039" t="s">
        <v>1778</v>
      </c>
      <c r="D3" s="2038">
        <f>B3</f>
        <v>43202</v>
      </c>
      <c r="E3" s="2028"/>
      <c r="F3" s="2028"/>
      <c r="G3" s="2028"/>
      <c r="H3" s="2028"/>
      <c r="I3" s="2028"/>
      <c r="J3" s="2028"/>
      <c r="K3" s="2029"/>
      <c r="L3" s="2030"/>
      <c r="M3" s="2030"/>
      <c r="N3" s="2031"/>
      <c r="O3" s="2032"/>
      <c r="P3" s="2031"/>
      <c r="Q3" s="2031"/>
      <c r="R3" s="2031"/>
      <c r="S3" s="2033"/>
    </row>
    <row r="4" spans="1:19" ht="18" customHeight="1" thickBot="1">
      <c r="A4" s="2040" t="s">
        <v>1779</v>
      </c>
      <c r="B4" s="2041" t="s">
        <v>3043</v>
      </c>
      <c r="C4" s="1039">
        <f ca="1">SUMIF(注册房地产估价师,B4,估价师及机构信息!B3:B24)</f>
        <v>1120070131</v>
      </c>
      <c r="D4" s="2041" t="s">
        <v>3044</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1780</v>
      </c>
      <c r="B5" s="2941" t="s">
        <v>3045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942" t="s">
        <v>3045</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1782</v>
      </c>
      <c r="B7" s="2943" t="s">
        <v>3046</v>
      </c>
      <c r="C7" s="2050"/>
      <c r="D7" s="2051"/>
      <c r="E7" s="2036"/>
      <c r="F7" s="2044"/>
      <c r="G7" s="2044"/>
      <c r="H7" s="2044"/>
      <c r="I7" s="2044"/>
      <c r="J7" s="2044"/>
      <c r="K7" s="2053"/>
      <c r="L7" s="2030"/>
      <c r="M7" s="2030"/>
      <c r="N7" s="2031"/>
      <c r="O7" s="2032"/>
      <c r="P7" s="2031"/>
      <c r="Q7" s="2031"/>
      <c r="R7" s="2031"/>
    </row>
    <row r="8" spans="1:19" ht="18" customHeight="1">
      <c r="A8" s="2049" t="s">
        <v>1783</v>
      </c>
      <c r="B8" s="2054" t="s">
        <v>3047</v>
      </c>
      <c r="C8" s="2055"/>
      <c r="D8" s="3095" t="s">
        <v>1784</v>
      </c>
      <c r="E8" s="2056" t="s">
        <v>3048</v>
      </c>
      <c r="F8" s="2057"/>
      <c r="G8" s="2028"/>
      <c r="H8" s="2028"/>
      <c r="I8" s="2028"/>
      <c r="J8" s="2044"/>
      <c r="K8" s="2045"/>
      <c r="L8" s="2030"/>
      <c r="M8" s="2030"/>
      <c r="N8" s="2031"/>
      <c r="O8" s="2032"/>
      <c r="P8" s="2031"/>
      <c r="Q8" s="2031"/>
      <c r="R8" s="2031"/>
    </row>
    <row r="9" spans="1:19" ht="18" customHeight="1" thickBot="1">
      <c r="A9" s="2042" t="s">
        <v>1785</v>
      </c>
      <c r="B9" s="2058" t="s">
        <v>3048</v>
      </c>
      <c r="C9" s="2059"/>
      <c r="D9" s="3096"/>
      <c r="E9" s="2058" t="s">
        <v>70</v>
      </c>
      <c r="F9" s="2060"/>
      <c r="G9" s="2061"/>
      <c r="H9" s="2061"/>
      <c r="I9" s="2061"/>
      <c r="J9" s="2044"/>
      <c r="K9" s="2053"/>
      <c r="L9" s="2030"/>
      <c r="M9" s="2030"/>
      <c r="N9" s="2031"/>
      <c r="O9" s="2032"/>
      <c r="P9" s="2031"/>
      <c r="Q9" s="2031"/>
      <c r="R9" s="2031"/>
    </row>
    <row r="10" spans="1:19" ht="26.25" customHeight="1" thickTop="1">
      <c r="A10" s="2062" t="s">
        <v>1786</v>
      </c>
      <c r="B10" s="2063" t="s">
        <v>3049</v>
      </c>
      <c r="C10" s="2944" t="s">
        <v>3050</v>
      </c>
      <c r="D10" s="2048"/>
      <c r="E10" s="2064" t="s">
        <v>1787</v>
      </c>
      <c r="F10" s="2945" t="s">
        <v>3051</v>
      </c>
      <c r="G10" s="2065"/>
      <c r="H10" s="2066"/>
      <c r="I10" s="2048"/>
      <c r="J10" s="2044"/>
      <c r="K10" s="2053"/>
      <c r="L10" s="2030"/>
      <c r="M10" s="2030"/>
      <c r="N10" s="2031"/>
      <c r="O10" s="2032"/>
      <c r="P10" s="2031"/>
      <c r="Q10" s="2031"/>
      <c r="R10" s="2031"/>
    </row>
    <row r="11" spans="1:19" ht="18" customHeight="1">
      <c r="A11" s="2067" t="s">
        <v>1788</v>
      </c>
      <c r="B11" s="2068" t="s">
        <v>3052</v>
      </c>
      <c r="C11" s="2946" t="s">
        <v>3053</v>
      </c>
      <c r="D11" s="2069"/>
      <c r="E11" s="2044"/>
      <c r="F11" s="2044"/>
      <c r="G11" s="2044"/>
      <c r="H11" s="2044"/>
      <c r="I11" s="2044"/>
      <c r="J11" s="2044"/>
      <c r="K11" s="2053"/>
      <c r="L11" s="2030"/>
      <c r="M11" s="2030"/>
      <c r="N11" s="2031"/>
      <c r="O11" s="2032"/>
      <c r="P11" s="2031"/>
      <c r="Q11" s="2031"/>
      <c r="R11" s="2031"/>
    </row>
    <row r="12" spans="1:19" ht="18" customHeight="1">
      <c r="A12" s="2070" t="s">
        <v>1789</v>
      </c>
      <c r="B12" s="2068" t="s">
        <v>3054</v>
      </c>
      <c r="C12" s="2071" t="s">
        <v>1790</v>
      </c>
      <c r="D12" s="2072" t="s">
        <v>1791</v>
      </c>
      <c r="E12" s="2072" t="s">
        <v>1792</v>
      </c>
      <c r="F12" s="2072" t="s">
        <v>1793</v>
      </c>
      <c r="G12" s="2072" t="s">
        <v>1794</v>
      </c>
      <c r="H12" s="2072" t="s">
        <v>1795</v>
      </c>
      <c r="I12" s="2072" t="s">
        <v>1796</v>
      </c>
      <c r="J12" s="2044"/>
      <c r="K12" s="2053"/>
      <c r="L12" s="2030"/>
      <c r="M12" s="2030"/>
      <c r="N12" s="2031"/>
      <c r="O12" s="2032"/>
      <c r="P12" s="2031"/>
      <c r="Q12" s="2031"/>
      <c r="R12" s="2031"/>
    </row>
    <row r="13" spans="1:19" ht="18" customHeight="1">
      <c r="A13" s="2073"/>
      <c r="B13" s="2074"/>
      <c r="C13" s="2075" t="s">
        <v>1797</v>
      </c>
      <c r="D13" s="2076"/>
      <c r="E13" s="2076">
        <v>55709</v>
      </c>
      <c r="F13" s="2076"/>
      <c r="G13" s="2076"/>
      <c r="H13" s="2076"/>
      <c r="I13" s="1049"/>
      <c r="J13" s="2044"/>
      <c r="K13" s="2053"/>
      <c r="L13" s="2030"/>
      <c r="M13" s="2030"/>
      <c r="N13" s="2031"/>
      <c r="O13" s="2032"/>
      <c r="P13" s="2031"/>
      <c r="Q13" s="2031"/>
      <c r="R13" s="2031"/>
    </row>
    <row r="14" spans="1:19" ht="18" customHeight="1">
      <c r="A14" s="2073"/>
      <c r="B14" s="2074"/>
      <c r="C14" s="2075" t="s">
        <v>1798</v>
      </c>
      <c r="D14" s="1052"/>
      <c r="E14" s="1052">
        <v>40</v>
      </c>
      <c r="F14" s="1052"/>
      <c r="G14" s="1052"/>
      <c r="H14" s="1052"/>
      <c r="I14" s="1052"/>
      <c r="J14" s="2044"/>
      <c r="K14" s="2077"/>
      <c r="L14" s="2030"/>
      <c r="M14" s="2030"/>
      <c r="N14" s="2031"/>
      <c r="O14" s="2032"/>
      <c r="P14" s="2031"/>
      <c r="Q14" s="2031"/>
      <c r="R14" s="2031"/>
    </row>
    <row r="15" spans="1:19" ht="18" customHeight="1">
      <c r="A15" s="2062"/>
      <c r="B15" s="2078"/>
      <c r="C15" s="2075" t="s">
        <v>1799</v>
      </c>
      <c r="D15" s="1051" t="str">
        <f>IF(B12="出让",IF(D13="","",ROUNDDOWN(MIN((D13-$D$3)/365,D14),2)),D14)</f>
        <v/>
      </c>
      <c r="E15" s="1051">
        <f>IF(B12="出让",IF(E13="","",ROUNDDOWN(MIN((E13-$D$3)/365,E14),2)),E14)</f>
        <v>34.26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1800</v>
      </c>
      <c r="B16" s="3102" t="s">
        <v>3055</v>
      </c>
      <c r="C16" s="3103"/>
      <c r="D16" s="3104"/>
      <c r="E16" s="2082" t="s">
        <v>1801</v>
      </c>
      <c r="F16" s="3105" t="s">
        <v>3056</v>
      </c>
      <c r="G16" s="3106"/>
      <c r="H16" s="3106"/>
      <c r="I16" s="3107"/>
      <c r="J16" s="2031"/>
      <c r="K16" s="2079"/>
      <c r="L16" s="2080"/>
      <c r="M16" s="2080"/>
      <c r="N16" s="2081"/>
      <c r="O16" s="2080"/>
      <c r="P16" s="2081"/>
      <c r="Q16" s="2031"/>
      <c r="R16" s="2031"/>
    </row>
    <row r="17" spans="1:22" ht="18" customHeight="1">
      <c r="A17" s="2083" t="s">
        <v>1802</v>
      </c>
      <c r="B17" s="2037" t="s">
        <v>1803</v>
      </c>
      <c r="C17" s="1056">
        <f>'数据-汇总表'!E3</f>
        <v>4833.9999999999973</v>
      </c>
      <c r="D17" s="2084" t="s">
        <v>1804</v>
      </c>
      <c r="E17" s="3108" t="s">
        <v>3058</v>
      </c>
      <c r="F17" s="3109"/>
      <c r="G17" s="3109"/>
      <c r="H17" s="3109"/>
      <c r="I17" s="3110"/>
      <c r="J17" s="2031"/>
      <c r="K17" s="2085"/>
      <c r="L17" s="2080"/>
      <c r="M17" s="2080"/>
      <c r="N17" s="2081"/>
      <c r="O17" s="2080"/>
      <c r="P17" s="2081"/>
      <c r="Q17" s="2031"/>
      <c r="R17" s="2031"/>
      <c r="S17" s="2031"/>
      <c r="T17" s="2031"/>
      <c r="U17" s="2031"/>
      <c r="V17" s="2031"/>
    </row>
    <row r="18" spans="1:22" ht="36" customHeight="1" thickBot="1">
      <c r="A18" s="2086" t="s">
        <v>1805</v>
      </c>
      <c r="B18" s="2040" t="s">
        <v>1806</v>
      </c>
      <c r="C18" s="1446">
        <f>'数据-汇总表'!D3</f>
        <v>909.82</v>
      </c>
      <c r="D18" s="2087" t="s">
        <v>1804</v>
      </c>
      <c r="E18" s="3111" t="s">
        <v>3057</v>
      </c>
      <c r="F18" s="3112"/>
      <c r="G18" s="3112"/>
      <c r="H18" s="3112"/>
      <c r="I18" s="3113"/>
      <c r="J18" s="2031"/>
      <c r="K18" s="2085"/>
      <c r="L18" s="2080"/>
      <c r="M18" s="2080"/>
      <c r="N18" s="2081"/>
      <c r="O18" s="2080"/>
      <c r="P18" s="2081"/>
      <c r="Q18" s="2031"/>
      <c r="R18" s="2031"/>
      <c r="S18" s="2031"/>
      <c r="T18" s="2031"/>
      <c r="U18" s="2031"/>
      <c r="V18" s="2031"/>
    </row>
    <row r="19" spans="1:22" ht="37.5" customHeight="1" thickTop="1" thickBot="1">
      <c r="A19" s="373" t="s">
        <v>1807</v>
      </c>
      <c r="B19" s="352" t="s">
        <v>1808</v>
      </c>
      <c r="C19" s="2088" t="s">
        <v>3059</v>
      </c>
      <c r="D19" s="2089" t="s">
        <v>1809</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1810</v>
      </c>
      <c r="B20" s="3098" t="s">
        <v>1811</v>
      </c>
      <c r="C20" s="3099"/>
      <c r="D20" s="3100" t="s">
        <v>1812</v>
      </c>
      <c r="E20" s="3101"/>
      <c r="F20" s="2094" t="s">
        <v>1813</v>
      </c>
      <c r="G20" s="2044"/>
      <c r="H20" s="2044"/>
      <c r="I20" s="2044"/>
      <c r="J20" s="2044"/>
      <c r="K20" s="3097" t="s">
        <v>1814</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1815</v>
      </c>
      <c r="C21" s="2096" t="s">
        <v>1816</v>
      </c>
      <c r="D21" s="2097"/>
      <c r="E21" s="2098" t="s">
        <v>70</v>
      </c>
      <c r="F21" s="2099"/>
      <c r="G21" s="2044"/>
      <c r="H21" s="2044"/>
      <c r="I21" s="2044"/>
      <c r="J21" s="2044"/>
      <c r="K21" s="309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1817</v>
      </c>
      <c r="C22" s="2096" t="s">
        <v>3060</v>
      </c>
      <c r="D22" s="2028"/>
      <c r="E22" s="2028"/>
      <c r="F22" s="2101"/>
      <c r="G22" s="2044"/>
      <c r="H22" s="2044"/>
      <c r="I22" s="2044"/>
      <c r="J22" s="2044"/>
      <c r="K22" s="309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1818</v>
      </c>
      <c r="B23" s="183" t="s">
        <v>1819</v>
      </c>
      <c r="C23" s="2103"/>
      <c r="D23" s="2104" t="s">
        <v>1819</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3" t="s">
        <v>1820</v>
      </c>
      <c r="C24" s="2108"/>
      <c r="D24" s="2102" t="s">
        <v>1820</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3" t="s">
        <v>1821</v>
      </c>
      <c r="C25" s="2108"/>
      <c r="D25" s="2102" t="s">
        <v>1821</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1822</v>
      </c>
      <c r="C26" s="2112"/>
      <c r="D26" s="2113" t="s">
        <v>1823</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085" t="s">
        <v>1824</v>
      </c>
      <c r="B27" s="2062" t="s">
        <v>1825</v>
      </c>
      <c r="C27" s="2116" t="s">
        <v>3061</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085"/>
      <c r="B28" s="2037" t="s">
        <v>1826</v>
      </c>
      <c r="C28" s="2118" t="s">
        <v>3062</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085"/>
      <c r="B29" s="2037" t="s">
        <v>1827</v>
      </c>
      <c r="C29" s="2121" t="s">
        <v>3059</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086"/>
      <c r="B30" s="2037" t="s">
        <v>1828</v>
      </c>
      <c r="C30" s="3087"/>
      <c r="D30" s="3088"/>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089" t="s">
        <v>1829</v>
      </c>
      <c r="B31" s="2123" t="s">
        <v>3063</v>
      </c>
      <c r="C31" s="2124" t="str">
        <f>IF(B31="现房","成新及维护状况正常否",IF(B31="在建","工程状态是否正常",IF(B31="土地","是否闲置","-")))</f>
        <v>成新及维护状况正常否</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090"/>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090"/>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0" t="s">
        <v>3064</v>
      </c>
      <c r="C34" s="2130" t="s">
        <v>3065</v>
      </c>
      <c r="D34" s="2130" t="s">
        <v>3066</v>
      </c>
      <c r="E34" s="2130" t="s">
        <v>3067</v>
      </c>
      <c r="F34" s="2130" t="s">
        <v>3068</v>
      </c>
      <c r="G34" s="2130" t="s">
        <v>3069</v>
      </c>
      <c r="H34" s="2130" t="s">
        <v>3070</v>
      </c>
      <c r="I34" s="2044"/>
      <c r="J34" s="2044"/>
      <c r="K34" s="1797">
        <f>COUNTIF(B34:H34,"——")</f>
        <v>0</v>
      </c>
      <c r="L34" s="2071" t="s">
        <v>1831</v>
      </c>
      <c r="M34" s="2071" t="s">
        <v>1832</v>
      </c>
      <c r="N34" s="2071" t="s">
        <v>1833</v>
      </c>
      <c r="O34" s="2071" t="s">
        <v>1834</v>
      </c>
      <c r="P34" s="2071" t="s">
        <v>1835</v>
      </c>
      <c r="Q34" s="2071" t="s">
        <v>1836</v>
      </c>
      <c r="R34" s="2071" t="s">
        <v>1837</v>
      </c>
      <c r="S34" s="3084" t="s">
        <v>1838</v>
      </c>
      <c r="T34" s="2131" t="str">
        <f>NUMBERSTRING(7-K34,1)&amp;"通"</f>
        <v>七通</v>
      </c>
      <c r="U34" s="2031"/>
      <c r="V34" s="2031"/>
    </row>
    <row r="35" spans="1:22" ht="18" customHeight="1">
      <c r="A35" s="2132"/>
      <c r="B35" s="3091" t="s">
        <v>1839</v>
      </c>
      <c r="C35" s="3091"/>
      <c r="D35" s="3091"/>
      <c r="E35" s="3091"/>
      <c r="F35" s="2133" t="str">
        <f>C10</f>
        <v>江苏省宿迁市</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84"/>
      <c r="T35" s="48" t="str">
        <f>IF(T34="一通",L35,IF(T34="二通",M35,IF(T34="三通",N35,IF(T34="四通",O35,IF(T34="五通",P35,IF(T34="六通",Q35,R35))))))</f>
        <v>通路、通电、通讯、通上水、通下水、燃气、平整</v>
      </c>
      <c r="U35" s="2031"/>
      <c r="V35" s="2031"/>
    </row>
    <row r="36" spans="1:22" ht="18" customHeight="1">
      <c r="A36" s="2134"/>
      <c r="B36" s="2133" t="s">
        <v>1840</v>
      </c>
      <c r="C36" s="2133" t="s">
        <v>1841</v>
      </c>
      <c r="D36" s="2133" t="s">
        <v>1842</v>
      </c>
      <c r="E36" s="2133" t="s">
        <v>1843</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1844</v>
      </c>
      <c r="B37" s="2137" t="s">
        <v>212</v>
      </c>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1845</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5"/>
      <c r="L40" s="2080"/>
      <c r="M40" s="2080"/>
      <c r="N40" s="2081"/>
      <c r="O40" s="2080"/>
      <c r="P40" s="2031"/>
      <c r="Q40" s="2031"/>
      <c r="R40" s="2031"/>
      <c r="S40" s="2031"/>
      <c r="T40" s="2031"/>
      <c r="U40" s="2031"/>
      <c r="V40" s="2031"/>
    </row>
    <row r="41" spans="1:22" ht="18" customHeight="1">
      <c r="A41" s="8" t="s">
        <v>1847</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1848</v>
      </c>
      <c r="B42" s="1797" t="s">
        <v>1849</v>
      </c>
      <c r="C42" s="1797" t="s">
        <v>1850</v>
      </c>
      <c r="D42" s="1797" t="s">
        <v>1851</v>
      </c>
      <c r="E42" s="1797" t="s">
        <v>1852</v>
      </c>
      <c r="F42" s="1797" t="s">
        <v>1853</v>
      </c>
      <c r="G42" s="1797" t="s">
        <v>1854</v>
      </c>
      <c r="H42" s="1797" t="s">
        <v>1855</v>
      </c>
      <c r="I42" s="1797" t="s">
        <v>1856</v>
      </c>
      <c r="J42" s="2149" t="s">
        <v>1857</v>
      </c>
      <c r="K42" s="2072" t="s">
        <v>1858</v>
      </c>
      <c r="L42" s="2072" t="s">
        <v>1859</v>
      </c>
      <c r="M42" s="2072" t="s">
        <v>1860</v>
      </c>
      <c r="N42" s="1797" t="s">
        <v>1861</v>
      </c>
      <c r="O42" s="1797" t="s">
        <v>1862</v>
      </c>
      <c r="P42" s="1797" t="s">
        <v>1863</v>
      </c>
      <c r="Q42" s="2071" t="s">
        <v>1864</v>
      </c>
      <c r="R42" s="2071" t="s">
        <v>1865</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hidden="1" customWidth="1"/>
    <col min="12"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hidden="1" customWidth="1"/>
    <col min="30" max="30" width="10" style="2156" hidden="1" customWidth="1"/>
    <col min="31" max="31" width="9.75" style="2156" hidden="1" customWidth="1"/>
    <col min="32" max="46" width="9.5" style="2156" hidden="1" customWidth="1"/>
    <col min="47" max="47" width="18.125" style="2156" hidden="1"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1871</v>
      </c>
      <c r="AZ2" s="1272"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909.82</v>
      </c>
      <c r="B3" s="14">
        <f>IF(C3="否",G5-AT5,G5)</f>
        <v>4833.9999999999973</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5"/>
      <c r="C5" s="1805"/>
      <c r="D5" s="1808"/>
      <c r="E5" s="16" t="s">
        <v>1</v>
      </c>
      <c r="F5" s="16">
        <f>SUM(F13:F587)</f>
        <v>0</v>
      </c>
      <c r="G5" s="16">
        <f>SUM(G13:G587)</f>
        <v>4833.9999999999973</v>
      </c>
      <c r="H5" s="16">
        <f t="shared" ref="H5:AT5" si="0">SUM(H13:H656)</f>
        <v>4833.9999999999973</v>
      </c>
      <c r="I5" s="16">
        <f t="shared" si="0"/>
        <v>4833.9999999999973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4833.9999999999973</v>
      </c>
      <c r="BA5" s="18">
        <f t="shared" si="1"/>
        <v>4833.9999999999973</v>
      </c>
      <c r="BB5" s="18">
        <f t="shared" si="1"/>
        <v>4833.9999999999973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909.82</v>
      </c>
      <c r="F6" s="16" t="s">
        <v>1</v>
      </c>
      <c r="G6" s="16" t="s">
        <v>2</v>
      </c>
      <c r="H6" s="20">
        <f>SUMIF(I$12:AB$12,"总值",I6:AB6)</f>
        <v>909.82</v>
      </c>
      <c r="I6" s="16">
        <f t="shared" ref="I6:AB6" si="2">ROUND($A$3*I5/$B$3,2)</f>
        <v>909.82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909.82</v>
      </c>
      <c r="AZ6" s="16" t="s">
        <v>3</v>
      </c>
      <c r="BA6" s="16">
        <f>ROUND($AY$6*BA5/$AZ$5,2)</f>
        <v>909.82</v>
      </c>
      <c r="BB6" s="16">
        <f>ROUND($AY$6*BB5/$AZ$5,2)</f>
        <v>909.82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8"/>
      <c r="AU7" s="2176" t="s">
        <v>1884</v>
      </c>
      <c r="AV7" s="23" t="s">
        <v>1885</v>
      </c>
      <c r="AW7" s="2163" t="s">
        <v>1886</v>
      </c>
      <c r="AX7" s="23" t="s">
        <v>1879</v>
      </c>
      <c r="AY7" s="1805"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20"/>
      <c r="K8" s="1820"/>
      <c r="L8" s="1820"/>
      <c r="M8" s="1820"/>
      <c r="N8" s="1820"/>
      <c r="O8" s="1820"/>
      <c r="P8" s="1820"/>
      <c r="Q8" s="1820"/>
      <c r="R8" s="1820"/>
      <c r="S8" s="1820"/>
      <c r="T8" s="1820"/>
      <c r="U8" s="1820"/>
      <c r="V8" s="2183"/>
      <c r="W8" s="1820"/>
      <c r="X8" s="1820"/>
      <c r="Y8" s="1820"/>
      <c r="Z8" s="1820"/>
      <c r="AA8" s="2183"/>
      <c r="AB8" s="2184"/>
      <c r="AC8" s="983" t="s">
        <v>1890</v>
      </c>
      <c r="AD8" s="2185"/>
      <c r="AE8" s="2177"/>
      <c r="AF8" s="1820"/>
      <c r="AG8" s="1820"/>
      <c r="AH8" s="1820"/>
      <c r="AI8" s="1820"/>
      <c r="AJ8" s="1820"/>
      <c r="AK8" s="1820"/>
      <c r="AL8" s="1820"/>
      <c r="AM8" s="1820"/>
      <c r="AN8" s="1820"/>
      <c r="AO8" s="1820"/>
      <c r="AP8" s="1820"/>
      <c r="AQ8" s="1820"/>
      <c r="AR8" s="1820"/>
      <c r="AS8" s="1820"/>
      <c r="AT8" s="1294" t="s">
        <v>1891</v>
      </c>
      <c r="AU8" s="2179" t="s">
        <v>1892</v>
      </c>
      <c r="AV8" s="1294"/>
      <c r="AW8" s="2162"/>
      <c r="AX8" s="1294"/>
      <c r="AY8" s="2163"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6" customFormat="1" ht="12.75">
      <c r="A9" s="2179"/>
      <c r="B9" s="2179"/>
      <c r="C9" s="2179"/>
      <c r="D9" s="2179"/>
      <c r="E9" s="2179"/>
      <c r="F9" s="2179"/>
      <c r="G9" s="1294"/>
      <c r="H9" s="2187" t="s">
        <v>1895</v>
      </c>
      <c r="I9" s="2188" t="s">
        <v>3073</v>
      </c>
      <c r="J9" s="983"/>
      <c r="K9" s="2188"/>
      <c r="L9" s="983"/>
      <c r="M9" s="2188"/>
      <c r="N9" s="983"/>
      <c r="O9" s="2188"/>
      <c r="P9" s="983"/>
      <c r="Q9" s="2188"/>
      <c r="R9" s="983"/>
      <c r="S9" s="2188"/>
      <c r="T9" s="983"/>
      <c r="U9" s="2188"/>
      <c r="V9" s="983"/>
      <c r="W9" s="2188"/>
      <c r="X9" s="2189"/>
      <c r="Y9" s="2188"/>
      <c r="Z9" s="983"/>
      <c r="AA9" s="2188"/>
      <c r="AB9" s="983"/>
      <c r="AC9" s="2180"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0"/>
      <c r="AT9" s="2179"/>
      <c r="AU9" s="2179" t="s">
        <v>1898</v>
      </c>
      <c r="AV9" s="1294"/>
      <c r="AW9" s="2162"/>
      <c r="AX9" s="1294"/>
      <c r="AY9" s="28"/>
      <c r="AZ9" s="28" t="s">
        <v>1888</v>
      </c>
      <c r="BA9" s="2191" t="s">
        <v>1899</v>
      </c>
      <c r="BB9" s="2192"/>
      <c r="BC9" s="1340"/>
      <c r="BD9" s="1340"/>
      <c r="BE9" s="1340"/>
      <c r="BF9" s="1340"/>
      <c r="BG9" s="1340"/>
      <c r="BH9" s="1340"/>
      <c r="BI9" s="1340"/>
      <c r="BJ9" s="1340"/>
      <c r="BK9" s="2193"/>
      <c r="BL9" s="15" t="s">
        <v>1900</v>
      </c>
      <c r="BM9" s="1820"/>
      <c r="BN9" s="2182"/>
      <c r="BO9" s="1820"/>
      <c r="BP9" s="1820"/>
      <c r="BQ9" s="1820"/>
      <c r="BR9" s="1820"/>
      <c r="BS9" s="1820"/>
      <c r="BT9" s="26"/>
    </row>
    <row r="10" spans="1:72" s="2186" customFormat="1" ht="12.75">
      <c r="A10" s="2179"/>
      <c r="B10" s="2179"/>
      <c r="C10" s="2179"/>
      <c r="D10" s="2179"/>
      <c r="E10" s="2179"/>
      <c r="F10" s="2179"/>
      <c r="G10" s="1294"/>
      <c r="H10" s="28"/>
      <c r="I10" s="2188" t="s">
        <v>1377</v>
      </c>
      <c r="J10" s="983"/>
      <c r="K10" s="2194"/>
      <c r="L10" s="983"/>
      <c r="M10" s="2194"/>
      <c r="N10" s="983"/>
      <c r="O10" s="2194"/>
      <c r="P10" s="983"/>
      <c r="Q10" s="2194"/>
      <c r="R10" s="983"/>
      <c r="S10" s="2194"/>
      <c r="T10" s="983"/>
      <c r="U10" s="2194"/>
      <c r="V10" s="983"/>
      <c r="W10" s="2194"/>
      <c r="X10" s="983"/>
      <c r="Y10" s="2194"/>
      <c r="Z10" s="983"/>
      <c r="AA10" s="2194"/>
      <c r="AB10" s="983"/>
      <c r="AC10" s="1294"/>
      <c r="AD10" s="15" t="s">
        <v>1901</v>
      </c>
      <c r="AE10" s="2195"/>
      <c r="AF10" s="15" t="s">
        <v>1901</v>
      </c>
      <c r="AG10" s="2195"/>
      <c r="AH10" s="15" t="s">
        <v>1902</v>
      </c>
      <c r="AI10" s="2195"/>
      <c r="AJ10" s="15" t="s">
        <v>1902</v>
      </c>
      <c r="AK10" s="2195"/>
      <c r="AL10" s="15" t="s">
        <v>1903</v>
      </c>
      <c r="AM10" s="1300"/>
      <c r="AN10" s="15" t="s">
        <v>1903</v>
      </c>
      <c r="AO10" s="1300"/>
      <c r="AP10" s="15" t="s">
        <v>1904</v>
      </c>
      <c r="AQ10" s="1300"/>
      <c r="AR10" s="15" t="s">
        <v>1904</v>
      </c>
      <c r="AS10" s="1300"/>
      <c r="AT10" s="2179"/>
      <c r="AU10" s="2179"/>
      <c r="AV10" s="1294"/>
      <c r="AW10" s="2162"/>
      <c r="AX10" s="1294"/>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198" t="str">
        <f>AR9</f>
        <v>地下</v>
      </c>
    </row>
    <row r="11" spans="1:72" s="2186" customFormat="1" ht="12.75">
      <c r="A11" s="2179"/>
      <c r="B11" s="2179"/>
      <c r="C11" s="2179"/>
      <c r="D11" s="2179"/>
      <c r="E11" s="2179"/>
      <c r="F11" s="2179"/>
      <c r="G11" s="1294"/>
      <c r="H11" s="2196"/>
      <c r="I11" s="2199" t="s">
        <v>3074</v>
      </c>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1905</v>
      </c>
      <c r="AE11" s="1821"/>
      <c r="AF11" s="2201" t="s">
        <v>1905</v>
      </c>
      <c r="AG11" s="1821"/>
      <c r="AH11" s="2201" t="s">
        <v>1906</v>
      </c>
      <c r="AI11" s="2202"/>
      <c r="AJ11" s="2201" t="s">
        <v>1906</v>
      </c>
      <c r="AK11" s="1821"/>
      <c r="AL11" s="1819"/>
      <c r="AM11" s="1821"/>
      <c r="AN11" s="1819"/>
      <c r="AO11" s="1821"/>
      <c r="AP11" s="1819"/>
      <c r="AQ11" s="1821"/>
      <c r="AR11" s="1819"/>
      <c r="AS11" s="1821"/>
      <c r="AT11" s="2162"/>
      <c r="AU11" s="2179"/>
      <c r="AV11" s="1294"/>
      <c r="AW11" s="2162"/>
      <c r="AX11" s="1294"/>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6"/>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独立商业</v>
      </c>
      <c r="BC12" s="2209">
        <f>K11</f>
        <v>0</v>
      </c>
      <c r="BD12" s="2209">
        <f>M11</f>
        <v>0</v>
      </c>
      <c r="BE12" s="2184">
        <f>O11</f>
        <v>0</v>
      </c>
      <c r="BF12" s="2184">
        <f>Q11</f>
        <v>0</v>
      </c>
      <c r="BG12" s="2184">
        <f>S11</f>
        <v>0</v>
      </c>
      <c r="BH12" s="2184">
        <f>U11</f>
        <v>0</v>
      </c>
      <c r="BI12" s="2184">
        <f>W11</f>
        <v>0</v>
      </c>
      <c r="BJ12" s="2184">
        <f>Y11</f>
        <v>0</v>
      </c>
      <c r="BK12" s="2184">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1274"/>
      <c r="D13" s="2210" t="s">
        <v>3072</v>
      </c>
      <c r="E13" s="16">
        <f>IF($C$3="是",ROUND($A$3*G13/$B$3,2),ROUND($A$3*(G13-AT13)/$B$3,2))</f>
        <v>909.82</v>
      </c>
      <c r="F13" s="32"/>
      <c r="G13" s="33">
        <f>H13+AC13+AT13</f>
        <v>4833.9999999999973</v>
      </c>
      <c r="H13" s="20">
        <f>SUMIF(I$12:AB$12,"总值",I13:AB13)</f>
        <v>4833.9999999999973</v>
      </c>
      <c r="I13" s="2211">
        <f>Sheet1!E111</f>
        <v>4833.9999999999973</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8">
        <f>ROUND($AY$6*AZ13/$AZ$5,2)</f>
        <v>909.82</v>
      </c>
      <c r="AZ13" s="16">
        <f>BA13+BL13</f>
        <v>4833.9999999999973</v>
      </c>
      <c r="BA13" s="16">
        <f>SUM(BB13:BK13)</f>
        <v>4833.9999999999973</v>
      </c>
      <c r="BB13" s="16">
        <f>IF($D13="是",I13-J13,0)</f>
        <v>4833.9999999999973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4" t="s">
        <v>0</v>
      </c>
      <c r="B1" s="3114" t="s">
        <v>4</v>
      </c>
      <c r="C1" s="3114" t="s">
        <v>5</v>
      </c>
      <c r="D1" s="3115" t="s">
        <v>53</v>
      </c>
      <c r="E1" s="3115" t="s">
        <v>54</v>
      </c>
      <c r="F1" s="3115"/>
      <c r="G1" s="3115"/>
      <c r="H1" s="3115"/>
      <c r="I1" s="3115"/>
      <c r="J1" s="3115"/>
      <c r="K1" s="3115"/>
      <c r="L1" s="3115"/>
      <c r="M1" s="3115"/>
    </row>
    <row r="2" spans="1:13" ht="27" customHeight="1">
      <c r="A2" s="3114"/>
      <c r="B2" s="3114"/>
      <c r="C2" s="3114"/>
      <c r="D2" s="3115"/>
      <c r="E2" s="3115" t="s">
        <v>37</v>
      </c>
      <c r="F2" s="3115" t="s">
        <v>38</v>
      </c>
      <c r="G2" s="3115"/>
      <c r="H2" s="3115"/>
      <c r="I2" s="3115"/>
      <c r="J2" s="3115" t="s">
        <v>39</v>
      </c>
      <c r="K2" s="3115"/>
      <c r="L2" s="3115"/>
      <c r="M2" s="3115"/>
    </row>
    <row r="3" spans="1:13" ht="28.5">
      <c r="A3" s="3114"/>
      <c r="B3" s="3114"/>
      <c r="C3" s="3114"/>
      <c r="D3" s="3115"/>
      <c r="E3" s="311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5" t="s">
        <v>55</v>
      </c>
      <c r="B9" s="3115"/>
      <c r="C9" s="311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4"/>
      <c r="C1" s="1394"/>
      <c r="D1" s="1394"/>
      <c r="E1" s="1394"/>
      <c r="F1" s="1394"/>
      <c r="G1" s="1394"/>
      <c r="H1" s="1394"/>
      <c r="I1" s="1394"/>
      <c r="J1" s="1394"/>
      <c r="K1" s="1394"/>
      <c r="L1" s="1394"/>
      <c r="M1" s="1394"/>
      <c r="N1" s="1394"/>
      <c r="O1" s="1394"/>
      <c r="P1" s="1394"/>
    </row>
    <row r="2" spans="1:16" ht="15">
      <c r="A2" s="3125" t="s">
        <v>1935</v>
      </c>
      <c r="B2" s="3125"/>
      <c r="C2" s="3125"/>
      <c r="D2" s="969" t="s">
        <v>1911</v>
      </c>
      <c r="E2" s="2224" t="s">
        <v>1912</v>
      </c>
      <c r="F2" s="1394"/>
      <c r="G2" s="2225"/>
      <c r="H2" s="2226"/>
      <c r="I2" s="2227" t="s">
        <v>1936</v>
      </c>
      <c r="J2" s="1394"/>
      <c r="K2" s="1394"/>
      <c r="L2" s="1394"/>
      <c r="M2" s="1394"/>
      <c r="N2" s="1429"/>
      <c r="O2" s="1394"/>
      <c r="P2" s="1394"/>
    </row>
    <row r="3" spans="1:16" ht="15.75" thickBot="1">
      <c r="A3" s="3126" t="s">
        <v>1909</v>
      </c>
      <c r="B3" s="3126"/>
      <c r="C3" s="3126"/>
      <c r="D3" s="46">
        <f>'数据-基础表'!AY6</f>
        <v>909.82</v>
      </c>
      <c r="E3" s="46">
        <f>'数据-基础表'!AZ5</f>
        <v>4833.9999999999973</v>
      </c>
      <c r="F3" s="1394"/>
      <c r="G3" s="1401"/>
      <c r="H3" s="1249" t="s">
        <v>1910</v>
      </c>
      <c r="I3" s="55">
        <f>ROUND('数据-基础表'!B3/'数据-基础表'!A3,2)</f>
        <v>5.31</v>
      </c>
      <c r="J3" s="1394"/>
      <c r="K3" s="1394"/>
      <c r="L3" s="1394"/>
      <c r="M3" s="1394"/>
      <c r="N3" s="1429"/>
      <c r="O3" s="1394"/>
      <c r="P3" s="1394"/>
    </row>
    <row r="4" spans="1:16" ht="15">
      <c r="A4" s="3127"/>
      <c r="B4" s="3128"/>
      <c r="C4" s="3129"/>
      <c r="D4" s="2228" t="s">
        <v>1911</v>
      </c>
      <c r="E4" s="2229" t="s">
        <v>1912</v>
      </c>
      <c r="F4" s="1394"/>
      <c r="G4" s="2230" t="s">
        <v>1937</v>
      </c>
      <c r="H4" s="1249" t="s">
        <v>1917</v>
      </c>
      <c r="I4" s="55">
        <f>ROUND(SUMIF('数据-基础表'!I9:AS9,"地上",'数据-基础表'!I5:AS5)/'数据-基础表'!A3,2)</f>
        <v>5.31</v>
      </c>
      <c r="J4" s="1394"/>
      <c r="K4" s="1394"/>
      <c r="L4" s="1394"/>
      <c r="M4" s="1394"/>
      <c r="N4" s="1429"/>
      <c r="O4" s="1394"/>
      <c r="P4" s="1394"/>
    </row>
    <row r="5" spans="1:16">
      <c r="A5" s="47" t="s">
        <v>1913</v>
      </c>
      <c r="B5" s="3130" t="s">
        <v>1914</v>
      </c>
      <c r="C5" s="3130"/>
      <c r="D5" s="48">
        <f>ROUND($D$3*E5/$E$3,2)</f>
        <v>0</v>
      </c>
      <c r="E5" s="49">
        <f>SUMIF('数据-基础表'!$11:$11,"住宅",'数据-基础表'!$5:$5)</f>
        <v>0</v>
      </c>
      <c r="F5" s="1394"/>
      <c r="G5" s="1401"/>
      <c r="H5" s="1249" t="s">
        <v>1910</v>
      </c>
      <c r="I5" s="55">
        <f>ROUND(E31/D31,2)</f>
        <v>5.31</v>
      </c>
      <c r="J5" s="1394"/>
      <c r="K5" s="1394"/>
      <c r="L5" s="1394"/>
      <c r="M5" s="1394"/>
      <c r="N5" s="1394"/>
      <c r="O5" s="1394"/>
      <c r="P5" s="1394"/>
    </row>
    <row r="6" spans="1:16" ht="15" thickBot="1">
      <c r="A6" s="2231"/>
      <c r="B6" s="3130" t="s">
        <v>1915</v>
      </c>
      <c r="C6" s="3130"/>
      <c r="D6" s="48">
        <f>ROUND($D$3*E6/$E$3,2)</f>
        <v>909.82</v>
      </c>
      <c r="E6" s="49">
        <f>E3-E5</f>
        <v>4833.9999999999973</v>
      </c>
      <c r="F6" s="1394"/>
      <c r="G6" s="2232" t="s">
        <v>1916</v>
      </c>
      <c r="H6" s="1401" t="s">
        <v>1917</v>
      </c>
      <c r="I6" s="941">
        <f>ROUND(F31/D31,2)</f>
        <v>5.31</v>
      </c>
      <c r="J6" s="1394"/>
      <c r="K6" s="1394"/>
      <c r="L6" s="1394"/>
      <c r="M6" s="1394"/>
      <c r="N6" s="1394"/>
      <c r="O6" s="1394"/>
      <c r="P6" s="1394"/>
    </row>
    <row r="7" spans="1:16" ht="15">
      <c r="A7" s="3122"/>
      <c r="B7" s="3123"/>
      <c r="C7" s="3124"/>
      <c r="D7" s="2228" t="s">
        <v>1911</v>
      </c>
      <c r="E7" s="2233" t="s">
        <v>1918</v>
      </c>
      <c r="F7" s="1394"/>
      <c r="G7" s="2225" t="s">
        <v>1919</v>
      </c>
      <c r="H7" s="64"/>
      <c r="I7" s="420"/>
      <c r="J7" s="1394"/>
      <c r="K7" s="1394"/>
      <c r="L7" s="1394"/>
      <c r="M7" s="1394"/>
      <c r="N7" s="1394"/>
      <c r="O7" s="1394"/>
      <c r="P7" s="1394"/>
    </row>
    <row r="8" spans="1:16">
      <c r="A8" s="47" t="s">
        <v>1920</v>
      </c>
      <c r="B8" s="50" t="s">
        <v>1921</v>
      </c>
      <c r="C8" s="48" t="s">
        <v>1922</v>
      </c>
      <c r="D8" s="48">
        <f t="shared" ref="D8:D15" si="0">ROUND($D$3*E8/$E$3,2)</f>
        <v>909.82</v>
      </c>
      <c r="E8" s="51">
        <f>SUMIF('数据-基础表'!BB10:BK10,"地上",'数据-基础表'!BB5:BK5)</f>
        <v>4833.9999999999973</v>
      </c>
      <c r="F8" s="1394"/>
      <c r="G8" s="2234"/>
      <c r="H8" s="2234"/>
      <c r="I8" s="1394"/>
      <c r="J8" s="1394"/>
      <c r="K8" s="1394"/>
      <c r="L8" s="1394"/>
      <c r="M8" s="1394"/>
      <c r="N8" s="1394"/>
      <c r="O8" s="1394"/>
      <c r="P8" s="1394"/>
    </row>
    <row r="9" spans="1:16">
      <c r="A9" s="2235"/>
      <c r="B9" s="2236"/>
      <c r="C9" s="48" t="s">
        <v>1923</v>
      </c>
      <c r="D9" s="48">
        <f t="shared" si="0"/>
        <v>0</v>
      </c>
      <c r="E9" s="52">
        <v>0</v>
      </c>
      <c r="F9" s="1394"/>
      <c r="G9" s="2234"/>
      <c r="H9" s="2234"/>
      <c r="I9" s="1394"/>
      <c r="J9" s="1394"/>
      <c r="K9" s="1394"/>
      <c r="L9" s="1394"/>
      <c r="M9" s="1394"/>
      <c r="N9" s="1394"/>
      <c r="O9" s="1394"/>
      <c r="P9" s="1394"/>
    </row>
    <row r="10" spans="1:16">
      <c r="A10" s="2235"/>
      <c r="B10" s="2236"/>
      <c r="C10" s="48" t="s">
        <v>1932</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1924</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1925</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1926</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1938</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1933</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1927</v>
      </c>
      <c r="D16" s="50">
        <f>SUM(D8:D15)</f>
        <v>909.82</v>
      </c>
      <c r="E16" s="53">
        <f>SUM(E8:E15)</f>
        <v>4833.9999999999973</v>
      </c>
      <c r="F16" s="1394"/>
      <c r="G16" s="2234"/>
      <c r="H16" s="2237" t="s">
        <v>1939</v>
      </c>
      <c r="I16" s="2238"/>
      <c r="J16" s="1394"/>
      <c r="K16" s="3119" t="s">
        <v>1939</v>
      </c>
      <c r="L16" s="3120"/>
      <c r="M16" s="3120"/>
      <c r="N16" s="3120"/>
      <c r="O16" s="3120"/>
      <c r="P16" s="3121"/>
    </row>
    <row r="17" spans="1:19" ht="15">
      <c r="A17" s="2239" t="s">
        <v>1940</v>
      </c>
      <c r="B17" s="2240" t="s">
        <v>1941</v>
      </c>
      <c r="C17" s="2241" t="s">
        <v>1942</v>
      </c>
      <c r="D17" s="2242" t="s">
        <v>1930</v>
      </c>
      <c r="E17" s="2243" t="s">
        <v>1931</v>
      </c>
      <c r="F17" s="2244"/>
      <c r="G17" s="2245"/>
      <c r="H17" s="2246" t="s">
        <v>1943</v>
      </c>
      <c r="I17" s="2247" t="s">
        <v>1928</v>
      </c>
      <c r="J17" s="1394"/>
      <c r="K17" s="3116" t="s">
        <v>1944</v>
      </c>
      <c r="L17" s="3117"/>
      <c r="M17" s="3118"/>
      <c r="N17" s="3116" t="s">
        <v>1945</v>
      </c>
      <c r="O17" s="3117"/>
      <c r="P17" s="3118"/>
      <c r="R17" s="2225" t="s">
        <v>1946</v>
      </c>
      <c r="S17" s="64"/>
    </row>
    <row r="18" spans="1:19" ht="15">
      <c r="A18" s="2235"/>
      <c r="B18" s="2248"/>
      <c r="C18" s="2249"/>
      <c r="D18" s="2250"/>
      <c r="E18" s="2251" t="s">
        <v>1947</v>
      </c>
      <c r="F18" s="2252" t="s">
        <v>1948</v>
      </c>
      <c r="G18" s="2253" t="s">
        <v>1949</v>
      </c>
      <c r="H18" s="1264" t="s">
        <v>1950</v>
      </c>
      <c r="I18" s="2254" t="s">
        <v>1951</v>
      </c>
      <c r="J18" s="1394"/>
      <c r="K18" s="1264" t="s">
        <v>1952</v>
      </c>
      <c r="L18" s="2255" t="s">
        <v>1953</v>
      </c>
      <c r="M18" s="1048" t="s">
        <v>1954</v>
      </c>
      <c r="N18" s="1264" t="s">
        <v>1952</v>
      </c>
      <c r="O18" s="2255" t="s">
        <v>1953</v>
      </c>
      <c r="P18" s="1048" t="s">
        <v>1954</v>
      </c>
      <c r="R18" s="1249" t="s">
        <v>1955</v>
      </c>
      <c r="S18" s="1249" t="s">
        <v>1956</v>
      </c>
    </row>
    <row r="19" spans="1:19">
      <c r="A19" s="2256"/>
      <c r="B19" s="50" t="s">
        <v>1929</v>
      </c>
      <c r="C19" s="2955" t="s">
        <v>3369</v>
      </c>
      <c r="D19" s="48">
        <f>ROUND($D$3*E19/$E$3,2)</f>
        <v>31.79</v>
      </c>
      <c r="E19" s="56">
        <f t="shared" ref="E19:E26" si="1">SUM(F19:G19)</f>
        <v>168.91</v>
      </c>
      <c r="F19" s="57">
        <f>Sheet1!E3</f>
        <v>168.91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8"/>
      <c r="O19" s="2259"/>
      <c r="P19" s="1405">
        <f>N19+O19</f>
        <v>0</v>
      </c>
      <c r="R19" s="1249">
        <f t="shared" ref="R19:S26" si="5">D19+H19</f>
        <v>31.79</v>
      </c>
      <c r="S19" s="1250">
        <f t="shared" si="5"/>
        <v>168.91</v>
      </c>
    </row>
    <row r="20" spans="1:19">
      <c r="A20" s="2260"/>
      <c r="B20" s="50" t="s">
        <v>1957</v>
      </c>
      <c r="C20" s="2955" t="s">
        <v>3370</v>
      </c>
      <c r="D20" s="48">
        <f t="shared" ref="D20:D26" si="6">ROUND($D$3*E20/$E$3,2)</f>
        <v>878.03</v>
      </c>
      <c r="E20" s="56">
        <f t="shared" si="1"/>
        <v>4665.0899999999974</v>
      </c>
      <c r="F20" s="57">
        <f>'数据-基础表'!I13-'数据-汇总表'!F19</f>
        <v>4665.0899999999974</v>
      </c>
      <c r="G20" s="58"/>
      <c r="H20" s="722">
        <f t="shared" ref="H20:H26" si="7">ROUND($D$3*I20/$E$3,2)</f>
        <v>0</v>
      </c>
      <c r="I20" s="51">
        <f t="shared" si="2"/>
        <v>0</v>
      </c>
      <c r="J20" s="1394"/>
      <c r="K20" s="1393">
        <f t="shared" si="3"/>
        <v>0</v>
      </c>
      <c r="L20" s="1249">
        <f t="shared" si="4"/>
        <v>0</v>
      </c>
      <c r="M20" s="1405">
        <f t="shared" ref="M20:M26" si="8">K20+L20</f>
        <v>0</v>
      </c>
      <c r="N20" s="2258"/>
      <c r="O20" s="2259"/>
      <c r="P20" s="1405">
        <f t="shared" ref="P20:P26" si="9">N20+O20</f>
        <v>0</v>
      </c>
      <c r="R20" s="1249">
        <f t="shared" si="5"/>
        <v>878.03</v>
      </c>
      <c r="S20" s="1250">
        <f t="shared" si="5"/>
        <v>4665.0899999999974</v>
      </c>
    </row>
    <row r="21" spans="1:19">
      <c r="A21" s="2260"/>
      <c r="B21" s="50" t="s">
        <v>1957</v>
      </c>
      <c r="C21" s="2257"/>
      <c r="D21" s="48">
        <f t="shared" si="6"/>
        <v>0</v>
      </c>
      <c r="E21" s="56">
        <f t="shared" si="1"/>
        <v>0</v>
      </c>
      <c r="F21" s="57"/>
      <c r="G21" s="58"/>
      <c r="H21" s="722">
        <f t="shared" si="7"/>
        <v>0</v>
      </c>
      <c r="I21" s="51">
        <f t="shared" si="2"/>
        <v>0</v>
      </c>
      <c r="J21" s="1394"/>
      <c r="K21" s="1393">
        <f t="shared" si="3"/>
        <v>0</v>
      </c>
      <c r="L21" s="1249">
        <f t="shared" si="4"/>
        <v>0</v>
      </c>
      <c r="M21" s="1405">
        <f t="shared" si="8"/>
        <v>0</v>
      </c>
      <c r="N21" s="2258"/>
      <c r="O21" s="2259"/>
      <c r="P21" s="1405">
        <f t="shared" si="9"/>
        <v>0</v>
      </c>
      <c r="R21" s="1249">
        <f t="shared" si="5"/>
        <v>0</v>
      </c>
      <c r="S21" s="1250">
        <f t="shared" si="5"/>
        <v>0</v>
      </c>
    </row>
    <row r="22" spans="1:19">
      <c r="A22" s="2260"/>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8"/>
      <c r="O22" s="2259"/>
      <c r="P22" s="1405">
        <f t="shared" si="9"/>
        <v>0</v>
      </c>
      <c r="R22" s="1249">
        <f t="shared" si="5"/>
        <v>0</v>
      </c>
      <c r="S22" s="1250">
        <f t="shared" si="5"/>
        <v>0</v>
      </c>
    </row>
    <row r="23" spans="1:19">
      <c r="A23" s="2260"/>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8"/>
      <c r="O23" s="2259"/>
      <c r="P23" s="1405">
        <f t="shared" si="9"/>
        <v>0</v>
      </c>
      <c r="R23" s="1249">
        <f t="shared" si="5"/>
        <v>0</v>
      </c>
      <c r="S23" s="1250">
        <f t="shared" si="5"/>
        <v>0</v>
      </c>
    </row>
    <row r="24" spans="1:19">
      <c r="A24" s="2260"/>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8"/>
      <c r="O24" s="2259"/>
      <c r="P24" s="1405">
        <f t="shared" si="9"/>
        <v>0</v>
      </c>
      <c r="R24" s="1249">
        <f t="shared" si="5"/>
        <v>0</v>
      </c>
      <c r="S24" s="1250">
        <f t="shared" si="5"/>
        <v>0</v>
      </c>
    </row>
    <row r="25" spans="1:19">
      <c r="A25" s="2260"/>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8"/>
      <c r="O25" s="2259"/>
      <c r="P25" s="1405">
        <f t="shared" si="9"/>
        <v>0</v>
      </c>
      <c r="R25" s="1249">
        <f t="shared" si="5"/>
        <v>0</v>
      </c>
      <c r="S25" s="1250">
        <f t="shared" si="5"/>
        <v>0</v>
      </c>
    </row>
    <row r="26" spans="1:19">
      <c r="A26" s="2260"/>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1"/>
      <c r="O26" s="2262"/>
      <c r="P26" s="67">
        <f t="shared" si="9"/>
        <v>0</v>
      </c>
      <c r="R26" s="1249">
        <f t="shared" si="5"/>
        <v>0</v>
      </c>
      <c r="S26" s="1250">
        <f t="shared" si="5"/>
        <v>0</v>
      </c>
    </row>
    <row r="27" spans="1:19" ht="15.75" thickBot="1">
      <c r="A27" s="2260"/>
      <c r="B27" s="48"/>
      <c r="C27" s="2263" t="s">
        <v>1958</v>
      </c>
      <c r="D27" s="1395">
        <f>SUM(D19:D26)</f>
        <v>909.81999999999994</v>
      </c>
      <c r="E27" s="1396">
        <f>IF(SUM(E19:E26)='数据-基础表'!BA5,SUM(E19:E26),IF(F27="地上面积有误","面积有误","地下面积有误"))</f>
        <v>4833.9999999999973</v>
      </c>
      <c r="F27" s="1395">
        <f>IF(SUM(F19:F26)=E8,SUM(F19:F26),"地上面积有误")</f>
        <v>4833.9999999999973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909.81999999999994</v>
      </c>
      <c r="S27" s="1249">
        <f>IF(SUM(S19:S26)=$E$3,SUM(S19:S26),SUM(S19:S26)&amp;"误差"&amp;ROUND(SUM(S19:S26)-E3,2))</f>
        <v>4833.9999999999973</v>
      </c>
    </row>
    <row r="28" spans="1:19">
      <c r="A28" s="2260"/>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0"/>
      <c r="B29" s="50" t="s">
        <v>1959</v>
      </c>
      <c r="C29" s="2264"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0"/>
      <c r="B30" s="50"/>
      <c r="C30" s="2265"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6"/>
      <c r="B31" s="2267"/>
      <c r="C31" s="1009" t="s">
        <v>1962</v>
      </c>
      <c r="D31" s="728">
        <f>D27+D30</f>
        <v>909.81999999999994</v>
      </c>
      <c r="E31" s="728">
        <f>E27+E30</f>
        <v>4833.9999999999973</v>
      </c>
      <c r="F31" s="729">
        <f>F27+F30</f>
        <v>4833.9999999999973</v>
      </c>
      <c r="G31" s="730">
        <f>G27+G30</f>
        <v>0</v>
      </c>
      <c r="H31" s="1394"/>
      <c r="I31" s="1394"/>
      <c r="J31" s="1394"/>
      <c r="K31" s="1394"/>
      <c r="L31" s="1394"/>
      <c r="M31" s="1394"/>
      <c r="N31" s="1394"/>
      <c r="O31" s="1394"/>
      <c r="P31" s="1394"/>
    </row>
    <row r="32" spans="1:19">
      <c r="A32" s="2230"/>
      <c r="B32" s="2230" t="s">
        <v>1963</v>
      </c>
      <c r="C32" s="2230"/>
      <c r="D32" s="2230"/>
      <c r="E32" s="1276">
        <f>SUMIF(C19:C26,"*住宅*",E19:E26)</f>
        <v>0</v>
      </c>
      <c r="F32" s="2230"/>
      <c r="G32" s="2230"/>
      <c r="H32" s="1394"/>
      <c r="I32" s="1394"/>
      <c r="J32" s="1394"/>
      <c r="K32" s="1394"/>
      <c r="L32" s="1394"/>
      <c r="M32" s="1394"/>
      <c r="N32" s="1394"/>
      <c r="O32" s="1394"/>
      <c r="P32" s="1394"/>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9" sqref="J2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1"/>
      <c r="C1" s="1583"/>
      <c r="D1" s="2270"/>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3" t="s">
        <v>1965</v>
      </c>
      <c r="B2" s="1268">
        <f>项目基本情况!D3</f>
        <v>43202</v>
      </c>
      <c r="C2" s="2274"/>
      <c r="D2" s="2275"/>
      <c r="E2" s="2274"/>
      <c r="F2" s="2274"/>
      <c r="G2" s="2274"/>
      <c r="H2" s="2274"/>
      <c r="I2" s="2274"/>
      <c r="J2" s="2274"/>
      <c r="K2" s="1429"/>
      <c r="L2" s="1429"/>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3" customFormat="1" ht="15" thickBot="1">
      <c r="A3" s="2031"/>
      <c r="B3" s="2277"/>
      <c r="C3" s="2274"/>
      <c r="D3" s="2275"/>
      <c r="E3" s="2274"/>
      <c r="F3" s="2274"/>
      <c r="G3" s="2274"/>
      <c r="H3" s="2274"/>
      <c r="I3" s="2274"/>
      <c r="J3" s="2274"/>
      <c r="K3" s="1429"/>
      <c r="L3" s="1429"/>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3"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4" customFormat="1" ht="42">
      <c r="A5" s="2286" t="s">
        <v>1972</v>
      </c>
      <c r="B5" s="2287" t="s">
        <v>1973</v>
      </c>
      <c r="C5" s="2288" t="s">
        <v>1974</v>
      </c>
      <c r="D5" s="2289" t="s">
        <v>1975</v>
      </c>
      <c r="E5" s="1270" t="s">
        <v>1976</v>
      </c>
      <c r="F5" s="2290" t="s">
        <v>1977</v>
      </c>
      <c r="G5" s="1270" t="s">
        <v>1978</v>
      </c>
      <c r="H5" s="1270" t="s">
        <v>1979</v>
      </c>
      <c r="I5" s="1270" t="s">
        <v>1980</v>
      </c>
      <c r="J5" s="2291" t="s">
        <v>1981</v>
      </c>
      <c r="K5" s="2292" t="s">
        <v>1982</v>
      </c>
      <c r="L5" s="2293" t="s">
        <v>1983</v>
      </c>
      <c r="M5" s="2294" t="s">
        <v>1984</v>
      </c>
      <c r="N5" s="2295" t="s">
        <v>3371</v>
      </c>
      <c r="O5" s="2293" t="s">
        <v>1985</v>
      </c>
      <c r="P5" s="2296" t="s">
        <v>1986</v>
      </c>
      <c r="Q5" s="69" t="s">
        <v>1987</v>
      </c>
      <c r="R5" s="2297" t="s">
        <v>1988</v>
      </c>
      <c r="S5" s="2298" t="s">
        <v>1989</v>
      </c>
      <c r="T5" s="2299" t="s">
        <v>1990</v>
      </c>
      <c r="U5" s="1269" t="s">
        <v>1991</v>
      </c>
      <c r="V5" s="1270" t="s">
        <v>1992</v>
      </c>
      <c r="W5" s="1270" t="s">
        <v>1993</v>
      </c>
      <c r="X5" s="71"/>
      <c r="Y5" s="70" t="s">
        <v>1994</v>
      </c>
      <c r="Z5" s="2300" t="s">
        <v>1991</v>
      </c>
      <c r="AA5" s="1270" t="s">
        <v>1992</v>
      </c>
      <c r="AB5" s="1270" t="s">
        <v>1993</v>
      </c>
      <c r="AC5" s="71"/>
      <c r="AD5" s="71" t="s">
        <v>1994</v>
      </c>
      <c r="AE5" s="1269" t="s">
        <v>1995</v>
      </c>
      <c r="AF5" s="1270" t="s">
        <v>1996</v>
      </c>
      <c r="AG5" s="70" t="s">
        <v>1997</v>
      </c>
      <c r="AH5" s="1269" t="s">
        <v>1998</v>
      </c>
      <c r="AI5" s="2300" t="s">
        <v>1999</v>
      </c>
      <c r="AJ5" s="2300" t="s">
        <v>2000</v>
      </c>
      <c r="AK5" s="1270" t="s">
        <v>2001</v>
      </c>
      <c r="AL5" s="1270" t="s">
        <v>2002</v>
      </c>
      <c r="AM5" s="70" t="s">
        <v>2003</v>
      </c>
      <c r="AN5" s="2301" t="s">
        <v>2004</v>
      </c>
      <c r="AO5" s="2071" t="s">
        <v>2005</v>
      </c>
      <c r="AP5" s="1251"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3" t="str">
        <f>'数据-汇总表'!C19</f>
        <v>典型户型商业</v>
      </c>
      <c r="B6" s="2304" t="str">
        <f>IF(A6=0,"","经营性")</f>
        <v>经营性</v>
      </c>
      <c r="C6" s="2305" t="s">
        <v>1377</v>
      </c>
      <c r="D6" s="1053">
        <f>SUMIF(项目基本情况!D$12:I$12,C6,项目基本情况!D$14:I$14)</f>
        <v>40</v>
      </c>
      <c r="E6" s="1050">
        <f>IF(B6="","",SUMIF(项目基本情况!D$12:I$12,C6,项目基本情况!D$13:I$13))</f>
        <v>55709</v>
      </c>
      <c r="F6" s="72">
        <f>SUMIF(项目基本情况!D$12:I$12,C6,项目基本情况!D$15:I$15)</f>
        <v>34.26</v>
      </c>
      <c r="G6" s="73">
        <f>IF(ISERROR(ROUND(POWER(1+H6,D6-F6)*(POWER(1+H6,F6)-1)/(POWER(1+H6,D6)-1),3)),0,ROUND(POWER(1+H6,D6-F6)*(POWER(1+H6,F6)-1)/(POWER(1+H6,D6)-1),3))</f>
        <v>0.94</v>
      </c>
      <c r="H6" s="801">
        <v>4.4999999999999998E-2</v>
      </c>
      <c r="I6" s="801">
        <v>0.05</v>
      </c>
      <c r="J6" s="74">
        <v>8.5000000000000006E-2</v>
      </c>
      <c r="K6" s="1253">
        <f>SUMIF('数据-汇总表'!C$19:C$33,A6,'数据-汇总表'!E$19:E$33)</f>
        <v>168.91</v>
      </c>
      <c r="L6" s="802">
        <v>3000</v>
      </c>
      <c r="M6" s="75">
        <f t="shared" ref="M6:M14" si="0">ROUND(K6*L6/10000,0)</f>
        <v>51</v>
      </c>
      <c r="N6" s="800">
        <f>ROUND(1-(2018-2015)/60,2)</f>
        <v>0.95</v>
      </c>
      <c r="O6" s="75" t="str">
        <f>IF($N$5="成新度","——",ROUND(M6*N6,0))</f>
        <v>——</v>
      </c>
      <c r="P6" s="76" t="str">
        <f>IF($N$5="成新度","——",M6-O6)</f>
        <v>——</v>
      </c>
      <c r="Q6" s="803">
        <v>0.25</v>
      </c>
      <c r="R6" s="77">
        <f ca="1">SUMIF('数据-汇总表'!C$19:C$33,A6,'数据-汇总表'!R$19:R$27)</f>
        <v>31.79</v>
      </c>
      <c r="S6" s="54">
        <f>IF('数据-汇总表'!$I$17="按面积比例",SUMIF('数据-汇总表'!C$19:C$33,A6,'数据-汇总表'!K$19:K$33),SUMIF('数据-汇总表'!C$19:C$33,A6,'数据-汇总表'!N$19:N$33))</f>
        <v>0</v>
      </c>
      <c r="T6" s="1445">
        <f>ROUND($L$14*S6/10000,0)</f>
        <v>0</v>
      </c>
      <c r="U6" s="78">
        <v>3.5</v>
      </c>
      <c r="V6" s="79">
        <v>3.5000000000000003E-2</v>
      </c>
      <c r="W6" s="79">
        <v>0.15</v>
      </c>
      <c r="X6" s="1263"/>
      <c r="Y6" s="80">
        <f>N6</f>
        <v>0.95</v>
      </c>
      <c r="Z6" s="81"/>
      <c r="AA6" s="74"/>
      <c r="AB6" s="74"/>
      <c r="AC6" s="1263"/>
      <c r="AD6" s="82"/>
      <c r="AE6" s="1264">
        <f ca="1">IF(AN6="",0,SUMIF(INDIRECT("'"&amp;AN6&amp;"'"&amp;"!E:E"),$AE$5,INDIRECT("'"&amp;AN6&amp;"'"&amp;"!F:F")))</f>
        <v>34.26</v>
      </c>
      <c r="AF6" s="1806"/>
      <c r="AG6" s="147">
        <f>IF(AF6="",0,AE6-AF6)</f>
        <v>0</v>
      </c>
      <c r="AH6" s="83"/>
      <c r="AI6" s="85">
        <v>365</v>
      </c>
      <c r="AJ6" s="86"/>
      <c r="AK6" s="87">
        <v>1.4999999999999999E-2</v>
      </c>
      <c r="AL6" s="88">
        <v>1.5E-3</v>
      </c>
      <c r="AM6" s="89">
        <v>0.01</v>
      </c>
      <c r="AN6" s="2306" t="s">
        <v>3372</v>
      </c>
      <c r="AO6" s="55">
        <f ca="1">SUMIF(INDIRECT("'"&amp;AN6&amp;"'"&amp;"!A:A"),"总价",INDIRECT("'"&amp;AN6&amp;"'"&amp;"!B:B"))</f>
        <v>342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3" customFormat="1" ht="14.25">
      <c r="A7" s="2303" t="str">
        <f>'数据-汇总表'!C20</f>
        <v>商业剩余</v>
      </c>
      <c r="B7" s="2304" t="str">
        <f t="shared" ref="B7:B13" si="1">IF(A7=0,"","经营性")</f>
        <v>经营性</v>
      </c>
      <c r="C7" s="2305" t="s">
        <v>1377</v>
      </c>
      <c r="D7" s="1053">
        <f>SUMIF(项目基本情况!D$12:I$12,C7,项目基本情况!D$14:I$14)</f>
        <v>40</v>
      </c>
      <c r="E7" s="1050">
        <f>IF(B7="","",SUMIF(项目基本情况!D$12:I$12,C7,项目基本情况!D$13:I$13))</f>
        <v>55709</v>
      </c>
      <c r="F7" s="72">
        <f>SUMIF(项目基本情况!D$12:I$12,C7,项目基本情况!D$15:I$15)</f>
        <v>34.26</v>
      </c>
      <c r="G7" s="73">
        <f t="shared" ref="G7:G11" si="2">IF(ISERROR(ROUND(POWER(1+H7,D7-F7)*(POWER(1+H7,F7)-1)/(POWER(1+H7,D7)-1),3)),0,ROUND(POWER(1+H7,D7-F7)*(POWER(1+H7,F7)-1)/(POWER(1+H7,D7)-1),3))</f>
        <v>0.94</v>
      </c>
      <c r="H7" s="801">
        <v>4.4999999999999998E-2</v>
      </c>
      <c r="I7" s="801">
        <v>0.05</v>
      </c>
      <c r="J7" s="74">
        <v>8.5000000000000006E-2</v>
      </c>
      <c r="K7" s="1253">
        <f>SUMIF('数据-汇总表'!C$19:C$33,A7,'数据-汇总表'!E$19:E$33)</f>
        <v>4665.0899999999974</v>
      </c>
      <c r="L7" s="802">
        <v>3000</v>
      </c>
      <c r="M7" s="75">
        <f t="shared" si="0"/>
        <v>1400</v>
      </c>
      <c r="N7" s="800">
        <f>ROUND(1-(2018-2015)/60,2)</f>
        <v>0.95</v>
      </c>
      <c r="O7" s="75" t="str">
        <f t="shared" ref="O7:O14" si="3">IF($N$5="成新度","——",ROUND(M7*N7,0))</f>
        <v>——</v>
      </c>
      <c r="P7" s="76" t="str">
        <f t="shared" ref="P7:P14" si="4">IF($N$5="成新度","——",M7-O7)</f>
        <v>——</v>
      </c>
      <c r="Q7" s="803">
        <v>0.25</v>
      </c>
      <c r="R7" s="77">
        <f ca="1">SUMIF('数据-汇总表'!C$19:C$33,A7,'数据-汇总表'!R$19:R$27)</f>
        <v>878.03</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3" customFormat="1" ht="14.25" hidden="1">
      <c r="A8" s="2303">
        <f>'数据-汇总表'!C21</f>
        <v>0</v>
      </c>
      <c r="B8" s="2304" t="str">
        <f t="shared" si="1"/>
        <v/>
      </c>
      <c r="C8" s="2305"/>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3" customFormat="1" ht="14.25" hidden="1">
      <c r="A9" s="2303">
        <f>'数据-汇总表'!C22</f>
        <v>0</v>
      </c>
      <c r="B9" s="2304" t="str">
        <f t="shared" si="1"/>
        <v/>
      </c>
      <c r="C9" s="2305"/>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3" customFormat="1" ht="14.25" hidden="1">
      <c r="A10" s="2303">
        <f>'数据-汇总表'!C23</f>
        <v>0</v>
      </c>
      <c r="B10" s="2304" t="str">
        <f t="shared" si="1"/>
        <v/>
      </c>
      <c r="C10" s="2305"/>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3" customFormat="1" ht="14.25" hidden="1">
      <c r="A11" s="2303">
        <f>'数据-汇总表'!C24</f>
        <v>0</v>
      </c>
      <c r="B11" s="2304" t="str">
        <f t="shared" si="1"/>
        <v/>
      </c>
      <c r="C11" s="2305"/>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3" customFormat="1" ht="14.25" hidden="1">
      <c r="A12" s="2303">
        <f>'数据-汇总表'!C25</f>
        <v>0</v>
      </c>
      <c r="B12" s="2304" t="str">
        <f t="shared" si="1"/>
        <v/>
      </c>
      <c r="C12" s="2305"/>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3" customFormat="1" ht="14.25" hidden="1">
      <c r="A13" s="2303">
        <f>'数据-汇总表'!C26</f>
        <v>0</v>
      </c>
      <c r="B13" s="2304" t="str">
        <f t="shared" si="1"/>
        <v/>
      </c>
      <c r="C13" s="2305"/>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3" customFormat="1" ht="14.25">
      <c r="A14" s="2308" t="s">
        <v>2009</v>
      </c>
      <c r="B14" s="2304" t="s">
        <v>2010</v>
      </c>
      <c r="C14" s="2309"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3" customFormat="1" ht="27">
      <c r="A15" s="2308" t="s">
        <v>2011</v>
      </c>
      <c r="B15" s="2304" t="s">
        <v>2010</v>
      </c>
      <c r="C15" s="2309"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3" customFormat="1" ht="15.75" thickBot="1">
      <c r="A16" s="2310" t="s">
        <v>2013</v>
      </c>
      <c r="B16" s="97"/>
      <c r="C16" s="1007"/>
      <c r="D16" s="2311"/>
      <c r="E16" s="97"/>
      <c r="F16" s="97"/>
      <c r="G16" s="98">
        <f>ROUND(SUMPRODUCT(G6:G13,K6:K13)/SUMPRODUCT((G6:G13&gt;0)*(K6:K13)),3)</f>
        <v>0.94</v>
      </c>
      <c r="H16" s="99">
        <f>ROUND(SUMPRODUCT(H6:H13,K6:K13)/SUMPRODUCT((H6:H13&gt;0)*(K6:K13)),3)</f>
        <v>4.4999999999999998E-2</v>
      </c>
      <c r="I16" s="100"/>
      <c r="J16" s="100"/>
      <c r="K16" s="101">
        <f>SUM(K6:K15)</f>
        <v>4833.9999999999973</v>
      </c>
      <c r="L16" s="102">
        <f>ROUND(M16*10000/SUM(K6:K14),0)</f>
        <v>3002</v>
      </c>
      <c r="M16" s="102">
        <f>SUM(M6:M14)</f>
        <v>1451</v>
      </c>
      <c r="N16" s="103">
        <f>ROUND(SUMPRODUCT(M6:M14,N6:N14)/M16,3)</f>
        <v>0.95</v>
      </c>
      <c r="O16" s="102">
        <f>SUM(O6:O14)</f>
        <v>0</v>
      </c>
      <c r="P16" s="102">
        <f>SUM(P6:P14)</f>
        <v>0</v>
      </c>
      <c r="Q16" s="104">
        <f>ROUND(SUMPRODUCT(Q6:Q13,K6:K13)/SUMPRODUCT((Q6:Q13&gt;0)*(K6:K13)),2)</f>
        <v>0.25</v>
      </c>
      <c r="R16" s="1257">
        <f ca="1">SUM(R6:R13)</f>
        <v>909.81999999999994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1"/>
      <c r="C17" s="1583"/>
      <c r="D17" s="2270"/>
      <c r="E17" s="2270"/>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7"/>
      <c r="C18" s="2274"/>
      <c r="D18" s="2275"/>
      <c r="E18" s="2274"/>
      <c r="F18" s="2274"/>
      <c r="G18" s="2274"/>
      <c r="H18" s="2274"/>
      <c r="I18" s="2274"/>
      <c r="J18" s="2274"/>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3" t="s">
        <v>2015</v>
      </c>
      <c r="B19" s="112">
        <v>0</v>
      </c>
      <c r="C19" s="2274" t="s">
        <v>2016</v>
      </c>
      <c r="D19" s="2275"/>
      <c r="E19" s="2274"/>
      <c r="F19" s="2274"/>
      <c r="G19" s="2274"/>
      <c r="H19" s="2274"/>
      <c r="I19" s="2274"/>
      <c r="J19" s="2274"/>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4" t="s">
        <v>2017</v>
      </c>
      <c r="B20" s="113">
        <v>2.5</v>
      </c>
      <c r="C20" s="2274" t="s">
        <v>2018</v>
      </c>
      <c r="D20" s="2275"/>
      <c r="E20" s="2274"/>
      <c r="F20" s="2274"/>
      <c r="G20" s="2274"/>
      <c r="H20" s="2274"/>
      <c r="I20" s="2274"/>
      <c r="J20" s="2274"/>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5" t="s">
        <v>2019</v>
      </c>
      <c r="B21" s="113">
        <v>2.5</v>
      </c>
      <c r="C21" s="2274"/>
      <c r="D21" s="2275"/>
      <c r="E21" s="2274"/>
      <c r="F21" s="2274"/>
      <c r="G21" s="2274"/>
      <c r="H21" s="2274"/>
      <c r="I21" s="2274"/>
      <c r="J21" s="2274"/>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4" t="s">
        <v>2020</v>
      </c>
      <c r="B22" s="114">
        <f>B19+B20</f>
        <v>2.5</v>
      </c>
      <c r="C22" s="2274"/>
      <c r="D22" s="2275"/>
      <c r="E22" s="2274"/>
      <c r="F22" s="2274"/>
      <c r="G22" s="2274"/>
      <c r="H22" s="2274"/>
      <c r="I22" s="2274"/>
      <c r="J22" s="2274"/>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5" t="s">
        <v>2021</v>
      </c>
      <c r="B23" s="114">
        <f>B19+B21</f>
        <v>2.5</v>
      </c>
      <c r="C23" s="2274"/>
      <c r="D23" s="2275"/>
      <c r="E23" s="2274"/>
      <c r="F23" s="2274"/>
      <c r="G23" s="2274"/>
      <c r="H23" s="2274"/>
      <c r="I23" s="2274"/>
      <c r="J23" s="2274"/>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6" t="s">
        <v>2022</v>
      </c>
      <c r="B24" s="115">
        <f>B20-B21</f>
        <v>0</v>
      </c>
      <c r="C24" s="2274"/>
      <c r="D24" s="2275"/>
      <c r="E24" s="2274"/>
      <c r="F24" s="2274"/>
      <c r="G24" s="2274"/>
      <c r="H24" s="2274"/>
      <c r="I24" s="2274"/>
      <c r="J24" s="2274"/>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7"/>
      <c r="C25" s="2274"/>
      <c r="D25" s="2275"/>
      <c r="E25" s="2274"/>
      <c r="F25" s="2274"/>
      <c r="G25" s="2274"/>
      <c r="H25" s="2274"/>
      <c r="I25" s="2274"/>
      <c r="J25" s="2274"/>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3" t="s">
        <v>2023</v>
      </c>
      <c r="B26" s="2317" t="s">
        <v>2024</v>
      </c>
      <c r="C26" s="2318" t="s">
        <v>2025</v>
      </c>
      <c r="D26" s="2275"/>
      <c r="E26" s="2274"/>
      <c r="F26" s="2274"/>
      <c r="G26" s="2274"/>
      <c r="H26" s="2274"/>
      <c r="I26" s="2274"/>
      <c r="J26" s="2274"/>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1" customFormat="1" ht="27.75">
      <c r="A27" s="2319" t="s">
        <v>2026</v>
      </c>
      <c r="B27" s="116">
        <v>100</v>
      </c>
      <c r="C27" s="2956" t="s">
        <v>3373</v>
      </c>
      <c r="D27" s="2320"/>
      <c r="E27" s="1429"/>
      <c r="F27" s="1429"/>
      <c r="G27" s="2274"/>
      <c r="H27" s="2274"/>
      <c r="I27" s="2274"/>
      <c r="J27" s="2274"/>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1" customFormat="1" ht="27.75">
      <c r="A28" s="2322" t="s">
        <v>2027</v>
      </c>
      <c r="B28" s="119">
        <v>100</v>
      </c>
      <c r="C28" s="2323"/>
      <c r="D28" s="2320"/>
      <c r="E28" s="1429"/>
      <c r="F28" s="1429"/>
      <c r="G28" s="2274"/>
      <c r="H28" s="2274"/>
      <c r="I28" s="2274"/>
      <c r="J28" s="2274"/>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1" customFormat="1" ht="28.5" thickBot="1">
      <c r="A29" s="2324" t="s">
        <v>2028</v>
      </c>
      <c r="B29" s="121"/>
      <c r="C29" s="1766" t="s">
        <v>2029</v>
      </c>
      <c r="D29" s="2320"/>
      <c r="E29" s="1429"/>
      <c r="F29" s="1429"/>
      <c r="G29" s="2274"/>
      <c r="H29" s="2274"/>
      <c r="I29" s="2274"/>
      <c r="J29" s="2274"/>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1" customFormat="1" ht="27">
      <c r="A30" s="2325" t="s">
        <v>2030</v>
      </c>
      <c r="B30" s="723">
        <v>200</v>
      </c>
      <c r="C30" s="2323"/>
      <c r="D30" s="2320"/>
      <c r="E30" s="1429"/>
      <c r="F30" s="1429"/>
      <c r="G30" s="2274"/>
      <c r="H30" s="2274"/>
      <c r="I30" s="2274"/>
      <c r="J30" s="2274"/>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1" customFormat="1" ht="27">
      <c r="A31" s="2322" t="s">
        <v>2031</v>
      </c>
      <c r="B31" s="120">
        <f>B30-B32</f>
        <v>200</v>
      </c>
      <c r="C31" s="1766"/>
      <c r="D31" s="2320"/>
      <c r="E31" s="1429"/>
      <c r="F31" s="1429"/>
      <c r="G31" s="2274"/>
      <c r="H31" s="2274"/>
      <c r="I31" s="2274"/>
      <c r="J31" s="2274"/>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1" customFormat="1" ht="27.75" thickBot="1">
      <c r="A32" s="2326" t="s">
        <v>2032</v>
      </c>
      <c r="B32" s="724">
        <v>0</v>
      </c>
      <c r="C32" s="2323"/>
      <c r="D32" s="2275"/>
      <c r="E32" s="2274"/>
      <c r="F32" s="2274"/>
      <c r="G32" s="2274"/>
      <c r="H32" s="2274"/>
      <c r="I32" s="2274"/>
      <c r="J32" s="2274"/>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1" customFormat="1" ht="14.25">
      <c r="A33" s="2319" t="s">
        <v>2033</v>
      </c>
      <c r="B33" s="725">
        <v>0.03</v>
      </c>
      <c r="C33" s="1765" t="s">
        <v>2034</v>
      </c>
      <c r="D33" s="2275"/>
      <c r="E33" s="2274"/>
      <c r="F33" s="2274"/>
      <c r="G33" s="2274"/>
      <c r="H33" s="2274"/>
      <c r="I33" s="2274"/>
      <c r="J33" s="2274"/>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1" customFormat="1" ht="14.25">
      <c r="A34" s="2322" t="s">
        <v>2035</v>
      </c>
      <c r="B34" s="122">
        <v>0.05</v>
      </c>
      <c r="C34" s="1765" t="s">
        <v>2036</v>
      </c>
      <c r="D34" s="2275" t="s">
        <v>2037</v>
      </c>
      <c r="E34" s="731"/>
      <c r="F34" s="2274"/>
      <c r="G34" s="2274"/>
      <c r="H34" s="2274"/>
      <c r="I34" s="2274"/>
      <c r="J34" s="2274"/>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1" customFormat="1" ht="14.25">
      <c r="A35" s="2322" t="s">
        <v>2038</v>
      </c>
      <c r="B35" s="119">
        <v>200</v>
      </c>
      <c r="C35" s="1765" t="s">
        <v>2039</v>
      </c>
      <c r="D35" s="2320"/>
      <c r="E35" s="1429"/>
      <c r="F35" s="1429"/>
      <c r="G35" s="2274"/>
      <c r="H35" s="2274"/>
      <c r="I35" s="2274"/>
      <c r="J35" s="2274"/>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4" t="s">
        <v>2040</v>
      </c>
      <c r="B36" s="123">
        <v>1.4999999999999999E-2</v>
      </c>
      <c r="C36" s="1765" t="s">
        <v>2041</v>
      </c>
      <c r="D36" s="2275"/>
      <c r="E36" s="2274"/>
      <c r="F36" s="2274"/>
      <c r="G36" s="2274"/>
      <c r="H36" s="2274"/>
      <c r="I36" s="2274"/>
      <c r="J36" s="2274"/>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5" t="s">
        <v>2042</v>
      </c>
      <c r="B37" s="124">
        <v>0.02</v>
      </c>
      <c r="C37" s="1765" t="s">
        <v>2043</v>
      </c>
      <c r="D37" s="2275"/>
      <c r="E37" s="2274"/>
      <c r="F37" s="2274"/>
      <c r="G37" s="2274"/>
      <c r="H37" s="2274"/>
      <c r="I37" s="2274"/>
      <c r="J37" s="2274"/>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2" t="s">
        <v>2044</v>
      </c>
      <c r="B38" s="122">
        <v>0.02</v>
      </c>
      <c r="C38" s="1765" t="s">
        <v>2043</v>
      </c>
      <c r="D38" s="2275"/>
      <c r="E38" s="2274"/>
      <c r="F38" s="2274"/>
      <c r="G38" s="2274"/>
      <c r="H38" s="2274"/>
      <c r="I38" s="2274"/>
      <c r="J38" s="2274"/>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6" t="s">
        <v>2045</v>
      </c>
      <c r="B39" s="362">
        <f ca="1">存贷款利率!I1</f>
        <v>1.4999999999999999E-2</v>
      </c>
      <c r="C39" s="1765"/>
      <c r="D39" s="2275"/>
      <c r="E39" s="2274"/>
      <c r="F39" s="2274"/>
      <c r="G39" s="2274"/>
      <c r="H39" s="2274"/>
      <c r="I39" s="2274"/>
      <c r="J39" s="2274"/>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6" t="s">
        <v>2046</v>
      </c>
      <c r="B40" s="1302">
        <f ca="1">存贷款利率!G1</f>
        <v>4.7500000000000001E-2</v>
      </c>
      <c r="C40" s="1765" t="s">
        <v>2047</v>
      </c>
      <c r="D40" s="1583"/>
      <c r="E40" s="2275"/>
      <c r="F40" s="2274"/>
      <c r="G40" s="2274"/>
      <c r="H40" s="2274"/>
      <c r="I40" s="2274"/>
      <c r="J40" s="2274"/>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9" t="s">
        <v>2048</v>
      </c>
      <c r="B41" s="125">
        <f>B42+B43</f>
        <v>5.6000000000000001E-2</v>
      </c>
      <c r="C41" s="1766"/>
      <c r="D41" s="1583"/>
      <c r="E41" s="2275"/>
      <c r="F41" s="2274"/>
      <c r="G41" s="2274"/>
      <c r="H41" s="2274"/>
      <c r="I41" s="2274"/>
      <c r="J41" s="2274"/>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7" t="s">
        <v>2049</v>
      </c>
      <c r="B42" s="126">
        <v>0.05</v>
      </c>
      <c r="C42" s="2328">
        <f>IF(B2&lt;DATE(2016,5,1),0,B42)</f>
        <v>0.05</v>
      </c>
      <c r="D42" s="2275"/>
      <c r="E42" s="2274"/>
      <c r="F42" s="2274"/>
      <c r="G42" s="2274"/>
      <c r="H42" s="2274"/>
      <c r="I42" s="2274"/>
      <c r="J42" s="2274"/>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7" t="s">
        <v>2050</v>
      </c>
      <c r="B43" s="127">
        <f>B42*(B44+B45+B46)+B47</f>
        <v>6.000000000000001E-3</v>
      </c>
      <c r="C43" s="1766"/>
      <c r="D43" s="2275"/>
      <c r="E43" s="2274"/>
      <c r="F43" s="2274"/>
      <c r="G43" s="2274"/>
      <c r="H43" s="2274"/>
      <c r="I43" s="2274"/>
      <c r="J43" s="2274"/>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9" t="s">
        <v>2051</v>
      </c>
      <c r="B44" s="128">
        <v>7.0000000000000007E-2</v>
      </c>
      <c r="C44" s="1765" t="s">
        <v>2052</v>
      </c>
      <c r="D44" s="2275"/>
      <c r="E44" s="2274"/>
      <c r="F44" s="2274"/>
      <c r="G44" s="2274"/>
      <c r="H44" s="2274"/>
      <c r="I44" s="2274"/>
      <c r="J44" s="2274"/>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9" t="s">
        <v>2053</v>
      </c>
      <c r="B45" s="126">
        <v>0.03</v>
      </c>
      <c r="C45" s="1766" t="s">
        <v>2054</v>
      </c>
      <c r="D45" s="2275"/>
      <c r="E45" s="2274"/>
      <c r="F45" s="2274"/>
      <c r="G45" s="2274"/>
      <c r="H45" s="2274"/>
      <c r="I45" s="2274"/>
      <c r="J45" s="2274"/>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9" t="s">
        <v>2055</v>
      </c>
      <c r="B46" s="126">
        <v>0.02</v>
      </c>
      <c r="C46" s="1766" t="s">
        <v>2056</v>
      </c>
      <c r="D46" s="2275"/>
      <c r="E46" s="2274"/>
      <c r="F46" s="2274"/>
      <c r="G46" s="2274"/>
      <c r="H46" s="2274"/>
      <c r="I46" s="2274"/>
      <c r="J46" s="2274"/>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0" t="s">
        <v>2057</v>
      </c>
      <c r="B47" s="129"/>
      <c r="C47" s="1766" t="s">
        <v>2058</v>
      </c>
      <c r="D47" s="2275"/>
      <c r="E47" s="2274"/>
      <c r="F47" s="2274"/>
      <c r="G47" s="2274"/>
      <c r="H47" s="2274"/>
      <c r="I47" s="2274"/>
      <c r="J47" s="2274"/>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1" t="s">
        <v>2059</v>
      </c>
      <c r="B48" s="130">
        <v>0.03</v>
      </c>
      <c r="C48" s="1773" t="s">
        <v>2060</v>
      </c>
      <c r="D48" s="2275"/>
      <c r="E48" s="2274"/>
      <c r="F48" s="2274"/>
      <c r="G48" s="2274"/>
      <c r="H48" s="2274"/>
      <c r="I48" s="2274"/>
      <c r="J48" s="2274"/>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6" t="s">
        <v>2061</v>
      </c>
      <c r="B49" s="126">
        <v>5.0000000000000001E-4</v>
      </c>
      <c r="C49" s="1773" t="s">
        <v>2062</v>
      </c>
      <c r="D49" s="2275"/>
      <c r="E49" s="2274"/>
      <c r="F49" s="2274"/>
      <c r="G49" s="2274"/>
      <c r="H49" s="2274"/>
      <c r="I49" s="2274"/>
      <c r="J49" s="2274"/>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2" t="s">
        <v>2063</v>
      </c>
      <c r="B50" s="131">
        <v>1.2E-2</v>
      </c>
      <c r="C50" s="1429"/>
      <c r="D50" s="2275"/>
      <c r="E50" s="2274"/>
      <c r="F50" s="2274"/>
      <c r="G50" s="2274"/>
      <c r="H50" s="2274"/>
      <c r="I50" s="2274"/>
      <c r="J50" s="2274"/>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4" t="s">
        <v>2064</v>
      </c>
      <c r="B51" s="132">
        <v>0.12</v>
      </c>
      <c r="C51" s="1429"/>
      <c r="D51" s="2275"/>
      <c r="E51" s="2274"/>
      <c r="F51" s="2274"/>
      <c r="G51" s="2274"/>
      <c r="H51" s="2274"/>
      <c r="I51" s="2274"/>
      <c r="J51" s="2274"/>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2" t="s">
        <v>2065</v>
      </c>
      <c r="B52" s="133">
        <f>SUMIF(A54:A63,B53,B54:B63)</f>
        <v>16</v>
      </c>
      <c r="C52" s="1429"/>
      <c r="D52" s="2275"/>
      <c r="E52" s="2274"/>
      <c r="F52" s="2274"/>
      <c r="G52" s="2274"/>
      <c r="H52" s="2274"/>
      <c r="I52" s="2274"/>
      <c r="J52" s="2274"/>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2" t="s">
        <v>2066</v>
      </c>
      <c r="B53" s="2333" t="s">
        <v>212</v>
      </c>
      <c r="C53" s="1429"/>
      <c r="D53" s="2334" t="s">
        <v>2067</v>
      </c>
      <c r="E53" s="2274"/>
      <c r="F53" s="2274"/>
      <c r="G53" s="2274"/>
      <c r="H53" s="2274"/>
      <c r="I53" s="2274"/>
      <c r="J53" s="2274"/>
      <c r="K53" s="168"/>
      <c r="L53" s="168"/>
      <c r="M53" s="1583"/>
      <c r="N53" s="1583"/>
      <c r="O53" s="1583"/>
      <c r="P53" s="1583"/>
      <c r="Q53" s="1583"/>
      <c r="R53" s="1583"/>
      <c r="S53" s="1583"/>
      <c r="T53" s="1583"/>
      <c r="U53" s="1583"/>
      <c r="V53" s="1583"/>
      <c r="W53" s="1583"/>
      <c r="X53" s="1583"/>
      <c r="Y53" s="2947" t="s">
        <v>3071</v>
      </c>
      <c r="Z53" s="1583"/>
      <c r="AA53" s="1583"/>
      <c r="AB53" s="1583"/>
      <c r="AC53" s="1583"/>
      <c r="AD53" s="1583"/>
      <c r="AE53" s="1583"/>
      <c r="AF53" s="1583"/>
      <c r="AG53" s="1583"/>
      <c r="AH53" s="1583"/>
      <c r="AI53" s="1583"/>
      <c r="AJ53" s="1583"/>
      <c r="AK53" s="1583"/>
      <c r="AL53" s="1583"/>
      <c r="AM53" s="1583"/>
    </row>
    <row r="54" spans="1:39" ht="14.25">
      <c r="A54" s="2335" t="s">
        <v>2068</v>
      </c>
      <c r="B54" s="84">
        <v>16</v>
      </c>
      <c r="C54" s="1429"/>
      <c r="D54" s="2275"/>
      <c r="E54" s="2274"/>
      <c r="F54" s="2274"/>
      <c r="G54" s="2274"/>
      <c r="H54" s="2274"/>
      <c r="I54" s="2274"/>
      <c r="J54" s="2274"/>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5" t="s">
        <v>2069</v>
      </c>
      <c r="B55" s="84"/>
      <c r="C55" s="1429"/>
      <c r="D55" s="2275"/>
      <c r="E55" s="2274"/>
      <c r="F55" s="2274"/>
      <c r="G55" s="2274"/>
      <c r="H55" s="2274"/>
      <c r="I55" s="2336"/>
      <c r="J55" s="2274"/>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5" t="s">
        <v>2070</v>
      </c>
      <c r="B56" s="84"/>
      <c r="C56" s="1429"/>
      <c r="D56" s="2275"/>
      <c r="E56" s="2274"/>
      <c r="F56" s="2274"/>
      <c r="G56" s="2274"/>
      <c r="H56" s="2274"/>
      <c r="I56" s="2274"/>
      <c r="J56" s="2274"/>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5" t="s">
        <v>2071</v>
      </c>
      <c r="B57" s="84"/>
      <c r="C57" s="1429"/>
      <c r="D57" s="2275"/>
      <c r="E57" s="2274"/>
      <c r="F57" s="2274"/>
      <c r="G57" s="2274"/>
      <c r="H57" s="2274"/>
      <c r="I57" s="2274"/>
      <c r="J57" s="2274"/>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5" t="s">
        <v>2072</v>
      </c>
      <c r="B58" s="84"/>
      <c r="C58" s="1429"/>
      <c r="D58" s="2275"/>
      <c r="E58" s="2274"/>
      <c r="F58" s="2274"/>
      <c r="G58" s="2274"/>
      <c r="H58" s="2274"/>
      <c r="I58" s="2274"/>
      <c r="J58" s="2274"/>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5" t="s">
        <v>2073</v>
      </c>
      <c r="B59" s="84"/>
      <c r="C59" s="1429"/>
      <c r="D59" s="2275"/>
      <c r="E59" s="2274"/>
      <c r="F59" s="2274"/>
      <c r="G59" s="2274"/>
      <c r="H59" s="2274"/>
      <c r="I59" s="2274"/>
      <c r="J59" s="2274"/>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5" t="s">
        <v>2074</v>
      </c>
      <c r="B60" s="84"/>
      <c r="C60" s="2274"/>
      <c r="D60" s="2275"/>
      <c r="E60" s="2274"/>
      <c r="F60" s="2274"/>
      <c r="G60" s="2274"/>
      <c r="H60" s="2274"/>
      <c r="I60" s="2274"/>
      <c r="J60" s="2274"/>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5" t="s">
        <v>2075</v>
      </c>
      <c r="B61" s="84"/>
      <c r="C61" s="2274"/>
      <c r="D61" s="2275"/>
      <c r="E61" s="2274"/>
      <c r="F61" s="2274"/>
      <c r="G61" s="2274"/>
      <c r="H61" s="2274"/>
      <c r="I61" s="2274"/>
      <c r="J61" s="2274"/>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5" t="s">
        <v>2076</v>
      </c>
      <c r="B62" s="84"/>
      <c r="C62" s="2274"/>
      <c r="D62" s="2275"/>
      <c r="E62" s="2274"/>
      <c r="F62" s="2274"/>
      <c r="G62" s="2274"/>
      <c r="H62" s="2274"/>
      <c r="I62" s="2274"/>
      <c r="J62" s="2274"/>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7" t="s">
        <v>2077</v>
      </c>
      <c r="B63" s="134"/>
      <c r="C63" s="2274"/>
      <c r="D63" s="2275"/>
      <c r="E63" s="2274"/>
      <c r="F63" s="2274"/>
      <c r="G63" s="2274"/>
      <c r="H63" s="2274"/>
      <c r="I63" s="2274"/>
      <c r="J63" s="2274"/>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8"/>
      <c r="D64" s="2339"/>
      <c r="K64" s="797"/>
      <c r="L64" s="797"/>
    </row>
    <row r="65" spans="1:12" s="966" customFormat="1">
      <c r="A65" s="2338"/>
      <c r="D65" s="2339"/>
      <c r="K65" s="797"/>
      <c r="L65" s="797"/>
    </row>
    <row r="66" spans="1:12" s="966" customFormat="1">
      <c r="A66" s="2338"/>
      <c r="D66" s="2339"/>
      <c r="K66" s="797"/>
      <c r="L66" s="797"/>
    </row>
    <row r="67" spans="1:12" s="966" customFormat="1">
      <c r="A67" s="2338"/>
      <c r="D67" s="2339"/>
      <c r="K67" s="797"/>
      <c r="L67" s="797"/>
    </row>
    <row r="68" spans="1:12" s="966" customFormat="1">
      <c r="A68" s="2338"/>
      <c r="D68" s="2339"/>
      <c r="K68" s="797"/>
      <c r="L68" s="797"/>
    </row>
    <row r="69" spans="1:12" s="966" customFormat="1">
      <c r="A69" s="2338"/>
      <c r="D69" s="2339"/>
      <c r="K69" s="797"/>
      <c r="L69" s="797"/>
    </row>
    <row r="70" spans="1:12" s="966" customFormat="1">
      <c r="A70" s="2338"/>
      <c r="D70" s="2339"/>
      <c r="K70" s="797"/>
      <c r="L70" s="797"/>
    </row>
    <row r="71" spans="1:12" s="966" customFormat="1">
      <c r="A71" s="2338"/>
      <c r="D71" s="2339"/>
      <c r="K71" s="797"/>
      <c r="L71" s="797"/>
    </row>
    <row r="72" spans="1:12" s="966" customFormat="1">
      <c r="A72" s="2338"/>
      <c r="D72" s="2339"/>
      <c r="K72" s="797"/>
      <c r="L72" s="797"/>
    </row>
    <row r="73" spans="1:12" s="966" customFormat="1">
      <c r="A73" s="2338"/>
      <c r="D73" s="2339"/>
      <c r="K73" s="797"/>
      <c r="L73" s="797"/>
    </row>
    <row r="74" spans="1:12" s="966" customFormat="1">
      <c r="A74" s="2338"/>
      <c r="D74" s="2339"/>
      <c r="K74" s="797"/>
      <c r="L74" s="797"/>
    </row>
    <row r="75" spans="1:12" s="966" customFormat="1">
      <c r="A75" s="2338"/>
      <c r="D75" s="2339"/>
      <c r="K75" s="797"/>
      <c r="L75" s="797"/>
    </row>
    <row r="76" spans="1:12" s="966" customFormat="1">
      <c r="A76" s="2338"/>
      <c r="D76" s="2339"/>
      <c r="K76" s="797"/>
      <c r="L76" s="797"/>
    </row>
    <row r="77" spans="1:12" s="966" customFormat="1">
      <c r="A77" s="2338"/>
      <c r="D77" s="2339"/>
      <c r="K77" s="797"/>
      <c r="L77" s="797"/>
    </row>
    <row r="78" spans="1:12" s="966" customFormat="1">
      <c r="A78" s="2338"/>
      <c r="D78" s="2339"/>
      <c r="K78" s="797"/>
      <c r="L78" s="797"/>
    </row>
    <row r="79" spans="1:12" s="966" customFormat="1">
      <c r="A79" s="2338"/>
      <c r="D79" s="2339"/>
      <c r="K79" s="797"/>
      <c r="L79" s="797"/>
    </row>
    <row r="80" spans="1:12" s="966" customFormat="1">
      <c r="A80" s="2338"/>
      <c r="D80" s="2339"/>
      <c r="K80" s="797"/>
      <c r="L80" s="797"/>
    </row>
    <row r="81" spans="1:12" s="966" customFormat="1">
      <c r="A81" s="2338"/>
      <c r="D81" s="2339"/>
      <c r="K81" s="797"/>
      <c r="L81" s="797"/>
    </row>
    <row r="82" spans="1:12" s="966" customFormat="1">
      <c r="A82" s="2338"/>
      <c r="D82" s="2339"/>
      <c r="K82" s="797"/>
      <c r="L82" s="797"/>
    </row>
    <row r="83" spans="1:12" s="966" customFormat="1">
      <c r="A83" s="2338"/>
      <c r="D83" s="2339"/>
      <c r="K83" s="797"/>
      <c r="L83" s="797"/>
    </row>
    <row r="84" spans="1:12" s="966" customFormat="1">
      <c r="A84" s="2338"/>
      <c r="D84" s="2339"/>
      <c r="K84" s="797"/>
      <c r="L84" s="797"/>
    </row>
    <row r="85" spans="1:12" s="966" customFormat="1">
      <c r="A85" s="2338"/>
      <c r="D85" s="2339"/>
      <c r="K85" s="797"/>
      <c r="L85" s="797"/>
    </row>
    <row r="86" spans="1:12" s="966" customFormat="1">
      <c r="A86" s="2338"/>
      <c r="D86" s="2339"/>
      <c r="K86" s="797"/>
      <c r="L86" s="797"/>
    </row>
    <row r="87" spans="1:12" s="966" customFormat="1">
      <c r="A87" s="2338"/>
      <c r="D87" s="2339"/>
      <c r="K87" s="797"/>
      <c r="L87" s="797"/>
    </row>
    <row r="88" spans="1:12" s="966" customFormat="1">
      <c r="A88" s="2338"/>
      <c r="D88" s="2339"/>
      <c r="K88" s="797"/>
      <c r="L88" s="797"/>
    </row>
    <row r="89" spans="1:12" s="966" customFormat="1">
      <c r="A89" s="2338"/>
      <c r="D89" s="2339"/>
      <c r="K89" s="797"/>
      <c r="L89" s="797"/>
    </row>
    <row r="90" spans="1:12" s="966" customFormat="1">
      <c r="A90" s="2338"/>
      <c r="D90" s="2339"/>
      <c r="K90" s="797"/>
      <c r="L90" s="797"/>
    </row>
    <row r="91" spans="1:12" s="966" customFormat="1">
      <c r="A91" s="2338"/>
      <c r="D91" s="2339"/>
      <c r="K91" s="797"/>
      <c r="L91" s="797"/>
    </row>
    <row r="92" spans="1:12" s="966" customFormat="1">
      <c r="A92" s="2338"/>
      <c r="D92" s="2339"/>
      <c r="K92" s="797"/>
      <c r="L92" s="797"/>
    </row>
    <row r="93" spans="1:12" s="966" customFormat="1">
      <c r="A93" s="2338"/>
      <c r="D93" s="2339"/>
      <c r="K93" s="797"/>
      <c r="L93" s="797"/>
    </row>
    <row r="94" spans="1:12" s="966" customFormat="1">
      <c r="A94" s="2338"/>
      <c r="D94" s="2339"/>
      <c r="K94" s="797"/>
      <c r="L94" s="797"/>
    </row>
    <row r="95" spans="1:12" s="966" customFormat="1">
      <c r="A95" s="2338"/>
      <c r="D95" s="2339"/>
      <c r="K95" s="797"/>
      <c r="L95" s="797"/>
    </row>
    <row r="96" spans="1:12" s="966" customFormat="1">
      <c r="A96" s="2338"/>
      <c r="D96" s="2339"/>
      <c r="K96" s="797"/>
      <c r="L96" s="797"/>
    </row>
    <row r="97" spans="1:12" s="966" customFormat="1">
      <c r="A97" s="2338"/>
      <c r="D97" s="2339"/>
      <c r="K97" s="797"/>
      <c r="L97" s="797"/>
    </row>
    <row r="98" spans="1:12" s="966" customFormat="1">
      <c r="A98" s="2338"/>
      <c r="D98" s="2339"/>
      <c r="K98" s="797"/>
      <c r="L98" s="797"/>
    </row>
    <row r="99" spans="1:12" s="966" customFormat="1">
      <c r="A99" s="2338"/>
      <c r="D99" s="2339"/>
      <c r="K99" s="797"/>
      <c r="L99" s="797"/>
    </row>
    <row r="100" spans="1:12" s="966" customFormat="1">
      <c r="A100" s="2338"/>
      <c r="D100" s="2339"/>
      <c r="K100" s="797"/>
      <c r="L100" s="797"/>
    </row>
    <row r="101" spans="1:12" s="966" customFormat="1">
      <c r="A101" s="2338"/>
      <c r="D101" s="2339"/>
      <c r="K101" s="797"/>
      <c r="L101" s="797"/>
    </row>
    <row r="102" spans="1:12" s="966" customFormat="1">
      <c r="A102" s="2338"/>
      <c r="D102" s="2339"/>
      <c r="K102" s="797"/>
      <c r="L102" s="797"/>
    </row>
    <row r="103" spans="1:12" s="966" customFormat="1">
      <c r="A103" s="2338"/>
      <c r="D103" s="2339"/>
      <c r="K103" s="797"/>
      <c r="L103" s="797"/>
    </row>
    <row r="104" spans="1:12" s="966" customFormat="1">
      <c r="A104" s="2338"/>
      <c r="D104" s="2339"/>
      <c r="K104" s="797"/>
      <c r="L104" s="797"/>
    </row>
    <row r="105" spans="1:12" s="966" customFormat="1">
      <c r="A105" s="2338"/>
      <c r="D105" s="2339"/>
      <c r="K105" s="797"/>
      <c r="L105" s="797"/>
    </row>
    <row r="106" spans="1:12" s="966" customFormat="1">
      <c r="A106" s="2338"/>
      <c r="D106" s="2339"/>
      <c r="K106" s="797"/>
      <c r="L106" s="797"/>
    </row>
    <row r="107" spans="1:12" s="966" customFormat="1">
      <c r="A107" s="2338"/>
      <c r="D107" s="2339"/>
      <c r="K107" s="797"/>
      <c r="L107" s="797"/>
    </row>
    <row r="108" spans="1:12" s="966" customFormat="1">
      <c r="A108" s="2338"/>
      <c r="D108" s="2339"/>
      <c r="K108" s="797"/>
      <c r="L108" s="797"/>
    </row>
    <row r="109" spans="1:12" s="966" customFormat="1">
      <c r="A109" s="2338"/>
      <c r="D109" s="2339"/>
      <c r="K109" s="797"/>
      <c r="L109" s="797"/>
    </row>
    <row r="110" spans="1:12" s="966" customFormat="1">
      <c r="A110" s="2338"/>
      <c r="D110" s="2339"/>
      <c r="K110" s="797"/>
      <c r="L110" s="797"/>
    </row>
    <row r="111" spans="1:12" s="966" customFormat="1">
      <c r="A111" s="2338"/>
      <c r="D111" s="2339"/>
      <c r="K111" s="797"/>
      <c r="L111" s="797"/>
    </row>
    <row r="112" spans="1:12" s="966" customFormat="1">
      <c r="A112" s="2338"/>
      <c r="D112" s="2339"/>
      <c r="K112" s="797"/>
      <c r="L112" s="797"/>
    </row>
    <row r="113" spans="1:12" s="966" customFormat="1">
      <c r="A113" s="2338"/>
      <c r="D113" s="2339"/>
      <c r="K113" s="797"/>
      <c r="L113" s="797"/>
    </row>
    <row r="114" spans="1:12" s="966" customFormat="1">
      <c r="A114" s="2338"/>
      <c r="D114" s="2339"/>
      <c r="K114" s="797"/>
      <c r="L114" s="797"/>
    </row>
    <row r="115" spans="1:12" s="966" customFormat="1">
      <c r="A115" s="2338"/>
      <c r="D115" s="2339"/>
      <c r="K115" s="797"/>
      <c r="L115" s="797"/>
    </row>
    <row r="116" spans="1:12" s="966" customFormat="1">
      <c r="A116" s="2338"/>
      <c r="D116" s="2339"/>
      <c r="K116" s="797"/>
      <c r="L116" s="797"/>
    </row>
    <row r="117" spans="1:12" s="966" customFormat="1">
      <c r="A117" s="2338"/>
      <c r="D117" s="2339"/>
      <c r="K117" s="797"/>
      <c r="L117" s="797"/>
    </row>
    <row r="118" spans="1:12" s="966" customFormat="1">
      <c r="A118" s="2338"/>
      <c r="D118" s="2339"/>
      <c r="K118" s="797"/>
      <c r="L118" s="797"/>
    </row>
    <row r="119" spans="1:12" s="966" customFormat="1">
      <c r="A119" s="2338"/>
      <c r="D119" s="2339"/>
      <c r="K119" s="797"/>
      <c r="L119" s="797"/>
    </row>
    <row r="120" spans="1:12" s="966" customFormat="1">
      <c r="A120" s="2338"/>
      <c r="D120" s="2339"/>
      <c r="K120" s="797"/>
      <c r="L120" s="797"/>
    </row>
    <row r="121" spans="1:12" s="966" customFormat="1">
      <c r="A121" s="2338"/>
      <c r="D121" s="2339"/>
      <c r="K121" s="797"/>
      <c r="L121" s="797"/>
    </row>
    <row r="122" spans="1:12" s="966" customFormat="1">
      <c r="A122" s="2338"/>
      <c r="D122" s="2339"/>
      <c r="K122" s="797"/>
      <c r="L122" s="797"/>
    </row>
    <row r="123" spans="1:12" s="966" customFormat="1">
      <c r="A123" s="2338"/>
      <c r="D123" s="2339"/>
      <c r="K123" s="797"/>
      <c r="L123" s="797"/>
    </row>
    <row r="124" spans="1:12" s="966" customFormat="1">
      <c r="A124" s="2338"/>
      <c r="D124" s="2339"/>
      <c r="K124" s="797"/>
      <c r="L124" s="797"/>
    </row>
    <row r="125" spans="1:12" s="966" customFormat="1">
      <c r="A125" s="2338"/>
      <c r="D125" s="2339"/>
      <c r="K125" s="797"/>
      <c r="L125" s="797"/>
    </row>
    <row r="126" spans="1:12" s="966" customFormat="1">
      <c r="A126" s="2338"/>
      <c r="D126" s="2339"/>
      <c r="K126" s="797"/>
      <c r="L126" s="797"/>
    </row>
    <row r="127" spans="1:12" s="966" customFormat="1">
      <c r="A127" s="2338"/>
      <c r="D127" s="2339"/>
      <c r="K127" s="797"/>
      <c r="L127" s="797"/>
    </row>
    <row r="128" spans="1:12" s="966" customFormat="1">
      <c r="A128" s="2338"/>
      <c r="D128" s="2339"/>
      <c r="K128" s="797"/>
      <c r="L128" s="797"/>
    </row>
    <row r="129" spans="1:12" s="966" customFormat="1">
      <c r="A129" s="2338"/>
      <c r="D129" s="2339"/>
      <c r="K129" s="797"/>
      <c r="L129" s="797"/>
    </row>
    <row r="130" spans="1:12" s="966" customFormat="1">
      <c r="A130" s="2338"/>
      <c r="D130" s="2339"/>
      <c r="K130" s="797"/>
      <c r="L130" s="797"/>
    </row>
    <row r="131" spans="1:12" s="966" customFormat="1">
      <c r="A131" s="2338"/>
      <c r="D131" s="2339"/>
      <c r="K131" s="797"/>
      <c r="L131" s="797"/>
    </row>
    <row r="132" spans="1:12" s="966" customFormat="1">
      <c r="A132" s="2338"/>
      <c r="D132" s="2339"/>
      <c r="K132" s="797"/>
      <c r="L132" s="797"/>
    </row>
    <row r="133" spans="1:12" s="966" customFormat="1">
      <c r="A133" s="2338"/>
      <c r="D133" s="2339"/>
      <c r="K133" s="797"/>
      <c r="L133" s="797"/>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31" t="s">
        <v>2078</v>
      </c>
      <c r="B1" s="3132"/>
      <c r="C1" s="3132"/>
      <c r="D1" s="3132"/>
      <c r="E1" s="3132"/>
      <c r="F1" s="3132"/>
      <c r="G1" s="313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70"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7"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7" t="s">
        <v>2090</v>
      </c>
      <c r="C5" s="2371" t="s">
        <v>2091</v>
      </c>
      <c r="D5" s="2368"/>
      <c r="E5" s="2372"/>
      <c r="F5" s="1797" t="s">
        <v>2092</v>
      </c>
      <c r="G5" s="2373" t="s">
        <v>2093</v>
      </c>
      <c r="H5" s="2365"/>
      <c r="I5" s="2365"/>
      <c r="J5" s="2365"/>
      <c r="K5" s="2365"/>
      <c r="L5" s="2365"/>
      <c r="M5" s="2365"/>
      <c r="N5" s="2365"/>
      <c r="O5" s="2365"/>
      <c r="P5" s="2365"/>
      <c r="Q5" s="2365"/>
      <c r="R5" s="2365"/>
    </row>
    <row r="6" spans="1:29" ht="54">
      <c r="A6" s="431"/>
      <c r="B6" s="1797" t="s">
        <v>2094</v>
      </c>
      <c r="C6" s="2373" t="s">
        <v>2089</v>
      </c>
      <c r="D6" s="2368"/>
      <c r="E6" s="2372"/>
      <c r="F6" s="1797" t="s">
        <v>2095</v>
      </c>
      <c r="G6" s="2373" t="s">
        <v>2096</v>
      </c>
      <c r="H6" s="2365"/>
      <c r="I6" s="2365"/>
      <c r="J6" s="2365"/>
      <c r="K6" s="2365"/>
      <c r="L6" s="2365"/>
      <c r="M6" s="2365"/>
      <c r="N6" s="2365"/>
      <c r="O6" s="2365"/>
      <c r="P6" s="2365"/>
      <c r="Q6" s="2365"/>
      <c r="R6" s="2365"/>
    </row>
    <row r="7" spans="1:29" ht="41.25" thickBot="1">
      <c r="A7" s="431"/>
      <c r="B7" s="1797"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7" t="s">
        <v>2095</v>
      </c>
      <c r="C8" s="2373" t="s">
        <v>2096</v>
      </c>
      <c r="D8" s="2374"/>
      <c r="E8" s="2374"/>
      <c r="F8" s="1135"/>
      <c r="G8" s="1135"/>
      <c r="H8" s="2365"/>
      <c r="I8" s="2365"/>
      <c r="J8" s="2365"/>
      <c r="K8" s="2365"/>
      <c r="L8" s="2365"/>
      <c r="M8" s="2365"/>
      <c r="N8" s="2365"/>
      <c r="O8" s="2365"/>
      <c r="P8" s="2365"/>
      <c r="Q8" s="2365"/>
      <c r="R8" s="2365"/>
    </row>
    <row r="9" spans="1:29" ht="27">
      <c r="A9" s="431"/>
      <c r="B9" s="1797" t="s">
        <v>2099</v>
      </c>
      <c r="C9" s="2371" t="s">
        <v>2100</v>
      </c>
      <c r="D9" s="2368"/>
      <c r="E9" s="2374"/>
      <c r="F9" s="1135"/>
      <c r="G9" s="1135"/>
      <c r="H9" s="2365"/>
      <c r="I9" s="2365"/>
      <c r="J9" s="2365"/>
      <c r="K9" s="2365"/>
      <c r="L9" s="2365"/>
      <c r="M9" s="2365"/>
      <c r="N9" s="2365"/>
      <c r="O9" s="2365"/>
      <c r="P9" s="2365"/>
      <c r="Q9" s="2365"/>
      <c r="R9" s="2365"/>
    </row>
    <row r="10" spans="1:29" s="117" customFormat="1" ht="15.75" thickBot="1">
      <c r="A10" s="2378"/>
      <c r="B10" s="2379" t="s">
        <v>2101</v>
      </c>
      <c r="C10" s="2380"/>
      <c r="D10" s="2368"/>
      <c r="E10" s="2368"/>
      <c r="F10" s="1135"/>
      <c r="G10" s="1135"/>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3"/>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3"/>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9" t="s">
        <v>2082</v>
      </c>
      <c r="C15" s="2400" t="str">
        <f>C3</f>
        <v>估价对象周边居住用地比例、居住小区规模和社区发展完善程度，综合评价居住社区成熟度一般</v>
      </c>
      <c r="D15" s="2368"/>
      <c r="E15" s="2401" t="s">
        <v>2106</v>
      </c>
      <c r="F15" s="1269" t="s">
        <v>2107</v>
      </c>
      <c r="G15" s="135" t="str">
        <f>G3</f>
        <v>估价对象位于XX开发区，园区建设成熟度XX，产业集聚程度XX</v>
      </c>
    </row>
    <row r="16" spans="1:29" ht="42.75">
      <c r="A16" s="644"/>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4"/>
      <c r="B17" s="2402" t="s">
        <v>2090</v>
      </c>
      <c r="C17" s="2403" t="str">
        <f>C5</f>
        <v>估价对象位于XX商圈，周边办公楼项目较多，入驻率高，办公集聚程度较好</v>
      </c>
      <c r="D17" s="2374"/>
      <c r="E17" s="2404"/>
      <c r="F17" s="2405" t="s">
        <v>2108</v>
      </c>
      <c r="G17" s="1571"/>
    </row>
    <row r="18" spans="1:18" ht="57">
      <c r="A18" s="644"/>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4"/>
      <c r="B19" s="2405" t="s">
        <v>2109</v>
      </c>
      <c r="C19" s="1571"/>
      <c r="D19" s="2368"/>
      <c r="E19" s="2404"/>
      <c r="F19" s="1797" t="s">
        <v>2092</v>
      </c>
      <c r="G19" s="136" t="str">
        <f>G5</f>
        <v>估价对象所在区域公共配套设施齐备情况</v>
      </c>
    </row>
    <row r="20" spans="1:18" ht="28.5">
      <c r="A20" s="644"/>
      <c r="B20" s="2405" t="s">
        <v>2110</v>
      </c>
      <c r="C20" s="2403" t="str">
        <f>C9</f>
        <v>区域自然环境：；人文环境；综合评价环境状况一般</v>
      </c>
      <c r="D20" s="2374"/>
      <c r="E20" s="2404"/>
      <c r="F20" s="1797" t="s">
        <v>2111</v>
      </c>
      <c r="G20" s="136" t="str">
        <f>G6</f>
        <v>估价对象所在区域基础设施水平</v>
      </c>
    </row>
    <row r="21" spans="1:18" ht="28.5">
      <c r="A21" s="644"/>
      <c r="B21" s="1797" t="s">
        <v>2092</v>
      </c>
      <c r="C21" s="136" t="str">
        <f>C7</f>
        <v>估价对象所在区域公共配套设施齐备情况</v>
      </c>
      <c r="D21" s="2368"/>
      <c r="E21" s="2404"/>
      <c r="F21" s="2405" t="s">
        <v>2112</v>
      </c>
      <c r="G21" s="2406"/>
    </row>
    <row r="22" spans="1:18" ht="13.5" customHeight="1">
      <c r="A22" s="644"/>
      <c r="B22" s="1797" t="s">
        <v>2095</v>
      </c>
      <c r="C22" s="136" t="str">
        <f>C8</f>
        <v>估价对象所在区域基础设施水平</v>
      </c>
      <c r="D22" s="2368"/>
      <c r="E22" s="2404"/>
      <c r="F22" s="2405" t="s">
        <v>2101</v>
      </c>
      <c r="G22" s="1571"/>
    </row>
    <row r="23" spans="1:18" s="2365" customFormat="1" ht="15.75" thickBot="1">
      <c r="A23" s="644"/>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4" sqref="G34"/>
    </sheetView>
  </sheetViews>
  <sheetFormatPr defaultRowHeight="13.5"/>
  <cols>
    <col min="1" max="1" width="23.375" style="1740" customWidth="1"/>
    <col min="2" max="9" width="15.75" style="1740" customWidth="1"/>
    <col min="10" max="16384" width="9" style="1740"/>
  </cols>
  <sheetData>
    <row r="1" spans="1:10" ht="16.5">
      <c r="A1" s="1745" t="s">
        <v>1365</v>
      </c>
      <c r="B1" s="1745">
        <f>SUM(B14:B23)</f>
        <v>168.91</v>
      </c>
      <c r="C1" s="1744"/>
      <c r="D1" s="1744"/>
      <c r="E1" s="1744"/>
      <c r="F1" s="1744"/>
      <c r="G1" s="1742"/>
    </row>
    <row r="2" spans="1:10" ht="16.5">
      <c r="A2" s="1745" t="s">
        <v>1353</v>
      </c>
      <c r="B2" s="1745">
        <f>SUM(C14:C23)</f>
        <v>31.79</v>
      </c>
      <c r="C2" s="1744"/>
      <c r="D2" s="1744"/>
      <c r="E2" s="1744"/>
      <c r="F2" s="1744"/>
      <c r="G2" s="1742"/>
    </row>
    <row r="3" spans="1:10" ht="16.5">
      <c r="A3" s="1745" t="s">
        <v>1362</v>
      </c>
      <c r="B3" s="1746">
        <f>项目基本情况!D3</f>
        <v>43202</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666</v>
      </c>
      <c r="C5" s="1745">
        <f ca="1">ROUND(B5*10000/$B$1,0)</f>
        <v>39429</v>
      </c>
      <c r="D5" s="1745">
        <f ca="1">ROUND(B5*10000/$B$2,0)</f>
        <v>209500</v>
      </c>
      <c r="E5" s="1744"/>
      <c r="F5" s="1742"/>
      <c r="G5" s="1742"/>
    </row>
    <row r="6" spans="1:10" ht="16.5">
      <c r="A6" s="1745" t="s">
        <v>1356</v>
      </c>
      <c r="B6" s="1745">
        <f ca="1">SUM(G14:G23)</f>
        <v>666</v>
      </c>
      <c r="C6" s="1745">
        <f ca="1">ROUND(B6*10000/$B$1,0)</f>
        <v>39429</v>
      </c>
      <c r="D6" s="1745">
        <f ca="1">ROUND(B6*10000/$B$2,0)</f>
        <v>209500</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168.91</v>
      </c>
      <c r="C14" s="1743">
        <f>结果表!C118</f>
        <v>31.79</v>
      </c>
      <c r="D14" s="1743">
        <f ca="1">结果表!H118</f>
        <v>666</v>
      </c>
      <c r="E14" s="1743">
        <f ca="1">ROUND(D14*10000/B14,0)</f>
        <v>39429</v>
      </c>
      <c r="F14" s="1743">
        <f ca="1">ROUND(D14*10000/C14,0)</f>
        <v>209500</v>
      </c>
      <c r="G14" s="1743">
        <f ca="1">结果表!D122</f>
        <v>666</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6" sqref="K26"/>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2" t="s">
        <v>2115</v>
      </c>
      <c r="B1" s="2416"/>
      <c r="C1" s="2417" t="s">
        <v>3368</v>
      </c>
      <c r="D1" s="2416"/>
      <c r="E1" s="2416"/>
      <c r="F1" s="2418" t="s">
        <v>2116</v>
      </c>
      <c r="G1" s="2068" t="s">
        <v>3063</v>
      </c>
      <c r="H1" s="2419" t="str">
        <f>IF(G1="现房","——","估价对象范围")</f>
        <v>——</v>
      </c>
      <c r="I1" s="2420" t="s">
        <v>3435</v>
      </c>
    </row>
    <row r="2" spans="1:12" ht="21.75" customHeight="1" thickBot="1">
      <c r="A2" s="3166" t="str">
        <f>项目基本情况!S2</f>
        <v>江苏省宿迁市宿城区水韵城项目部分商业用途房地产</v>
      </c>
      <c r="B2" s="3167"/>
      <c r="C2" s="3167"/>
      <c r="D2" s="3167"/>
      <c r="E2" s="3167"/>
      <c r="F2" s="3167"/>
      <c r="G2" s="3167"/>
      <c r="H2" s="3167"/>
      <c r="I2" s="3168"/>
    </row>
    <row r="3" spans="1:12" ht="12.75">
      <c r="A3" s="3170" t="s">
        <v>2117</v>
      </c>
      <c r="B3" s="3171"/>
      <c r="C3" s="3171"/>
      <c r="D3" s="3171"/>
      <c r="E3" s="3171"/>
      <c r="F3" s="3171"/>
      <c r="G3" s="3171"/>
      <c r="H3" s="3171"/>
      <c r="I3" s="3171"/>
    </row>
    <row r="4" spans="1:12" ht="14.25">
      <c r="A4" s="2423" t="s">
        <v>2118</v>
      </c>
      <c r="B4" s="2424" t="s">
        <v>2119</v>
      </c>
      <c r="C4" s="2425" t="s">
        <v>3372</v>
      </c>
      <c r="D4" s="2425" t="s">
        <v>3379</v>
      </c>
      <c r="E4" s="3163" t="s">
        <v>2120</v>
      </c>
      <c r="F4" s="3164"/>
      <c r="G4" s="3164"/>
      <c r="H4" s="3164"/>
      <c r="I4" s="3172"/>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146" t="s">
        <v>2121</v>
      </c>
      <c r="B5" s="3084">
        <v>25</v>
      </c>
      <c r="C5" s="3149">
        <v>6</v>
      </c>
      <c r="D5" s="3169">
        <v>15</v>
      </c>
      <c r="E5" s="140" t="s">
        <v>2122</v>
      </c>
      <c r="F5" s="2427"/>
      <c r="G5" s="2427"/>
      <c r="H5" s="2427"/>
      <c r="I5" s="1833"/>
    </row>
    <row r="6" spans="1:12" ht="12.75">
      <c r="A6" s="3146"/>
      <c r="B6" s="3084"/>
      <c r="C6" s="3150"/>
      <c r="D6" s="3169"/>
      <c r="E6" s="140" t="s">
        <v>2123</v>
      </c>
      <c r="F6" s="2427"/>
      <c r="G6" s="2427"/>
      <c r="H6" s="2427"/>
      <c r="I6" s="1833"/>
    </row>
    <row r="7" spans="1:12" ht="12.75">
      <c r="A7" s="3146"/>
      <c r="B7" s="3084"/>
      <c r="C7" s="3151"/>
      <c r="D7" s="3169"/>
      <c r="E7" s="140" t="s">
        <v>2124</v>
      </c>
      <c r="F7" s="2427"/>
      <c r="G7" s="2427"/>
      <c r="H7" s="2427"/>
      <c r="I7" s="1833"/>
    </row>
    <row r="8" spans="1:12" ht="12.75">
      <c r="A8" s="3146" t="s">
        <v>2125</v>
      </c>
      <c r="B8" s="3084">
        <v>15</v>
      </c>
      <c r="C8" s="3149">
        <v>5</v>
      </c>
      <c r="D8" s="3169">
        <v>12</v>
      </c>
      <c r="E8" s="140" t="s">
        <v>2126</v>
      </c>
      <c r="F8" s="2427"/>
      <c r="G8" s="2427"/>
      <c r="H8" s="2427"/>
      <c r="I8" s="1833"/>
    </row>
    <row r="9" spans="1:12" ht="12.75">
      <c r="A9" s="3146"/>
      <c r="B9" s="3084"/>
      <c r="C9" s="3151"/>
      <c r="D9" s="3169"/>
      <c r="E9" s="140" t="s">
        <v>2127</v>
      </c>
      <c r="F9" s="2427"/>
      <c r="G9" s="2427"/>
      <c r="H9" s="2427"/>
      <c r="I9" s="1833"/>
    </row>
    <row r="10" spans="1:12" ht="12.75">
      <c r="A10" s="3146" t="s">
        <v>2128</v>
      </c>
      <c r="B10" s="3084">
        <v>15</v>
      </c>
      <c r="C10" s="3149">
        <v>6</v>
      </c>
      <c r="D10" s="3169">
        <v>12</v>
      </c>
      <c r="E10" s="140" t="s">
        <v>2129</v>
      </c>
      <c r="F10" s="2427"/>
      <c r="G10" s="2427"/>
      <c r="H10" s="2427"/>
      <c r="I10" s="1833"/>
    </row>
    <row r="11" spans="1:12" ht="12.75">
      <c r="A11" s="3146"/>
      <c r="B11" s="3084"/>
      <c r="C11" s="3151"/>
      <c r="D11" s="3169"/>
      <c r="E11" s="140" t="s">
        <v>2130</v>
      </c>
      <c r="F11" s="2427"/>
      <c r="G11" s="2427"/>
      <c r="H11" s="2427"/>
      <c r="I11" s="1833"/>
    </row>
    <row r="12" spans="1:12" ht="12.75">
      <c r="A12" s="3146" t="s">
        <v>2131</v>
      </c>
      <c r="B12" s="3084">
        <v>15</v>
      </c>
      <c r="C12" s="3149">
        <v>8</v>
      </c>
      <c r="D12" s="3169">
        <v>12</v>
      </c>
      <c r="E12" s="140" t="s">
        <v>2132</v>
      </c>
      <c r="F12" s="2427"/>
      <c r="G12" s="2427"/>
      <c r="H12" s="2427"/>
      <c r="I12" s="1833"/>
    </row>
    <row r="13" spans="1:12" ht="12.75">
      <c r="A13" s="3146"/>
      <c r="B13" s="3084"/>
      <c r="C13" s="3151"/>
      <c r="D13" s="3169"/>
      <c r="E13" s="140" t="s">
        <v>2133</v>
      </c>
      <c r="F13" s="2427"/>
      <c r="G13" s="2427"/>
      <c r="H13" s="2427"/>
      <c r="I13" s="1833"/>
    </row>
    <row r="14" spans="1:12" ht="12.75">
      <c r="A14" s="3146" t="s">
        <v>2134</v>
      </c>
      <c r="B14" s="3084">
        <v>30</v>
      </c>
      <c r="C14" s="3149">
        <v>8</v>
      </c>
      <c r="D14" s="3169">
        <v>25</v>
      </c>
      <c r="E14" s="140" t="s">
        <v>2135</v>
      </c>
      <c r="F14" s="2427"/>
      <c r="G14" s="2427"/>
      <c r="H14" s="2427"/>
      <c r="I14" s="1833"/>
    </row>
    <row r="15" spans="1:12" ht="12.75">
      <c r="A15" s="3146"/>
      <c r="B15" s="3084"/>
      <c r="C15" s="3150"/>
      <c r="D15" s="3169"/>
      <c r="E15" s="140" t="s">
        <v>2136</v>
      </c>
      <c r="F15" s="2427"/>
      <c r="G15" s="2427"/>
      <c r="H15" s="2427"/>
      <c r="I15" s="1833"/>
    </row>
    <row r="16" spans="1:12" ht="12.75">
      <c r="A16" s="3146"/>
      <c r="B16" s="3084"/>
      <c r="C16" s="3151"/>
      <c r="D16" s="3169"/>
      <c r="E16" s="140" t="s">
        <v>2137</v>
      </c>
      <c r="F16" s="2427"/>
      <c r="G16" s="2427"/>
      <c r="H16" s="2427"/>
      <c r="I16" s="1833"/>
    </row>
    <row r="17" spans="1:35" ht="15">
      <c r="A17" s="2428" t="s">
        <v>2138</v>
      </c>
      <c r="B17" s="64"/>
      <c r="C17" s="141">
        <f>SUM(C5:C16)</f>
        <v>33</v>
      </c>
      <c r="D17" s="141">
        <f>SUM(D5:D16)</f>
        <v>76</v>
      </c>
      <c r="E17" s="138"/>
      <c r="F17" s="138"/>
      <c r="G17" s="138"/>
      <c r="H17" s="138"/>
      <c r="I17" s="138"/>
      <c r="K17" s="2426"/>
      <c r="L17" s="2429" t="s">
        <v>2139</v>
      </c>
      <c r="M17" s="2429" t="s">
        <v>2140</v>
      </c>
    </row>
    <row r="18" spans="1:35" ht="15.75" thickBot="1">
      <c r="A18" s="2430" t="s">
        <v>2141</v>
      </c>
      <c r="B18" s="2431"/>
      <c r="C18" s="142">
        <f>ROUND(C17/SUM(C17:D17),2)</f>
        <v>0.3</v>
      </c>
      <c r="D18" s="142">
        <f>1-C18</f>
        <v>0.7</v>
      </c>
      <c r="E18" s="138"/>
      <c r="F18" s="138"/>
      <c r="G18" s="138"/>
      <c r="H18" s="138"/>
      <c r="I18" s="138"/>
      <c r="K18" s="2426" t="s">
        <v>2142</v>
      </c>
      <c r="L18" s="2426">
        <f>IF(C1="",'数据-汇总表'!E3,SUMIF(项目类型,C1,'数据-汇总表'!E17:E26)+SUMIF(项目类型,C1,'数据-汇总表'!I17:I26))</f>
        <v>168.91</v>
      </c>
      <c r="M18" s="2426">
        <f>IF(C1="",'数据-汇总表'!E3,SUMIF(项目类型,C1,'数据-汇总表'!E17:E26))</f>
        <v>168.91</v>
      </c>
    </row>
    <row r="19" spans="1:35" ht="15">
      <c r="A19" s="2432" t="s">
        <v>2143</v>
      </c>
      <c r="B19" s="2433" t="s">
        <v>2144</v>
      </c>
      <c r="C19" s="143">
        <f ca="1">SUMIF(INDIRECT("'"&amp;C4&amp;"'"&amp;"!A:A"),结果表!B19,INDIRECT("'"&amp;C4&amp;"'"&amp;"!B:B"))</f>
        <v>342</v>
      </c>
      <c r="D19" s="144">
        <f ca="1">SUMIF(INDIRECT("'"&amp;D4&amp;"'"&amp;"!A:A"),结果表!B19,INDIRECT("'"&amp;D4&amp;"'"&amp;"!B:B"))</f>
        <v>805</v>
      </c>
      <c r="E19" s="2432" t="s">
        <v>2145</v>
      </c>
      <c r="F19" s="2433" t="s">
        <v>2144</v>
      </c>
      <c r="G19" s="145">
        <f ca="1">ROUND(C19*$C$18+D19*$D$18,0)</f>
        <v>666</v>
      </c>
      <c r="H19" s="2434" t="s">
        <v>2146</v>
      </c>
      <c r="I19" s="138"/>
      <c r="K19" s="2426" t="s">
        <v>2147</v>
      </c>
      <c r="L19" s="2426">
        <f>IF(C1="",'数据-汇总表'!D3,SUMIF(项目类型,C1,'数据-汇总表'!D17:D26)+SUMIF(项目类型,C1,'数据-汇总表'!H17:H27))</f>
        <v>31.79</v>
      </c>
      <c r="M19" s="2426">
        <f>IF(C1="",'数据-汇总表'!D3,SUMIF(项目类型,C1,'数据-汇总表'!D17:D26))</f>
        <v>31.79</v>
      </c>
    </row>
    <row r="20" spans="1:35" ht="15">
      <c r="A20" s="2435"/>
      <c r="B20" s="1249" t="s">
        <v>2148</v>
      </c>
      <c r="C20" s="146">
        <f ca="1">SUMIF(INDIRECT("'"&amp;C4&amp;"'"&amp;"!A:A"),结果表!B20,INDIRECT("'"&amp;C4&amp;"'"&amp;"!B:B"))</f>
        <v>20247</v>
      </c>
      <c r="D20" s="147">
        <f ca="1">SUMIF(INDIRECT("'"&amp;D4&amp;"'"&amp;"!A:A"),结果表!B20,INDIRECT("'"&amp;D4&amp;"'"&amp;"!B:B"))</f>
        <v>47633</v>
      </c>
      <c r="E20" s="2435"/>
      <c r="F20" s="1249" t="s">
        <v>2148</v>
      </c>
      <c r="G20" s="148">
        <f ca="1">ROUND(C20*$C$18+D20*$D$18,0)</f>
        <v>39417</v>
      </c>
      <c r="H20" s="982" t="s">
        <v>2149</v>
      </c>
      <c r="I20" s="138"/>
    </row>
    <row r="21" spans="1:35" ht="15" customHeight="1" thickBot="1">
      <c r="A21" s="1002"/>
      <c r="B21" s="2436" t="s">
        <v>2150</v>
      </c>
      <c r="C21" s="788">
        <f ca="1">ROUND(C19*10000/L19,0)</f>
        <v>107581</v>
      </c>
      <c r="D21" s="789">
        <f ca="1">ROUND(D19*10000/L19,0)</f>
        <v>253224</v>
      </c>
      <c r="E21" s="1002"/>
      <c r="F21" s="2436" t="s">
        <v>2150</v>
      </c>
      <c r="G21" s="149">
        <f ca="1">ROUND(G19*10000/L19,0)</f>
        <v>209500</v>
      </c>
      <c r="H21" s="2437" t="s">
        <v>2149</v>
      </c>
      <c r="I21" s="138"/>
    </row>
    <row r="22" spans="1:35" ht="15" thickBot="1">
      <c r="A22" s="2278" t="s">
        <v>2151</v>
      </c>
      <c r="B22" s="2438"/>
      <c r="C22" s="2439"/>
      <c r="D22" s="790">
        <f ca="1">IF(C19&lt;D19,D19/C19-1,C19/D19-1)</f>
        <v>1.3538011695906431</v>
      </c>
      <c r="E22" s="138"/>
      <c r="F22" s="138"/>
      <c r="G22" s="138"/>
      <c r="H22" s="138"/>
      <c r="I22" s="138"/>
    </row>
    <row r="23" spans="1:35" ht="13.5" thickBot="1">
      <c r="A23" s="2416"/>
      <c r="B23" s="2416"/>
      <c r="C23" s="2416"/>
      <c r="D23" s="2416"/>
      <c r="E23" s="138"/>
      <c r="F23" s="138"/>
      <c r="G23" s="138"/>
      <c r="H23" s="138"/>
      <c r="I23" s="138"/>
    </row>
    <row r="24" spans="1:35" ht="14.25">
      <c r="A24" s="3140" t="s">
        <v>2152</v>
      </c>
      <c r="B24" s="2433" t="s">
        <v>2144</v>
      </c>
      <c r="C24" s="145">
        <f>IF(B30=0,0,D30)</f>
        <v>0</v>
      </c>
      <c r="D24" s="2440"/>
      <c r="E24" s="138"/>
      <c r="F24" s="138"/>
      <c r="G24" s="138"/>
      <c r="H24" s="138"/>
      <c r="I24" s="138"/>
    </row>
    <row r="25" spans="1:35" ht="14.25">
      <c r="A25" s="3141"/>
      <c r="B25" s="1249" t="s">
        <v>2148</v>
      </c>
      <c r="C25" s="150">
        <f>IF(B30=0,0,C30)</f>
        <v>0</v>
      </c>
      <c r="D25" s="2441"/>
      <c r="E25" s="138"/>
      <c r="F25" s="138"/>
      <c r="G25" s="138"/>
      <c r="H25" s="138"/>
      <c r="I25" s="138"/>
    </row>
    <row r="26" spans="1:35" ht="13.5" customHeight="1">
      <c r="A26" s="2442" t="s">
        <v>2153</v>
      </c>
      <c r="B26" s="151" t="s">
        <v>2154</v>
      </c>
      <c r="C26" s="151" t="s">
        <v>2155</v>
      </c>
      <c r="D26" s="152" t="s">
        <v>2156</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25" t="s">
        <v>3034</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2158</v>
      </c>
      <c r="B32" s="2446"/>
      <c r="C32" s="153">
        <f ca="1">IF(D32="总价",G19-C24,G20-C25)</f>
        <v>666</v>
      </c>
      <c r="D32" s="2447" t="s">
        <v>2159</v>
      </c>
      <c r="E32" s="138"/>
      <c r="F32" s="138"/>
      <c r="G32" s="138"/>
      <c r="H32" s="138"/>
      <c r="I32" s="138"/>
    </row>
    <row r="33" spans="1:15" ht="15">
      <c r="A33" s="959" t="s">
        <v>2160</v>
      </c>
      <c r="B33" s="2448"/>
      <c r="C33" s="2449"/>
      <c r="D33" s="2450"/>
      <c r="E33" s="2451" t="s">
        <v>2161</v>
      </c>
      <c r="F33" s="2452" t="str">
        <f>IF(D32="楼面单价","取值（单价）","取值（总价）")</f>
        <v>取值（总价）</v>
      </c>
      <c r="G33" s="138"/>
      <c r="H33" s="138"/>
      <c r="I33" s="138"/>
    </row>
    <row r="34" spans="1:15" ht="15">
      <c r="A34" s="2453"/>
      <c r="B34" s="2454" t="s">
        <v>2162</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2163</v>
      </c>
      <c r="F34" s="1738"/>
      <c r="G34" s="138"/>
      <c r="H34" s="138"/>
      <c r="I34" s="138"/>
    </row>
    <row r="35" spans="1:15" ht="15.75" thickBot="1">
      <c r="A35" s="2456"/>
      <c r="B35" s="2457" t="s">
        <v>2164</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2165</v>
      </c>
      <c r="F35" s="163"/>
      <c r="G35" s="138"/>
      <c r="H35" s="138"/>
      <c r="I35" s="138"/>
    </row>
    <row r="36" spans="1:15" ht="15.75" thickBot="1">
      <c r="A36" s="3158" t="s">
        <v>2166</v>
      </c>
      <c r="B36" s="2459" t="s">
        <v>2167</v>
      </c>
      <c r="C36" s="154"/>
      <c r="D36" s="2460"/>
      <c r="E36" s="2461"/>
      <c r="F36" s="2462"/>
      <c r="G36" s="138"/>
      <c r="H36" s="138"/>
      <c r="I36" s="138"/>
    </row>
    <row r="37" spans="1:15" ht="15.75" thickBot="1">
      <c r="A37" s="3159"/>
      <c r="B37" s="2264" t="s">
        <v>2168</v>
      </c>
      <c r="C37" s="156"/>
      <c r="D37" s="1394"/>
      <c r="E37" s="1394"/>
      <c r="F37" s="2462"/>
      <c r="G37" s="138"/>
      <c r="H37" s="138"/>
      <c r="I37" s="138"/>
    </row>
    <row r="38" spans="1:15" ht="15.75" thickBot="1">
      <c r="A38" s="3160"/>
      <c r="B38" s="2463" t="s">
        <v>2169</v>
      </c>
      <c r="C38" s="726"/>
      <c r="D38" s="2464" t="s">
        <v>2170</v>
      </c>
      <c r="E38" s="1394"/>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37" t="s">
        <v>2180</v>
      </c>
      <c r="B45" s="3138"/>
      <c r="C45" s="3139"/>
      <c r="D45" s="164">
        <f ca="1">ROUND(H101*F45,0)</f>
        <v>666</v>
      </c>
      <c r="E45" s="165" t="s">
        <v>2181</v>
      </c>
      <c r="F45" s="166">
        <v>1</v>
      </c>
      <c r="G45" s="167" t="s">
        <v>2182</v>
      </c>
      <c r="H45" s="138"/>
      <c r="I45" s="138"/>
      <c r="J45" s="3197" t="s">
        <v>2183</v>
      </c>
      <c r="K45" s="3197"/>
      <c r="L45" s="3197"/>
      <c r="M45" s="3197"/>
      <c r="N45" s="3197"/>
      <c r="O45" s="3197"/>
    </row>
    <row r="46" spans="1:15" ht="14.25" customHeight="1">
      <c r="A46" s="3134" t="s">
        <v>2184</v>
      </c>
      <c r="B46" s="3135"/>
      <c r="C46" s="3135"/>
      <c r="D46" s="3135"/>
      <c r="E46" s="3135"/>
      <c r="F46" s="3135"/>
      <c r="G46" s="3136"/>
      <c r="H46" s="2478"/>
      <c r="I46" s="168"/>
      <c r="J46" s="1811">
        <v>1</v>
      </c>
      <c r="K46" s="3197" t="s">
        <v>2185</v>
      </c>
      <c r="L46" s="3197"/>
      <c r="M46" s="3217"/>
      <c r="N46" s="3217"/>
      <c r="O46" s="3217"/>
    </row>
    <row r="47" spans="1:15" ht="12" customHeight="1">
      <c r="A47" s="169" t="s">
        <v>2186</v>
      </c>
      <c r="B47" s="170"/>
      <c r="C47" s="171"/>
      <c r="D47" s="172" t="s">
        <v>2187</v>
      </c>
      <c r="E47" s="24" t="s">
        <v>2188</v>
      </c>
      <c r="F47" s="173" t="s">
        <v>2189</v>
      </c>
      <c r="G47" s="174" t="s">
        <v>2190</v>
      </c>
      <c r="H47" s="2478"/>
      <c r="I47" s="168"/>
      <c r="J47" s="1811">
        <v>2</v>
      </c>
      <c r="K47" s="3197" t="s">
        <v>2191</v>
      </c>
      <c r="L47" s="3197"/>
      <c r="M47" s="3218">
        <f>'数据-取费表'!B2</f>
        <v>43202</v>
      </c>
      <c r="N47" s="3218"/>
      <c r="O47" s="3218"/>
    </row>
    <row r="48" spans="1:15" ht="25.5">
      <c r="A48" s="3165" t="s">
        <v>2192</v>
      </c>
      <c r="B48" s="3148"/>
      <c r="C48" s="3148"/>
      <c r="D48" s="140">
        <f>IF(H48="情况1",0,IF(H48="情况2",D52,IF(H48="情况3",D53,IF(H48="情况4",D54))))</f>
        <v>0</v>
      </c>
      <c r="E48" s="1800" t="str">
        <f>IF(H48="情况4","(销售额-原购置价)×税（费）率","销售额×税（费）率")</f>
        <v>销售额×税（费）率</v>
      </c>
      <c r="F48" s="175" t="str">
        <f>IF(H48="情况1","免征",'数据-取费表'!B41)</f>
        <v>免征</v>
      </c>
      <c r="G48" s="2479" t="s">
        <v>2193</v>
      </c>
      <c r="H48" s="2480" t="s">
        <v>2194</v>
      </c>
      <c r="I48" s="2478"/>
      <c r="J48" s="1811">
        <v>3</v>
      </c>
      <c r="K48" s="3197" t="s">
        <v>2195</v>
      </c>
      <c r="L48" s="3197"/>
      <c r="M48" s="3219">
        <f ca="1">H101</f>
        <v>666</v>
      </c>
      <c r="N48" s="3219"/>
      <c r="O48" s="3219"/>
    </row>
    <row r="49" spans="1:35" ht="25.5" customHeight="1">
      <c r="A49" s="176" t="s">
        <v>2196</v>
      </c>
      <c r="B49" s="3133" t="s">
        <v>2197</v>
      </c>
      <c r="C49" s="3133"/>
      <c r="D49" s="177">
        <v>0</v>
      </c>
      <c r="E49" s="23" t="s">
        <v>2198</v>
      </c>
      <c r="F49" s="28" t="s">
        <v>34</v>
      </c>
      <c r="G49" s="3203"/>
      <c r="H49" s="138"/>
      <c r="I49" s="2481"/>
      <c r="J49" s="1811">
        <v>4</v>
      </c>
      <c r="K49" s="3197" t="str">
        <f>IF(项目基本情况!E8="房地产抵押价值","房地产抵押价值","抵押担保权已注销时的房地产抵押价值")</f>
        <v>房地产抵押价值</v>
      </c>
      <c r="L49" s="3197"/>
      <c r="M49" s="3219">
        <f ca="1">IF(项目基本情况!E8="房地产抵押价值",H107,H109)</f>
        <v>666</v>
      </c>
      <c r="N49" s="3219"/>
      <c r="O49" s="3219"/>
    </row>
    <row r="50" spans="1:35" ht="25.5" customHeight="1">
      <c r="A50" s="178"/>
      <c r="B50" s="3133" t="s">
        <v>2199</v>
      </c>
      <c r="C50" s="3133"/>
      <c r="D50" s="179"/>
      <c r="E50" s="31"/>
      <c r="F50" s="180"/>
      <c r="G50" s="3204"/>
      <c r="H50" s="138"/>
      <c r="I50" s="2481"/>
      <c r="J50" s="3197" t="s">
        <v>2200</v>
      </c>
      <c r="K50" s="3197"/>
      <c r="L50" s="3197"/>
      <c r="M50" s="3197"/>
      <c r="N50" s="3197"/>
      <c r="O50" s="3197"/>
    </row>
    <row r="51" spans="1:35" ht="12" customHeight="1">
      <c r="A51" s="181"/>
      <c r="B51" s="3133" t="s">
        <v>2201</v>
      </c>
      <c r="C51" s="3133"/>
      <c r="D51" s="182"/>
      <c r="E51" s="30"/>
      <c r="F51" s="180"/>
      <c r="G51" s="3205"/>
      <c r="H51" s="138"/>
      <c r="I51" s="2481"/>
      <c r="J51" s="2482" t="s">
        <v>2202</v>
      </c>
      <c r="K51" s="3197" t="s">
        <v>2203</v>
      </c>
      <c r="L51" s="3197"/>
      <c r="M51" s="2482" t="s">
        <v>2204</v>
      </c>
      <c r="N51" s="2482" t="s">
        <v>2205</v>
      </c>
      <c r="O51" s="2482" t="s">
        <v>2206</v>
      </c>
    </row>
    <row r="52" spans="1:35" ht="24" customHeight="1">
      <c r="A52" s="183" t="s">
        <v>2207</v>
      </c>
      <c r="B52" s="3133" t="s">
        <v>2208</v>
      </c>
      <c r="C52" s="3133"/>
      <c r="D52" s="182">
        <f ca="1">ROUND(D45*'数据-取费表'!B41/(1+'数据-取费表'!C42),0)</f>
        <v>36</v>
      </c>
      <c r="E52" s="11" t="s">
        <v>2209</v>
      </c>
      <c r="F52" s="184">
        <f>'数据-取费表'!B41</f>
        <v>5.6000000000000001E-2</v>
      </c>
      <c r="G52" s="2483"/>
      <c r="H52" s="138"/>
      <c r="I52" s="2481"/>
      <c r="J52" s="1811">
        <v>1</v>
      </c>
      <c r="K52" s="3198" t="s">
        <v>2210</v>
      </c>
      <c r="L52" s="3198"/>
      <c r="M52" s="1753">
        <f>D48</f>
        <v>0</v>
      </c>
      <c r="N52" s="1811" t="str">
        <f>E48</f>
        <v>销售额×税（费）率</v>
      </c>
      <c r="O52" s="1754" t="str">
        <f>F48</f>
        <v>免征</v>
      </c>
    </row>
    <row r="53" spans="1:35" ht="12" customHeight="1">
      <c r="A53" s="183" t="s">
        <v>2211</v>
      </c>
      <c r="B53" s="3156" t="s">
        <v>2212</v>
      </c>
      <c r="C53" s="3157"/>
      <c r="D53" s="182">
        <f ca="1">ROUND(D45*'数据-取费表'!B41/(1+'数据-取费表'!C42),0)</f>
        <v>36</v>
      </c>
      <c r="E53" s="11" t="s">
        <v>2209</v>
      </c>
      <c r="F53" s="184">
        <f>'数据-取费表'!B41</f>
        <v>5.6000000000000001E-2</v>
      </c>
      <c r="G53" s="2483"/>
      <c r="H53" s="138"/>
      <c r="I53" s="2481"/>
      <c r="J53" s="1811">
        <v>2</v>
      </c>
      <c r="K53" s="3198" t="s">
        <v>2213</v>
      </c>
      <c r="L53" s="3198"/>
      <c r="M53" s="1753">
        <f t="shared" ref="M53:O54" ca="1" si="0">D55</f>
        <v>0</v>
      </c>
      <c r="N53" s="1811" t="str">
        <f t="shared" si="0"/>
        <v>销售额×税（费）率</v>
      </c>
      <c r="O53" s="1754">
        <f t="shared" si="0"/>
        <v>5.0000000000000001E-4</v>
      </c>
    </row>
    <row r="54" spans="1:35" ht="12" customHeight="1">
      <c r="A54" s="183" t="s">
        <v>2214</v>
      </c>
      <c r="B54" s="3156" t="s">
        <v>2215</v>
      </c>
      <c r="C54" s="3157"/>
      <c r="D54" s="182">
        <f ca="1">C68</f>
        <v>36</v>
      </c>
      <c r="E54" s="30" t="s">
        <v>2216</v>
      </c>
      <c r="F54" s="184">
        <f>'数据-取费表'!B41</f>
        <v>5.6000000000000001E-2</v>
      </c>
      <c r="G54" s="2483"/>
      <c r="H54" s="2484"/>
      <c r="I54" s="2481"/>
      <c r="J54" s="1811">
        <v>3</v>
      </c>
      <c r="K54" s="3198" t="s">
        <v>2217</v>
      </c>
      <c r="L54" s="3198"/>
      <c r="M54" s="1753">
        <f t="shared" ca="1" si="0"/>
        <v>377</v>
      </c>
      <c r="N54" s="1811" t="str">
        <f t="shared" si="0"/>
        <v>增值额×税（费）率</v>
      </c>
      <c r="O54" s="1755" t="str">
        <f t="shared" si="0"/>
        <v>——</v>
      </c>
    </row>
    <row r="55" spans="1:35" ht="24" customHeight="1">
      <c r="A55" s="3147" t="s">
        <v>2218</v>
      </c>
      <c r="B55" s="3148"/>
      <c r="C55" s="3148"/>
      <c r="D55" s="185">
        <f ca="1">IF(H55="个人住宅",0,ROUND(D45*I55,0))</f>
        <v>0</v>
      </c>
      <c r="E55" s="11" t="s">
        <v>2219</v>
      </c>
      <c r="F55" s="184">
        <f>IF(H55="正常",I55,"免征")</f>
        <v>5.0000000000000001E-4</v>
      </c>
      <c r="G55" s="2483"/>
      <c r="H55" s="2480" t="s">
        <v>2220</v>
      </c>
      <c r="I55" s="186">
        <f>'数据-取费表'!B49</f>
        <v>5.0000000000000001E-4</v>
      </c>
      <c r="J55" s="1811" t="str">
        <f>IF(H59="非个人房产","",4)</f>
        <v/>
      </c>
      <c r="K55" s="3198" t="str">
        <f>IF(H59="非个人房产","——","个人所得税")</f>
        <v>——</v>
      </c>
      <c r="L55" s="3198"/>
      <c r="M55" s="1756" t="str">
        <f>D59</f>
        <v>——</v>
      </c>
      <c r="N55" s="1809" t="str">
        <f>E59</f>
        <v>——</v>
      </c>
      <c r="O55" s="1757" t="str">
        <f>F59</f>
        <v>——</v>
      </c>
    </row>
    <row r="56" spans="1:35" ht="24.75">
      <c r="A56" s="3147" t="s">
        <v>2221</v>
      </c>
      <c r="B56" s="3148"/>
      <c r="C56" s="3148"/>
      <c r="D56" s="185">
        <f ca="1">IF(H56="个人住宅",D57,D58)</f>
        <v>377</v>
      </c>
      <c r="E56" s="11" t="s">
        <v>2222</v>
      </c>
      <c r="F56" s="184" t="str">
        <f>IF(H56="正常",F58,"免征")</f>
        <v>——</v>
      </c>
      <c r="G56" s="2485" t="s">
        <v>2223</v>
      </c>
      <c r="H56" s="2486" t="s">
        <v>2220</v>
      </c>
      <c r="I56" s="2487"/>
      <c r="J56" s="1811" t="str">
        <f>IF(项目基本情况!K6="上海银行",IF(J55="",4,J55+1),"")</f>
        <v/>
      </c>
      <c r="K56" s="3221" t="str">
        <f>IF(项目基本情况!K6="上海银行","其他处置费用","")</f>
        <v/>
      </c>
      <c r="L56" s="3222"/>
      <c r="M56" s="1753" t="str">
        <f>IF(项目基本情况!K6="上海银行",M69,"")</f>
        <v/>
      </c>
      <c r="N56" s="3224" t="str">
        <f>IF(项目基本情况!K6="上海银行","包含处置中涉及的律师、诉讼、拍卖、评估等费用","")</f>
        <v/>
      </c>
      <c r="O56" s="3225"/>
    </row>
    <row r="57" spans="1:35" ht="12.75">
      <c r="A57" s="183" t="s">
        <v>2196</v>
      </c>
      <c r="B57" s="3163" t="s">
        <v>2224</v>
      </c>
      <c r="C57" s="3172"/>
      <c r="D57" s="187">
        <v>0</v>
      </c>
      <c r="E57" s="23" t="s">
        <v>2198</v>
      </c>
      <c r="F57" s="155"/>
      <c r="G57" s="2483"/>
      <c r="H57" s="2487"/>
      <c r="I57" s="2487"/>
      <c r="J57" s="3198">
        <f>IF(AND(J55="",J56=""),4,IF(项目基本情况!K6="上海银行",结果表!J56+1,结果表!J55+1))</f>
        <v>4</v>
      </c>
      <c r="K57" s="3198" t="s">
        <v>2225</v>
      </c>
      <c r="L57" s="2488" t="s">
        <v>2226</v>
      </c>
      <c r="M57" s="1758"/>
      <c r="N57" s="1759">
        <f ca="1">SUMIF(M52:M56,"&lt;9e307")</f>
        <v>377</v>
      </c>
      <c r="O57" s="2489"/>
      <c r="P57" s="1752">
        <f ca="1">N57/M49</f>
        <v>0.56606606606606602</v>
      </c>
    </row>
    <row r="58" spans="1:35" ht="24.75">
      <c r="A58" s="183" t="s">
        <v>2207</v>
      </c>
      <c r="B58" s="3163" t="s">
        <v>2227</v>
      </c>
      <c r="C58" s="3164"/>
      <c r="D58" s="185">
        <f ca="1">IF(H58="转让取得",C81,C97)</f>
        <v>377</v>
      </c>
      <c r="E58" s="11" t="s">
        <v>2222</v>
      </c>
      <c r="F58" s="24" t="s">
        <v>34</v>
      </c>
      <c r="G58" s="2483"/>
      <c r="H58" s="2486" t="s">
        <v>2228</v>
      </c>
      <c r="I58" s="2487"/>
      <c r="J58" s="3198"/>
      <c r="K58" s="3198"/>
      <c r="L58" s="2488" t="s">
        <v>2229</v>
      </c>
      <c r="M58" s="1760"/>
      <c r="N58" s="2490" t="str">
        <f ca="1">NUMBERSTRING(INT(N57*10000),2)&amp;"元整"</f>
        <v>叁佰柒拾柒万元整</v>
      </c>
      <c r="O58" s="2491"/>
    </row>
    <row r="59" spans="1:35" ht="24.75" thickBot="1">
      <c r="A59" s="3201" t="s">
        <v>2230</v>
      </c>
      <c r="B59" s="3202"/>
      <c r="C59" s="3202"/>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199">
        <f>J57+1</f>
        <v>5</v>
      </c>
      <c r="K59" s="3198" t="s">
        <v>2232</v>
      </c>
      <c r="L59" s="1811" t="s">
        <v>2226</v>
      </c>
      <c r="M59" s="1761"/>
      <c r="N59" s="1762">
        <f ca="1">M49-N57</f>
        <v>289</v>
      </c>
      <c r="O59" s="2493"/>
    </row>
    <row r="60" spans="1:35" ht="12" customHeight="1">
      <c r="A60" s="2494"/>
      <c r="B60" s="2416"/>
      <c r="C60" s="2416"/>
      <c r="D60" s="2416"/>
      <c r="E60" s="2163"/>
      <c r="F60" s="2487"/>
      <c r="G60" s="2487"/>
      <c r="H60" s="2495"/>
      <c r="I60" s="138"/>
      <c r="J60" s="3200"/>
      <c r="K60" s="3198"/>
      <c r="L60" s="2488" t="s">
        <v>2229</v>
      </c>
      <c r="M60" s="1760"/>
      <c r="N60" s="2490" t="str">
        <f ca="1">NUMBERSTRING(INT(N59*10000),2)&amp;"元整"</f>
        <v>贰佰捌拾玖万元整</v>
      </c>
      <c r="O60" s="2491"/>
    </row>
    <row r="61" spans="1:35" ht="13.5" thickBot="1">
      <c r="A61" s="3145" t="s">
        <v>2233</v>
      </c>
      <c r="B61" s="3145"/>
      <c r="C61" s="3145"/>
      <c r="D61" s="3145"/>
      <c r="E61" s="3145"/>
      <c r="F61" s="2487"/>
      <c r="G61" s="2487"/>
      <c r="H61" s="2495"/>
      <c r="I61" s="138"/>
      <c r="J61" s="1811">
        <f>J59+1</f>
        <v>6</v>
      </c>
      <c r="K61" s="3198" t="s">
        <v>2234</v>
      </c>
      <c r="L61" s="3198"/>
      <c r="M61" s="1763"/>
      <c r="N61" s="1764">
        <f ca="1">ROUND(N59*10000/'数据-汇总表'!E3,0)</f>
        <v>598</v>
      </c>
      <c r="O61" s="2496"/>
    </row>
    <row r="62" spans="1:35" ht="12.75">
      <c r="A62" s="3161" t="s">
        <v>2235</v>
      </c>
      <c r="B62" s="3162"/>
      <c r="C62" s="1803"/>
      <c r="D62" s="1803" t="s">
        <v>2236</v>
      </c>
      <c r="E62" s="192" t="s">
        <v>2237</v>
      </c>
      <c r="F62" s="2487"/>
      <c r="G62" s="2487"/>
      <c r="H62" s="2495"/>
      <c r="I62" s="138"/>
    </row>
    <row r="63" spans="1:35" ht="12.75">
      <c r="A63" s="203" t="s">
        <v>775</v>
      </c>
      <c r="B63" s="193" t="s">
        <v>2238</v>
      </c>
      <c r="C63" s="194">
        <f ca="1">ROUND((C64+C65)/(1+'数据-取费表'!C42),0)</f>
        <v>634</v>
      </c>
      <c r="D63" s="195"/>
      <c r="E63" s="196"/>
      <c r="F63" s="2487"/>
      <c r="G63" s="2487"/>
      <c r="H63" s="2495"/>
      <c r="I63" s="138"/>
      <c r="J63" s="3223" t="s">
        <v>2239</v>
      </c>
      <c r="K63" s="2497" t="s">
        <v>2240</v>
      </c>
      <c r="L63" s="1751">
        <f ca="1">IF(M49&gt;10000,M49*0.5%,IF(AND(M49&gt;1000,M49&lt;=10000),M49*1%,IF(AND(M49&gt;100,M49&lt;=1000),M49*3%,IF(AND(M49&gt;10,M49&lt;=100),M49*5%,M49*8%))))</f>
        <v>19.98</v>
      </c>
      <c r="M63" s="24">
        <f ca="1">ROUND(L63,1)</f>
        <v>20</v>
      </c>
      <c r="Z63" s="2421"/>
      <c r="AI63" s="2422"/>
    </row>
    <row r="64" spans="1:35" ht="14.25" customHeight="1">
      <c r="A64" s="197" t="s">
        <v>770</v>
      </c>
      <c r="B64" s="198" t="s">
        <v>2241</v>
      </c>
      <c r="C64" s="199">
        <f ca="1">D45</f>
        <v>666</v>
      </c>
      <c r="D64" s="200" t="s">
        <v>32</v>
      </c>
      <c r="E64" s="201"/>
      <c r="F64" s="2487"/>
      <c r="G64" s="2487"/>
      <c r="H64" s="2495"/>
      <c r="I64" s="138"/>
      <c r="J64" s="3223"/>
      <c r="K64" s="2497" t="s">
        <v>2242</v>
      </c>
      <c r="L64" s="1751">
        <f ca="1">IF(M49&gt;2000,M49*0.5%,IF(AND(M49&gt;1000,M49&lt;=2000),M49*0.6%,IF(AND(M49&gt;500,M49&lt;=1000),M49*0.7%,IF(AND(M49&gt;200,M49&lt;=500),M49*0.8%,IF(AND(M49&gt;100,M49&lt;=200),M49*0.9%,IF(AND(M49&gt;50,M49&lt;=100),M49*1%,IF(AND(M49&gt;20,M49&lt;=50),M49*1.5%,IF(AND(M49&gt;10,M49&lt;=20),M49*2%,IF(AND(M49&gt;1,M49&lt;=10),M49*2.5%)))))))))</f>
        <v>4.6619999999999999</v>
      </c>
      <c r="M64" s="24">
        <f t="shared" ref="M64:M65" ca="1" si="1">ROUND(L64,1)</f>
        <v>4.7</v>
      </c>
      <c r="N64" s="138" t="s">
        <v>2243</v>
      </c>
      <c r="Z64" s="2421"/>
      <c r="AI64" s="2422"/>
    </row>
    <row r="65" spans="1:35" ht="14.25" customHeight="1">
      <c r="A65" s="197" t="s">
        <v>771</v>
      </c>
      <c r="B65" s="198" t="s">
        <v>2244</v>
      </c>
      <c r="C65" s="202"/>
      <c r="D65" s="200"/>
      <c r="E65" s="201"/>
      <c r="F65" s="2487"/>
      <c r="G65" s="2487"/>
      <c r="H65" s="2495"/>
      <c r="I65" s="138"/>
      <c r="J65" s="3223"/>
      <c r="K65" s="2497" t="s">
        <v>2245</v>
      </c>
      <c r="L65" s="1751">
        <f ca="1">IF(M49&gt;1000,M49*0.1%,IF(AND(M49&gt;500,M49&lt;=1000),M49*0.5%,IF(AND(M49&gt;50,M49&lt;=500),M49*1%,IF(AND(M49&gt;1,M49&lt;=50),M49*1.5%))))</f>
        <v>3.33</v>
      </c>
      <c r="M65" s="24">
        <f t="shared" ca="1" si="1"/>
        <v>3.3</v>
      </c>
      <c r="N65" s="138" t="s">
        <v>2243</v>
      </c>
      <c r="Z65" s="2421"/>
      <c r="AI65" s="2422"/>
    </row>
    <row r="66" spans="1:35" ht="14.25" customHeight="1">
      <c r="A66" s="203" t="s">
        <v>772</v>
      </c>
      <c r="B66" s="204" t="s">
        <v>2246</v>
      </c>
      <c r="C66" s="205"/>
      <c r="D66" s="206" t="s">
        <v>32</v>
      </c>
      <c r="E66" s="1775" t="s">
        <v>1371</v>
      </c>
      <c r="F66" s="2487"/>
      <c r="G66" s="2487"/>
      <c r="H66" s="2495"/>
      <c r="I66" s="138"/>
      <c r="J66" s="3223"/>
      <c r="K66" s="2497" t="s">
        <v>2247</v>
      </c>
      <c r="L66" s="1751">
        <f ca="1">M49*0.5%</f>
        <v>3.33</v>
      </c>
      <c r="M66" s="24">
        <f ca="1">IF(L66&gt;0.5,0.5,ROUND(L66,0))</f>
        <v>0.5</v>
      </c>
      <c r="N66" s="138" t="s">
        <v>2248</v>
      </c>
      <c r="Z66" s="2421"/>
      <c r="AI66" s="2422"/>
    </row>
    <row r="67" spans="1:35" ht="14.25" customHeight="1">
      <c r="A67" s="203" t="s">
        <v>773</v>
      </c>
      <c r="B67" s="204" t="s">
        <v>2249</v>
      </c>
      <c r="C67" s="207">
        <f ca="1">C63-C66</f>
        <v>634</v>
      </c>
      <c r="D67" s="200" t="s">
        <v>32</v>
      </c>
      <c r="E67" s="201"/>
      <c r="F67" s="2487"/>
      <c r="G67" s="2487"/>
      <c r="H67" s="2495"/>
      <c r="I67" s="138"/>
      <c r="J67" s="3223"/>
      <c r="K67" s="2497" t="s">
        <v>2250</v>
      </c>
      <c r="L67" s="1751">
        <f ca="1">IF(M49&gt;=10000,(8.25+(M49-10000)*0.01%),IF(AND(M49&gt;=8000,M49&lt;10000),(7.85+(M49-8000)*0.02%),IF(AND(M49&gt;=5000,M49&lt;8000),(6.65+(M49-5000)*0.04%),IF(AND(M49&gt;=2000,M49&lt;5000),(4.25+(PM49-2000)*0.08%),IF(AND(M49&gt;=1000,M49&lt;2000),(2.75+(M49-1000)*0.15%),IF(AND(M49&gt;=100,M49&lt;1000),(0.5+(M49-100)*0.25%),IF(AND(M49&gt;0,M49&lt;100),M49*0.5%)))))))</f>
        <v>1.915</v>
      </c>
      <c r="M67" s="24">
        <f ca="1">ROUND(L67*0.9,1)</f>
        <v>1.7</v>
      </c>
      <c r="Z67" s="2421"/>
      <c r="AI67" s="2422"/>
    </row>
    <row r="68" spans="1:35" ht="14.25" customHeight="1" thickBot="1">
      <c r="A68" s="208" t="s">
        <v>774</v>
      </c>
      <c r="B68" s="209" t="s">
        <v>2251</v>
      </c>
      <c r="C68" s="210">
        <f ca="1">IF(C67&lt;=0,0,ROUND(C67*D68,0))</f>
        <v>36</v>
      </c>
      <c r="D68" s="211">
        <f>'数据-取费表'!B41</f>
        <v>5.6000000000000001E-2</v>
      </c>
      <c r="E68" s="212"/>
      <c r="F68" s="2487"/>
      <c r="G68" s="2487"/>
      <c r="H68" s="2495"/>
      <c r="I68" s="138"/>
      <c r="J68" s="3223"/>
      <c r="K68" s="2497" t="s">
        <v>2252</v>
      </c>
      <c r="L68" s="1751">
        <f ca="1">IF(M49&gt;10000,M49*0.5%,IF(AND(M49&gt;5000,M49&lt;=10000),M49*1%,IF(AND(M49&gt;1000,M49&lt;=5000),M49*2%,IF(AND(M49&gt;200,M49&lt;=1000),M49*3%,M49*5%))))</f>
        <v>19.98</v>
      </c>
      <c r="M68" s="24">
        <f ca="1">ROUND(L68,1)</f>
        <v>20</v>
      </c>
      <c r="Z68" s="2421"/>
      <c r="AI68" s="2422"/>
    </row>
    <row r="69" spans="1:35" s="2444" customFormat="1" ht="16.5" customHeight="1">
      <c r="A69" s="2498"/>
      <c r="B69" s="2499"/>
      <c r="C69" s="2500"/>
      <c r="D69" s="2501"/>
      <c r="E69" s="2502"/>
      <c r="F69" s="2163"/>
      <c r="G69" s="2163"/>
      <c r="H69" s="2162"/>
      <c r="I69" s="2416"/>
      <c r="J69" s="3223"/>
      <c r="K69" s="2497" t="s">
        <v>2253</v>
      </c>
      <c r="L69" s="2503"/>
      <c r="M69" s="24">
        <f ca="1">ROUND(SUM(M63:M68),0)</f>
        <v>50</v>
      </c>
      <c r="N69" s="1752">
        <f ca="1">M69/M49</f>
        <v>7.5075075075075076E-2</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82" t="s">
        <v>2254</v>
      </c>
      <c r="B70" s="3183"/>
      <c r="C70" s="3183"/>
      <c r="D70" s="3183"/>
      <c r="E70" s="3183"/>
      <c r="F70" s="3183"/>
      <c r="G70" s="3183"/>
      <c r="H70" s="3183"/>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61" t="s">
        <v>2235</v>
      </c>
      <c r="B71" s="3162"/>
      <c r="C71" s="1803"/>
      <c r="D71" s="1803"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634</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4</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56" t="s">
        <v>2263</v>
      </c>
      <c r="F76" s="3133"/>
      <c r="G76" s="3133"/>
      <c r="H76" s="3181"/>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7" t="str">
        <f>IF(G77="个人买卖住房","免征印花税"," ")</f>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4</v>
      </c>
      <c r="D78" s="226">
        <f>'数据-取费表'!B43</f>
        <v>6.000000000000001E-3</v>
      </c>
      <c r="E78" s="3142" t="s">
        <v>2268</v>
      </c>
      <c r="F78" s="3143"/>
      <c r="G78" s="3143"/>
      <c r="H78" s="3152"/>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630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157.5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377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82" t="s">
        <v>2272</v>
      </c>
      <c r="B83" s="3183"/>
      <c r="C83" s="3183"/>
      <c r="D83" s="3183"/>
      <c r="E83" s="3183"/>
      <c r="F83" s="3183"/>
      <c r="G83" s="3183"/>
      <c r="H83" s="3183"/>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61" t="s">
        <v>2235</v>
      </c>
      <c r="B84" s="3162"/>
      <c r="C84" s="1803"/>
      <c r="D84" s="1803"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634</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4</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9"/>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42" t="s">
        <v>2281</v>
      </c>
      <c r="F91" s="3143"/>
      <c r="G91" s="3143"/>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42" t="s">
        <v>2285</v>
      </c>
      <c r="F92" s="3143"/>
      <c r="G92" s="3143"/>
      <c r="H92" s="3152"/>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4</v>
      </c>
      <c r="D93" s="226">
        <f>'数据-取费表'!B43</f>
        <v>6.000000000000001E-3</v>
      </c>
      <c r="E93" s="3142" t="s">
        <v>2268</v>
      </c>
      <c r="F93" s="3143"/>
      <c r="G93" s="3143"/>
      <c r="H93" s="3152"/>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53" t="s">
        <v>2289</v>
      </c>
      <c r="F94" s="3154"/>
      <c r="G94" s="3154"/>
      <c r="H94" s="315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630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157.5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377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127" t="s">
        <v>2291</v>
      </c>
      <c r="B100" s="3128"/>
      <c r="C100" s="3128"/>
      <c r="D100" s="3144"/>
      <c r="E100" s="3128" t="s">
        <v>2292</v>
      </c>
      <c r="F100" s="3128"/>
      <c r="G100" s="3128"/>
      <c r="H100" s="3144"/>
      <c r="I100" s="138"/>
    </row>
    <row r="101" spans="1:35" ht="18.75" customHeight="1">
      <c r="A101" s="3206" t="s">
        <v>2293</v>
      </c>
      <c r="B101" s="3207"/>
      <c r="C101" s="735" t="str">
        <f>C4</f>
        <v>收益法</v>
      </c>
      <c r="D101" s="736" t="str">
        <f>D4</f>
        <v>比较法-商业</v>
      </c>
      <c r="E101" s="3220" t="s">
        <v>2294</v>
      </c>
      <c r="F101" s="3174"/>
      <c r="G101" s="2518" t="s">
        <v>2295</v>
      </c>
      <c r="H101" s="1047">
        <f ca="1">H118</f>
        <v>666</v>
      </c>
      <c r="I101" s="138"/>
    </row>
    <row r="102" spans="1:35" ht="18.75" customHeight="1">
      <c r="A102" s="3176" t="s">
        <v>2296</v>
      </c>
      <c r="B102" s="2518" t="s">
        <v>2295</v>
      </c>
      <c r="C102" s="735">
        <f ca="1">C19</f>
        <v>342</v>
      </c>
      <c r="D102" s="736">
        <f ca="1">D19</f>
        <v>805</v>
      </c>
      <c r="E102" s="3220"/>
      <c r="F102" s="3174"/>
      <c r="G102" s="2518" t="s">
        <v>2297</v>
      </c>
      <c r="H102" s="371">
        <f ca="1">I118</f>
        <v>39429</v>
      </c>
      <c r="I102" s="138"/>
    </row>
    <row r="103" spans="1:35" ht="42.75" customHeight="1">
      <c r="A103" s="3176"/>
      <c r="B103" s="2518" t="s">
        <v>2297</v>
      </c>
      <c r="C103" s="737">
        <f ca="1">C20</f>
        <v>20247</v>
      </c>
      <c r="D103" s="738">
        <f ca="1">D20</f>
        <v>47633</v>
      </c>
      <c r="E103" s="3215" t="s">
        <v>2298</v>
      </c>
      <c r="F103" s="3216"/>
      <c r="G103" s="2519" t="s">
        <v>2299</v>
      </c>
      <c r="H103" s="1047">
        <f>IF(D36="正常操作",H104+H105+H106,H105+H106)</f>
        <v>0</v>
      </c>
      <c r="I103" s="138"/>
    </row>
    <row r="104" spans="1:35" ht="18.75" customHeight="1">
      <c r="A104" s="3176" t="s">
        <v>2300</v>
      </c>
      <c r="B104" s="2520" t="s">
        <v>2295</v>
      </c>
      <c r="C104" s="739">
        <f ca="1">H118</f>
        <v>666</v>
      </c>
      <c r="D104" s="740"/>
      <c r="E104" s="2264" t="s">
        <v>2301</v>
      </c>
      <c r="F104" s="2255"/>
      <c r="G104" s="2519" t="s">
        <v>2299</v>
      </c>
      <c r="H104" s="1048">
        <f>IF(D36="同一抵押权人同一抵押物续贷",C36&amp;"（未扣减，详见特别提示）",C36)</f>
        <v>0</v>
      </c>
      <c r="I104" s="138"/>
    </row>
    <row r="105" spans="1:35" ht="18.75" customHeight="1" thickBot="1">
      <c r="A105" s="3177"/>
      <c r="B105" s="2521" t="s">
        <v>2297</v>
      </c>
      <c r="C105" s="741">
        <f ca="1">I118</f>
        <v>39429</v>
      </c>
      <c r="D105" s="742"/>
      <c r="E105" s="2264" t="s">
        <v>2302</v>
      </c>
      <c r="F105" s="2255"/>
      <c r="G105" s="2519" t="s">
        <v>2299</v>
      </c>
      <c r="H105" s="1048">
        <f>C37</f>
        <v>0</v>
      </c>
      <c r="I105" s="138"/>
    </row>
    <row r="106" spans="1:35" ht="18.75" customHeight="1">
      <c r="A106" s="2416" t="s">
        <v>2303</v>
      </c>
      <c r="B106" s="2416"/>
      <c r="C106" s="2416"/>
      <c r="D106" s="2416"/>
      <c r="E106" s="2522" t="s">
        <v>2304</v>
      </c>
      <c r="F106" s="2255"/>
      <c r="G106" s="2519" t="s">
        <v>2299</v>
      </c>
      <c r="H106" s="1048">
        <f>C38</f>
        <v>0</v>
      </c>
      <c r="I106" s="138"/>
    </row>
    <row r="107" spans="1:35" ht="18.75" customHeight="1">
      <c r="A107" s="138"/>
      <c r="B107" s="138"/>
      <c r="C107" s="138"/>
      <c r="D107" s="138"/>
      <c r="E107" s="3173" t="str">
        <f>IF(项目基本情况!E8="已注销","——","3.房地产抵押价值")</f>
        <v>3.房地产抵押价值</v>
      </c>
      <c r="F107" s="3174"/>
      <c r="G107" s="2518" t="s">
        <v>2295</v>
      </c>
      <c r="H107" s="1047">
        <f ca="1">IF(E107="——","——",H101-H103)</f>
        <v>666</v>
      </c>
      <c r="I107" s="138"/>
    </row>
    <row r="108" spans="1:35" ht="18.75" customHeight="1">
      <c r="A108" s="138"/>
      <c r="B108" s="138"/>
      <c r="C108" s="138"/>
      <c r="D108" s="138"/>
      <c r="E108" s="3173"/>
      <c r="F108" s="3174"/>
      <c r="G108" s="2518" t="s">
        <v>2297</v>
      </c>
      <c r="H108" s="371">
        <f ca="1">ROUND(H107*10000/'数据-汇总表'!E3,0)</f>
        <v>1378</v>
      </c>
      <c r="I108" s="138"/>
    </row>
    <row r="109" spans="1:35" ht="18.75" customHeight="1">
      <c r="A109" s="138"/>
      <c r="B109" s="138"/>
      <c r="C109" s="138"/>
      <c r="D109" s="138"/>
      <c r="E109" s="3173" t="str">
        <f>IF(项目基本情况!E8="已注销及未注销","4.抵押担保权已注销时的房地产抵押价值",IF(项目基本情况!E8="已注销","3.抵押担保权已注销时的房地产抵押价值","——"))</f>
        <v>——</v>
      </c>
      <c r="F109" s="3174"/>
      <c r="G109" s="2518" t="s">
        <v>2295</v>
      </c>
      <c r="H109" s="348" t="str">
        <f>IF(E109="——","——",H101-H105-H106)</f>
        <v>——</v>
      </c>
      <c r="I109" s="138"/>
    </row>
    <row r="110" spans="1:35" ht="18.75" customHeight="1">
      <c r="A110" s="138"/>
      <c r="B110" s="138"/>
      <c r="C110" s="138"/>
      <c r="D110" s="138"/>
      <c r="E110" s="3173"/>
      <c r="F110" s="3174"/>
      <c r="G110" s="2518" t="s">
        <v>2297</v>
      </c>
      <c r="H110" s="371" t="str">
        <f>IF(H109="——","——",ROUND(H109*10000/'数据-汇总表'!E3,0))</f>
        <v>——</v>
      </c>
      <c r="I110" s="138"/>
    </row>
    <row r="111" spans="1:35" ht="18.75" customHeight="1">
      <c r="A111" s="138"/>
      <c r="B111" s="138"/>
      <c r="C111" s="138"/>
      <c r="D111" s="138"/>
      <c r="E111" s="3208" t="str">
        <f>IF(项目基本情况!E9="抵押净值",IF(OR(项目基本情况!E8="已注销",项目基本情况!E8="房地产抵押价值"),"4.抵押净值","5.抵押净值"),"——")</f>
        <v>——</v>
      </c>
      <c r="F111" s="3209"/>
      <c r="G111" s="2518" t="s">
        <v>2295</v>
      </c>
      <c r="H111" s="1047" t="str">
        <f>IF(E111="——","——",N59)</f>
        <v>——</v>
      </c>
      <c r="I111" s="138"/>
    </row>
    <row r="112" spans="1:35" ht="18.75" customHeight="1" thickBot="1">
      <c r="A112" s="138"/>
      <c r="B112" s="138"/>
      <c r="C112" s="138"/>
      <c r="D112" s="138"/>
      <c r="E112" s="3210"/>
      <c r="F112" s="3211"/>
      <c r="G112" s="2523" t="s">
        <v>2297</v>
      </c>
      <c r="H112" s="789" t="str">
        <f>IF(E111="——","——",N61)</f>
        <v>——</v>
      </c>
      <c r="I112" s="138"/>
    </row>
    <row r="113" spans="1:11" ht="18.75" customHeight="1">
      <c r="A113" s="138"/>
      <c r="B113" s="138"/>
      <c r="C113" s="138"/>
      <c r="D113" s="138"/>
      <c r="E113" s="3178" t="s">
        <v>2303</v>
      </c>
      <c r="F113" s="3178"/>
      <c r="G113" s="3178"/>
      <c r="H113" s="3178"/>
      <c r="I113" s="138"/>
    </row>
    <row r="114" spans="1:11" ht="3.75" customHeight="1">
      <c r="A114" s="2416"/>
      <c r="B114" s="2416"/>
      <c r="C114" s="2416"/>
      <c r="D114" s="2416"/>
      <c r="E114" s="2494"/>
      <c r="F114" s="2494"/>
      <c r="G114" s="2494"/>
      <c r="H114" s="2494"/>
      <c r="I114" s="2416"/>
    </row>
    <row r="115" spans="1:11" ht="18.75" customHeight="1">
      <c r="A115" s="3191" t="s">
        <v>2305</v>
      </c>
      <c r="B115" s="3192"/>
      <c r="C115" s="3192"/>
      <c r="D115" s="3192"/>
      <c r="E115" s="3192"/>
      <c r="F115" s="3192"/>
      <c r="G115" s="3192"/>
      <c r="H115" s="3192"/>
      <c r="I115" s="3193"/>
    </row>
    <row r="116" spans="1:11" ht="27" customHeight="1">
      <c r="A116" s="3084" t="s">
        <v>2306</v>
      </c>
      <c r="B116" s="3179" t="s">
        <v>2307</v>
      </c>
      <c r="C116" s="3179" t="s">
        <v>2308</v>
      </c>
      <c r="D116" s="3195" t="s">
        <v>2309</v>
      </c>
      <c r="E116" s="3196"/>
      <c r="F116" s="3187" t="s">
        <v>2310</v>
      </c>
      <c r="G116" s="3187"/>
      <c r="H116" s="3084" t="s">
        <v>2311</v>
      </c>
      <c r="I116" s="3084"/>
    </row>
    <row r="117" spans="1:11" ht="18.75" customHeight="1">
      <c r="A117" s="3084"/>
      <c r="B117" s="3180"/>
      <c r="C117" s="3180"/>
      <c r="D117" s="1797" t="s">
        <v>2312</v>
      </c>
      <c r="E117" s="1797" t="s">
        <v>2313</v>
      </c>
      <c r="F117" s="1797" t="s">
        <v>2312</v>
      </c>
      <c r="G117" s="1797" t="s">
        <v>2314</v>
      </c>
      <c r="H117" s="1797" t="s">
        <v>2312</v>
      </c>
      <c r="I117" s="1797" t="s">
        <v>2314</v>
      </c>
    </row>
    <row r="118" spans="1:11" ht="24.75" customHeight="1">
      <c r="A118" s="2524" t="str">
        <f>项目基本情况!S2</f>
        <v>江苏省宿迁市宿城区水韵城项目部分商业用途房地产</v>
      </c>
      <c r="B118" s="1797">
        <f>M18</f>
        <v>168.91</v>
      </c>
      <c r="C118" s="1797">
        <f>M19</f>
        <v>31.79</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666</v>
      </c>
      <c r="I118" s="1797">
        <f ca="1">ROUND(IF(D32="楼面单价",C32,H118*10000/B118),0)</f>
        <v>39429</v>
      </c>
    </row>
    <row r="119" spans="1:11" ht="18.75" customHeight="1">
      <c r="A119" s="3084" t="s">
        <v>2315</v>
      </c>
      <c r="B119" s="3084"/>
      <c r="C119" s="3084"/>
      <c r="D119" s="3184" t="e">
        <f ca="1">NUMBERSTRING(INT(D118*10000),2)&amp;"元整"</f>
        <v>#REF!</v>
      </c>
      <c r="E119" s="3186"/>
      <c r="F119" s="3184" t="e">
        <f ca="1">NUMBERSTRING(INT(F118*10000),2)&amp;"元整"</f>
        <v>#REF!</v>
      </c>
      <c r="G119" s="3186"/>
      <c r="H119" s="3184" t="str">
        <f ca="1">NUMBERSTRING(INT(H118*10000),2)&amp;"元整"</f>
        <v>陆佰陆拾陆万元整</v>
      </c>
      <c r="I119" s="3186"/>
    </row>
    <row r="120" spans="1:11" ht="18.75" customHeight="1">
      <c r="A120" s="3212" t="str">
        <f>IF(项目基本情况!B9="房地产市场价值","",MID(E103,3,LEN(E103)-2))</f>
        <v>估价师知悉的法定优先受偿款</v>
      </c>
      <c r="B120" s="3213"/>
      <c r="C120" s="3214"/>
      <c r="D120" s="3212">
        <f>H103</f>
        <v>0</v>
      </c>
      <c r="E120" s="3213"/>
      <c r="F120" s="3213"/>
      <c r="G120" s="3213"/>
      <c r="H120" s="3213"/>
      <c r="I120" s="3214"/>
      <c r="K120" s="2421" t="str">
        <f>IF(D120=0,"故，本次评估不存在"&amp;A120,"故，本次评估"&amp;A120&amp;"为人民币"&amp;D120&amp;"万元整。")</f>
        <v>故，本次评估不存在估价师知悉的法定优先受偿款</v>
      </c>
    </row>
    <row r="121" spans="1:11" ht="18.75" customHeight="1">
      <c r="A121" s="3188" t="s">
        <v>2315</v>
      </c>
      <c r="B121" s="3189"/>
      <c r="C121" s="3190"/>
      <c r="D121" s="3184" t="str">
        <f>IF(D120=0,"零元整",NUMBERSTRING(INT(D120*10000),2)&amp;"元整")</f>
        <v>零元整</v>
      </c>
      <c r="E121" s="3185"/>
      <c r="F121" s="3185"/>
      <c r="G121" s="3185"/>
      <c r="H121" s="3185"/>
      <c r="I121" s="3186"/>
    </row>
    <row r="122" spans="1:11" ht="18.75" customHeight="1">
      <c r="A122" s="3175" t="str">
        <f>IF(项目基本情况!B9="房地产市场价值","",MID(E107,3,LEN(E107)-2))</f>
        <v>房地产抵押价值</v>
      </c>
      <c r="B122" s="3175"/>
      <c r="C122" s="3175"/>
      <c r="D122" s="3212">
        <f ca="1">H107</f>
        <v>666</v>
      </c>
      <c r="E122" s="3213"/>
      <c r="F122" s="3213"/>
      <c r="G122" s="3213"/>
      <c r="H122" s="3213"/>
      <c r="I122" s="3214"/>
    </row>
    <row r="123" spans="1:11" ht="18.75" customHeight="1">
      <c r="A123" s="3084" t="s">
        <v>2315</v>
      </c>
      <c r="B123" s="3084"/>
      <c r="C123" s="3084"/>
      <c r="D123" s="3184" t="str">
        <f ca="1">NUMBERSTRING(INT(D122*10000),2)&amp;"元整"</f>
        <v>陆佰陆拾陆万元整</v>
      </c>
      <c r="E123" s="3185"/>
      <c r="F123" s="3185"/>
      <c r="G123" s="3185"/>
      <c r="H123" s="3185"/>
      <c r="I123" s="3186"/>
    </row>
    <row r="124" spans="1:11" ht="18.75" customHeight="1">
      <c r="A124" s="3175" t="str">
        <f>IF(项目基本情况!B9="房地产市场价值","",MID(E109,3,LEN(E109)-2))</f>
        <v/>
      </c>
      <c r="B124" s="3175"/>
      <c r="C124" s="3175"/>
      <c r="D124" s="3212" t="str">
        <f>H109</f>
        <v>——</v>
      </c>
      <c r="E124" s="3213"/>
      <c r="F124" s="3213"/>
      <c r="G124" s="3213"/>
      <c r="H124" s="3213"/>
      <c r="I124" s="3214"/>
    </row>
    <row r="125" spans="1:11" ht="18.75" customHeight="1">
      <c r="A125" s="3084" t="s">
        <v>2315</v>
      </c>
      <c r="B125" s="3084"/>
      <c r="C125" s="3084"/>
      <c r="D125" s="3184" t="e">
        <f>NUMBERSTRING(INT(D124*10000),2)&amp;"元整"</f>
        <v>#VALUE!</v>
      </c>
      <c r="E125" s="3185"/>
      <c r="F125" s="3185"/>
      <c r="G125" s="3185"/>
      <c r="H125" s="3185"/>
      <c r="I125" s="3186"/>
    </row>
    <row r="126" spans="1:11" ht="18.75" customHeight="1">
      <c r="A126" s="3175" t="str">
        <f>IF(项目基本情况!B9="房地产市场价值","",MID(E111,3,LEN(E111)-2))</f>
        <v/>
      </c>
      <c r="B126" s="3175"/>
      <c r="C126" s="3175"/>
      <c r="D126" s="3212" t="str">
        <f>H111</f>
        <v>——</v>
      </c>
      <c r="E126" s="3213"/>
      <c r="F126" s="3213"/>
      <c r="G126" s="3213"/>
      <c r="H126" s="3213"/>
      <c r="I126" s="3214"/>
    </row>
    <row r="127" spans="1:11" ht="18.75" customHeight="1">
      <c r="A127" s="3084" t="s">
        <v>2315</v>
      </c>
      <c r="B127" s="3084"/>
      <c r="C127" s="3084"/>
      <c r="D127" s="3184" t="e">
        <f>NUMBERSTRING(INT(D126*10000),2)&amp;"元整"</f>
        <v>#VALUE!</v>
      </c>
      <c r="E127" s="3185"/>
      <c r="F127" s="3185"/>
      <c r="G127" s="3185"/>
      <c r="H127" s="3185"/>
      <c r="I127" s="3186"/>
    </row>
    <row r="128" spans="1:11" ht="21.75" customHeight="1">
      <c r="A128" s="3194" t="s">
        <v>2316</v>
      </c>
      <c r="B128" s="3194"/>
      <c r="C128" s="3194"/>
      <c r="D128" s="3194"/>
      <c r="E128" s="3194"/>
      <c r="F128" s="3194"/>
      <c r="G128" s="3194"/>
      <c r="H128" s="3194"/>
      <c r="I128" s="3194"/>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2319</v>
      </c>
      <c r="G135" s="2542"/>
      <c r="H135" s="2542"/>
      <c r="I135" s="2543" t="s">
        <v>2320</v>
      </c>
    </row>
    <row r="136" spans="1:35" ht="21.75" customHeight="1">
      <c r="A136" s="794"/>
      <c r="B136" s="2544"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2322</v>
      </c>
    </row>
    <row r="139" spans="1:35" ht="21.75" customHeight="1">
      <c r="A139" s="794"/>
      <c r="B139" s="2544" t="s">
        <v>2323</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2322</v>
      </c>
    </row>
    <row r="142" spans="1:35" ht="21.75" customHeight="1">
      <c r="A142" s="794"/>
      <c r="B142" s="2544"/>
      <c r="C142" s="2545"/>
      <c r="D142" s="2546"/>
      <c r="E142" s="2546"/>
      <c r="F142" s="2338"/>
      <c r="G142" s="794"/>
      <c r="H142" s="794"/>
      <c r="I142" s="794"/>
    </row>
    <row r="143" spans="1:35" s="139" customFormat="1" ht="21.75" customHeight="1">
      <c r="A143" s="794"/>
      <c r="B143" s="2544"/>
      <c r="C143" s="2545"/>
      <c r="D143" s="2546"/>
      <c r="E143" s="2546"/>
      <c r="F143" s="2338"/>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c r="C1" s="242"/>
      <c r="D1" s="242"/>
      <c r="E1" s="242"/>
      <c r="F1" s="242"/>
      <c r="G1" s="1381">
        <f>MATCH(B1,'数据-取费表'!A6:A16,0)+5</f>
        <v>8</v>
      </c>
    </row>
    <row r="2" spans="1:9" s="244" customFormat="1" ht="18" customHeight="1">
      <c r="A2" s="245" t="s">
        <v>2325</v>
      </c>
      <c r="B2" s="246">
        <f ca="1">IF(D2="——",C52,C52-E2)</f>
        <v>2373</v>
      </c>
      <c r="C2" s="243" t="s">
        <v>2326</v>
      </c>
      <c r="D2" s="2547" t="s">
        <v>70</v>
      </c>
      <c r="E2" s="1442"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4909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0</v>
      </c>
      <c r="D5" s="255" t="s">
        <v>2332</v>
      </c>
      <c r="E5" s="256" t="s">
        <v>2333</v>
      </c>
      <c r="F5" s="256" t="s">
        <v>2334</v>
      </c>
      <c r="G5" s="257"/>
    </row>
    <row r="6" spans="1:9" s="258" customFormat="1" ht="13.5" customHeight="1">
      <c r="A6" s="951" t="s">
        <v>2335</v>
      </c>
      <c r="B6" s="259" t="s">
        <v>2336</v>
      </c>
      <c r="C6" s="260"/>
      <c r="D6" s="261"/>
      <c r="E6" s="262"/>
      <c r="F6" s="262"/>
      <c r="G6" s="263"/>
    </row>
    <row r="7" spans="1:9" s="258" customFormat="1" ht="13.5" customHeight="1">
      <c r="A7" s="951" t="s">
        <v>2337</v>
      </c>
      <c r="B7" s="259" t="s">
        <v>2338</v>
      </c>
      <c r="C7" s="264">
        <f>ROUND(C6*F7,0)</f>
        <v>0</v>
      </c>
      <c r="D7" s="264"/>
      <c r="E7" s="262"/>
      <c r="F7" s="265">
        <f>'数据-取费表'!B48+'数据-取费表'!B49</f>
        <v>3.0499999999999999E-2</v>
      </c>
      <c r="G7" s="263"/>
    </row>
    <row r="8" spans="1:9" s="267" customFormat="1">
      <c r="A8" s="951" t="s">
        <v>2339</v>
      </c>
      <c r="B8" s="259" t="s">
        <v>2340</v>
      </c>
      <c r="C8" s="264">
        <f>IF(G8="已包含在土地购买价格中","0",IF(B1="",'数据-取费表'!B29,IF(G9="全部缴纳",C9+C10,H9)))</f>
        <v>0</v>
      </c>
      <c r="D8" s="266"/>
      <c r="E8" s="264"/>
      <c r="F8" s="265"/>
      <c r="G8" s="2550"/>
    </row>
    <row r="9" spans="1:9" s="258" customFormat="1" ht="13.5" customHeight="1">
      <c r="A9" s="952" t="s">
        <v>800</v>
      </c>
      <c r="B9" s="268" t="s">
        <v>2341</v>
      </c>
      <c r="C9" s="269">
        <f ca="1">ROUND(D9*E9/10000,0)</f>
        <v>0</v>
      </c>
      <c r="D9" s="1034">
        <f ca="1">IF(B1="",'数据-汇总表'!E5,IF(INDIRECT("'数据-取费表'!c"&amp;$G$1)="住宅",INDIRECT("'数据-取费表'!k"&amp;$G$1),0))</f>
        <v>0</v>
      </c>
      <c r="E9" s="269">
        <f>'数据-取费表'!B27</f>
        <v>100</v>
      </c>
      <c r="F9" s="265"/>
      <c r="G9" s="2551"/>
      <c r="H9" s="1392"/>
      <c r="I9" s="2552" t="s">
        <v>2342</v>
      </c>
    </row>
    <row r="10" spans="1:9" s="258" customFormat="1" ht="13.5" customHeight="1">
      <c r="A10" s="952" t="s">
        <v>801</v>
      </c>
      <c r="B10" s="268" t="s">
        <v>2343</v>
      </c>
      <c r="C10" s="269">
        <f ca="1">ROUND(D10*E10/10000,0)</f>
        <v>48</v>
      </c>
      <c r="D10" s="1034">
        <f ca="1">IF(B1="",'数据-汇总表'!E6,IF(INDIRECT("'数据-取费表'!c"&amp;$G$1)="住宅",INDIRECT("'数据-取费表'!s"&amp;$G$1),INDIRECT("'数据-取费表'!k"&amp;$G$1)+INDIRECT("'数据-取费表'!s"&amp;$G$1)))</f>
        <v>4833.9999999999973</v>
      </c>
      <c r="E10" s="269">
        <f>'数据-取费表'!B28</f>
        <v>100</v>
      </c>
      <c r="F10" s="265"/>
      <c r="G10" s="270"/>
    </row>
    <row r="11" spans="1:9" s="258" customFormat="1" ht="13.5" hidden="1" customHeight="1">
      <c r="A11" s="271" t="s">
        <v>7</v>
      </c>
      <c r="B11" s="259" t="s">
        <v>2344</v>
      </c>
      <c r="C11" s="255"/>
      <c r="D11" s="1036"/>
      <c r="E11" s="262"/>
      <c r="F11" s="262"/>
      <c r="G11" s="263"/>
    </row>
    <row r="12" spans="1:9" s="258" customFormat="1" ht="13.5" hidden="1" customHeight="1">
      <c r="A12" s="271" t="s">
        <v>8</v>
      </c>
      <c r="B12" s="259" t="s">
        <v>2345</v>
      </c>
      <c r="C12" s="255">
        <v>0</v>
      </c>
      <c r="D12" s="1036"/>
      <c r="E12" s="272"/>
      <c r="F12" s="265">
        <v>3.0499999999999999E-2</v>
      </c>
      <c r="G12" s="263"/>
    </row>
    <row r="13" spans="1:9" s="258" customFormat="1" ht="13.5" hidden="1" customHeight="1">
      <c r="A13" s="271" t="s">
        <v>9</v>
      </c>
      <c r="B13" s="259" t="s">
        <v>2346</v>
      </c>
      <c r="C13" s="255"/>
      <c r="D13" s="1036"/>
      <c r="E13" s="262"/>
      <c r="F13" s="262"/>
      <c r="G13" s="263"/>
    </row>
    <row r="14" spans="1:9" s="258" customFormat="1" ht="13.5" hidden="1" customHeight="1">
      <c r="A14" s="271" t="s">
        <v>10</v>
      </c>
      <c r="B14" s="259" t="s">
        <v>2347</v>
      </c>
      <c r="C14" s="255"/>
      <c r="D14" s="1036"/>
      <c r="E14" s="262"/>
      <c r="F14" s="262"/>
      <c r="G14" s="263" t="s">
        <v>2348</v>
      </c>
    </row>
    <row r="15" spans="1:9" s="258" customFormat="1" ht="13.5" hidden="1" customHeight="1">
      <c r="A15" s="271" t="s">
        <v>11</v>
      </c>
      <c r="B15" s="259" t="s">
        <v>2349</v>
      </c>
      <c r="C15" s="264"/>
      <c r="D15" s="1036"/>
      <c r="E15" s="262"/>
      <c r="F15" s="262"/>
      <c r="G15" s="263" t="s">
        <v>2350</v>
      </c>
    </row>
    <row r="16" spans="1:9" s="258" customFormat="1" ht="13.5" hidden="1" customHeight="1">
      <c r="A16" s="271" t="s">
        <v>12</v>
      </c>
      <c r="B16" s="259" t="s">
        <v>2347</v>
      </c>
      <c r="C16" s="264"/>
      <c r="D16" s="1036"/>
      <c r="E16" s="262"/>
      <c r="F16" s="262"/>
      <c r="G16" s="263"/>
    </row>
    <row r="17" spans="1:7" s="258" customFormat="1" ht="13.5" hidden="1" customHeight="1">
      <c r="A17" s="271" t="s">
        <v>13</v>
      </c>
      <c r="B17" s="259" t="s">
        <v>2351</v>
      </c>
      <c r="C17" s="273"/>
      <c r="D17" s="1037"/>
      <c r="E17" s="273"/>
      <c r="F17" s="273"/>
      <c r="G17" s="263" t="s">
        <v>2350</v>
      </c>
    </row>
    <row r="18" spans="1:7" s="258" customFormat="1" ht="13.5" hidden="1" customHeight="1">
      <c r="A18" s="271" t="s">
        <v>14</v>
      </c>
      <c r="B18" s="259" t="s">
        <v>2352</v>
      </c>
      <c r="C18" s="264">
        <v>0</v>
      </c>
      <c r="D18" s="1036"/>
      <c r="E18" s="262"/>
      <c r="F18" s="265">
        <v>3.0499999999999999E-2</v>
      </c>
      <c r="G18" s="263" t="s">
        <v>2353</v>
      </c>
    </row>
    <row r="19" spans="1:7" s="267" customFormat="1" ht="13.5" customHeight="1">
      <c r="A19" s="299" t="s">
        <v>2354</v>
      </c>
      <c r="B19" s="254" t="s">
        <v>2355</v>
      </c>
      <c r="C19" s="255">
        <f ca="1">IF(G19="已包含在土地取得成本中","0",ROUND(D19*E19/10000,0))</f>
        <v>97</v>
      </c>
      <c r="D19" s="1038">
        <f ca="1">D9+D10</f>
        <v>4833.9999999999973</v>
      </c>
      <c r="E19" s="255">
        <f>'数据-取费表'!B31</f>
        <v>200</v>
      </c>
      <c r="F19" s="275"/>
      <c r="G19" s="2550"/>
    </row>
    <row r="20" spans="1:7" s="258" customFormat="1" ht="13.5" customHeight="1">
      <c r="A20" s="299" t="s">
        <v>2356</v>
      </c>
      <c r="B20" s="254" t="s">
        <v>2357</v>
      </c>
      <c r="C20" s="276">
        <f ca="1">ROUND((C5+C19)*F20,0)</f>
        <v>2</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6">
        <f ca="1">ROUND(SUM(C23:C25),0)</f>
        <v>12</v>
      </c>
      <c r="D22" s="279">
        <f ca="1">C26</f>
        <v>1.1999999999999999E-3</v>
      </c>
      <c r="E22" s="280" t="s">
        <v>2361</v>
      </c>
      <c r="F22" s="281">
        <f ca="1">'数据-取费表'!B40</f>
        <v>4.7500000000000001E-2</v>
      </c>
      <c r="G22" s="278" t="str">
        <f>IF('数据-取费表'!B22&lt;=1,"单利计息","复利计息")</f>
        <v>复利计息</v>
      </c>
    </row>
    <row r="23" spans="1:7" s="258" customFormat="1" ht="13.5" customHeight="1">
      <c r="A23" s="953" t="s">
        <v>2365</v>
      </c>
      <c r="B23" s="259" t="s">
        <v>2366</v>
      </c>
      <c r="C23" s="1357">
        <f ca="1">ROUND(IF('数据-取费表'!B22&lt;=1,C5*F22*'数据-取费表'!B23,C5*(POWER((1+F22),'数据-取费表'!B23)-1)),0)</f>
        <v>0</v>
      </c>
      <c r="D23" s="282"/>
      <c r="E23" s="282"/>
      <c r="F23" s="283"/>
      <c r="G23" s="284" t="s">
        <v>2367</v>
      </c>
    </row>
    <row r="24" spans="1:7" s="258" customFormat="1" ht="13.5" customHeight="1">
      <c r="A24" s="953" t="s">
        <v>2368</v>
      </c>
      <c r="B24" s="259" t="s">
        <v>2369</v>
      </c>
      <c r="C24" s="1357">
        <f ca="1">ROUND(IF('数据-取费表'!B22&lt;=1,C19*F22*('数据-取费表'!B19/2+'数据-取费表'!B21),C19*(POWER((1+F22),('数据-取费表'!B19/2+'数据-取费表'!B21))-1)),0)</f>
        <v>12</v>
      </c>
      <c r="D24" s="282"/>
      <c r="E24" s="282"/>
      <c r="F24" s="283"/>
      <c r="G24" s="284" t="s">
        <v>2370</v>
      </c>
    </row>
    <row r="25" spans="1:7" s="258" customFormat="1" ht="24">
      <c r="A25" s="953" t="s">
        <v>2371</v>
      </c>
      <c r="B25" s="259" t="s">
        <v>2372</v>
      </c>
      <c r="C25" s="1357">
        <f ca="1">ROUND(IF('数据-取费表'!B22&lt;=1,C20*F22*'数据-取费表'!B23/2,C20*(POWER((1+F22),'数据-取费表'!B23/2)-1)),0)</f>
        <v>0</v>
      </c>
      <c r="D25" s="282"/>
      <c r="E25" s="285"/>
      <c r="F25" s="283"/>
      <c r="G25" s="286" t="s">
        <v>2373</v>
      </c>
    </row>
    <row r="26" spans="1:7" s="258" customFormat="1">
      <c r="A26" s="953" t="s">
        <v>795</v>
      </c>
      <c r="B26" s="259" t="s">
        <v>2374</v>
      </c>
      <c r="C26" s="282">
        <f ca="1">ROUND(IF('数据-取费表'!B22&lt;=1,F21*F22*'数据-取费表'!B23/2,F21*(POWER((1+F22),'数据-取费表'!B23/2)-1)),4)</f>
        <v>1.1999999999999999E-3</v>
      </c>
      <c r="D26" s="282"/>
      <c r="E26" s="285"/>
      <c r="F26" s="283"/>
      <c r="G26" s="287"/>
    </row>
    <row r="27" spans="1:7" s="258" customFormat="1" ht="24.75">
      <c r="A27" s="299" t="s">
        <v>2375</v>
      </c>
      <c r="B27" s="288" t="s">
        <v>2376</v>
      </c>
      <c r="C27" s="289">
        <f ca="1">C28</f>
        <v>25</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ROUND((C5+C19+C20)*F27*'数据-取费表'!B21/'数据-取费表'!B20,0)</f>
        <v>25</v>
      </c>
      <c r="D28" s="279"/>
      <c r="E28" s="280"/>
      <c r="F28" s="290"/>
      <c r="G28" s="291"/>
    </row>
    <row r="29" spans="1:7" s="258" customFormat="1" ht="13.5" customHeight="1">
      <c r="A29" s="953"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148</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1614</v>
      </c>
      <c r="D33" s="276"/>
      <c r="E33" s="256"/>
      <c r="F33" s="285"/>
      <c r="G33" s="278"/>
    </row>
    <row r="34" spans="1:7" s="302" customFormat="1" ht="13.5" customHeight="1">
      <c r="A34" s="953" t="s">
        <v>791</v>
      </c>
      <c r="B34" s="259" t="s">
        <v>2388</v>
      </c>
      <c r="C34" s="264">
        <f ca="1">IF(B1="",IF(F34=100%,'数据-取费表'!M16,'数据-取费表'!O16),IF(F34=100%,INDIRECT("'数据-取费表'!m"&amp;$G$1)+INDIRECT("'数据-取费表'!t"&amp;$G$1),INDIRECT("'数据-取费表'!o"&amp;$G$1)+INDIRECT("'数据-取费表'!aq"&amp;$G$1)))</f>
        <v>1451</v>
      </c>
      <c r="D34" s="261"/>
      <c r="E34" s="264"/>
      <c r="F34" s="301">
        <f ca="1">IF('数据-取费表'!B24=0,1,IF(B1="",'数据-取费表'!N16,INDIRECT("'数据-取费表'!n"&amp;$G$1)))</f>
        <v>1</v>
      </c>
      <c r="G34" s="263" t="s">
        <v>2389</v>
      </c>
    </row>
    <row r="35" spans="1:7" ht="13.5" customHeight="1">
      <c r="A35" s="953" t="s">
        <v>796</v>
      </c>
      <c r="B35" s="259" t="s">
        <v>2390</v>
      </c>
      <c r="C35" s="264">
        <f ca="1">ROUND(C34*F35,0)</f>
        <v>44</v>
      </c>
      <c r="D35" s="264"/>
      <c r="E35" s="264"/>
      <c r="F35" s="303">
        <f>'数据-取费表'!B33</f>
        <v>0.03</v>
      </c>
      <c r="G35" s="263" t="s">
        <v>2391</v>
      </c>
    </row>
    <row r="36" spans="1:7" ht="24">
      <c r="A36" s="953"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3" t="s">
        <v>798</v>
      </c>
      <c r="B37" s="259" t="s">
        <v>2394</v>
      </c>
      <c r="C37" s="293">
        <f ca="1">ROUND(E37*D37*F34/10000,0)</f>
        <v>97</v>
      </c>
      <c r="D37" s="261">
        <f ca="1">D19</f>
        <v>4833.9999999999973</v>
      </c>
      <c r="E37" s="293">
        <f>'数据-取费表'!B35</f>
        <v>200</v>
      </c>
      <c r="F37" s="303"/>
      <c r="G37" s="305" t="s">
        <v>2395</v>
      </c>
    </row>
    <row r="38" spans="1:7" ht="13.5" customHeight="1">
      <c r="A38" s="953" t="s">
        <v>799</v>
      </c>
      <c r="B38" s="259" t="s">
        <v>2396</v>
      </c>
      <c r="C38" s="264">
        <f ca="1">ROUND(C34*F38,0)</f>
        <v>22</v>
      </c>
      <c r="D38" s="264"/>
      <c r="E38" s="264"/>
      <c r="F38" s="303">
        <f>'数据-取费表'!B36</f>
        <v>1.4999999999999999E-2</v>
      </c>
      <c r="G38" s="263" t="s">
        <v>2391</v>
      </c>
    </row>
    <row r="39" spans="1:7" s="258" customFormat="1" ht="13.5" customHeight="1">
      <c r="A39" s="299" t="s">
        <v>2397</v>
      </c>
      <c r="B39" s="254" t="s">
        <v>2398</v>
      </c>
      <c r="C39" s="276">
        <f ca="1">ROUND(C33*F20,0)</f>
        <v>32</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ROUND(IF('数据-取费表'!B22&lt;=1,C33*F22*'数据-取费表'!B21/2,C33*(POWER((1+F22),'数据-取费表'!B21/2)-1)),0)</f>
        <v>96</v>
      </c>
      <c r="D42" s="282"/>
      <c r="E42" s="282"/>
      <c r="F42" s="283"/>
      <c r="G42" s="3226" t="s">
        <v>2407</v>
      </c>
    </row>
    <row r="43" spans="1:7" ht="13.5" customHeight="1">
      <c r="A43" s="953" t="s">
        <v>792</v>
      </c>
      <c r="B43" s="259" t="s">
        <v>2408</v>
      </c>
      <c r="C43" s="282">
        <f ca="1">ROUND(IF('数据-取费表'!B22&lt;=1,C39*F22*'数据-取费表'!B21/2,C39*(POWER((1+F22),'数据-取费表'!B21/2)-1)),0)</f>
        <v>2</v>
      </c>
      <c r="D43" s="282"/>
      <c r="E43" s="282"/>
      <c r="F43" s="283"/>
      <c r="G43" s="3227"/>
    </row>
    <row r="44" spans="1:7" ht="13.5" customHeight="1">
      <c r="A44" s="953" t="s">
        <v>793</v>
      </c>
      <c r="B44" s="259" t="s">
        <v>2409</v>
      </c>
      <c r="C44" s="282">
        <f ca="1">ROUND(IF('数据-取费表'!B22&lt;=1,C40*F22*'数据-取费表'!B21/2,C40*(POWER((1+F22),'数据-取费表'!B21/2)-1)),4)</f>
        <v>1.1999999999999999E-3</v>
      </c>
      <c r="D44" s="282"/>
      <c r="E44" s="282"/>
      <c r="F44" s="283"/>
      <c r="G44" s="3228"/>
    </row>
    <row r="45" spans="1:7" s="258" customFormat="1" ht="13.5" customHeight="1">
      <c r="A45" s="299" t="s">
        <v>2410</v>
      </c>
      <c r="B45" s="288" t="s">
        <v>2376</v>
      </c>
      <c r="C45" s="289">
        <f ca="1">C46</f>
        <v>412</v>
      </c>
      <c r="D45" s="279">
        <f ca="1">C47</f>
        <v>5.0000000000000001E-3</v>
      </c>
      <c r="E45" s="280" t="s">
        <v>2402</v>
      </c>
      <c r="F45" s="290"/>
      <c r="G45" s="291" t="s">
        <v>2411</v>
      </c>
    </row>
    <row r="46" spans="1:7" s="258" customFormat="1" ht="13.5" customHeight="1">
      <c r="A46" s="953" t="s">
        <v>791</v>
      </c>
      <c r="B46" s="292" t="s">
        <v>2412</v>
      </c>
      <c r="C46" s="293">
        <f ca="1">ROUND((C33+C39)*F27,0)</f>
        <v>412</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2342</v>
      </c>
      <c r="D49" s="276"/>
      <c r="E49" s="276"/>
      <c r="F49" s="308"/>
      <c r="G49" s="278" t="s">
        <v>2417</v>
      </c>
    </row>
    <row r="50" spans="1:7" s="302" customFormat="1" ht="24">
      <c r="A50" s="299" t="s">
        <v>2418</v>
      </c>
      <c r="B50" s="254" t="s">
        <v>2419</v>
      </c>
      <c r="C50" s="276"/>
      <c r="D50" s="276"/>
      <c r="E50" s="276"/>
      <c r="F50" s="308">
        <f>IF('数据-取费表'!B24=0,'数据-取费表'!N16,1)</f>
        <v>0.95</v>
      </c>
      <c r="G50" s="291" t="s">
        <v>2420</v>
      </c>
    </row>
    <row r="51" spans="1:7" ht="16.5" customHeight="1">
      <c r="A51" s="299" t="s">
        <v>2421</v>
      </c>
      <c r="B51" s="254" t="s">
        <v>2422</v>
      </c>
      <c r="C51" s="276">
        <f ca="1">ROUND(C49*F50,0)</f>
        <v>2225</v>
      </c>
      <c r="D51" s="276"/>
      <c r="E51" s="276"/>
      <c r="F51" s="308"/>
      <c r="G51" s="278" t="s">
        <v>2423</v>
      </c>
    </row>
    <row r="52" spans="1:7" s="252" customFormat="1" ht="16.5" thickBot="1">
      <c r="A52" s="309" t="s">
        <v>2424</v>
      </c>
      <c r="B52" s="310"/>
      <c r="C52" s="311">
        <f ca="1">C31+C51</f>
        <v>2373</v>
      </c>
      <c r="D52" s="310"/>
      <c r="E52" s="310"/>
      <c r="F52" s="310"/>
      <c r="G52" s="312"/>
    </row>
    <row r="55" spans="1:7" ht="15">
      <c r="B55" s="314" t="s">
        <v>2425</v>
      </c>
      <c r="C55" s="315"/>
    </row>
    <row r="56" spans="1:7">
      <c r="B56" s="317" t="s">
        <v>1513</v>
      </c>
      <c r="C56" s="319">
        <f ca="1">1-C57</f>
        <v>6.2000000000000055E-2</v>
      </c>
    </row>
    <row r="57" spans="1:7">
      <c r="B57" s="317" t="s">
        <v>1514</v>
      </c>
      <c r="C57" s="318">
        <f ca="1">ROUND(C51/C52,3)</f>
        <v>0.93799999999999994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40" t="str">
        <f>项目基本情况!B1</f>
        <v>江苏省宿迁市宿城区水韵城项目部分商业用途房地产抵押价值预评估</v>
      </c>
      <c r="C37" s="3040"/>
      <c r="D37" s="3040"/>
      <c r="E37" s="3040"/>
      <c r="F37" s="3040"/>
      <c r="G37" s="3040"/>
      <c r="H37" s="3040"/>
      <c r="I37" s="3040"/>
    </row>
    <row r="38" spans="1:9">
      <c r="A38" s="1018"/>
      <c r="B38" s="1018"/>
    </row>
    <row r="39" spans="1:9">
      <c r="A39" s="1016" t="s">
        <v>818</v>
      </c>
      <c r="B39" s="1016" t="s">
        <v>820</v>
      </c>
    </row>
    <row r="40" spans="1:9">
      <c r="A40" s="1016"/>
      <c r="B40" s="1944" t="str">
        <f>项目基本情况!B5</f>
        <v>华融国际信托有限责任公司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c r="C1" s="2553" t="s">
        <v>2426</v>
      </c>
      <c r="D1" s="242"/>
      <c r="E1" s="242"/>
      <c r="F1" s="242"/>
      <c r="G1" s="1381">
        <f>MATCH(B1,'数据-取费表'!A6:A16,0)+5</f>
        <v>8</v>
      </c>
      <c r="H1" s="1284" t="str">
        <f>IF(ISERROR(FIND("住宅",B1)),"非住宅","住宅")</f>
        <v>非住宅</v>
      </c>
    </row>
    <row r="2" spans="1:8" s="244" customFormat="1" ht="18" customHeight="1">
      <c r="A2" s="245" t="s">
        <v>2325</v>
      </c>
      <c r="B2" s="246">
        <f ca="1">ROUND(IF(D2="——",C52/10000,C52/10000-E2),0)</f>
        <v>2443</v>
      </c>
      <c r="C2" s="243" t="s">
        <v>2326</v>
      </c>
      <c r="D2" s="2547" t="s">
        <v>70</v>
      </c>
      <c r="E2" s="1442"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5054</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483400</v>
      </c>
      <c r="D5" s="255" t="s">
        <v>2332</v>
      </c>
      <c r="E5" s="256" t="s">
        <v>2333</v>
      </c>
      <c r="F5" s="256" t="s">
        <v>2334</v>
      </c>
      <c r="G5" s="257"/>
    </row>
    <row r="6" spans="1:8" s="258" customFormat="1" ht="13.5" customHeight="1">
      <c r="A6" s="951" t="s">
        <v>2335</v>
      </c>
      <c r="B6" s="259" t="s">
        <v>2336</v>
      </c>
      <c r="C6" s="260"/>
      <c r="D6" s="261"/>
      <c r="E6" s="262"/>
      <c r="F6" s="262"/>
      <c r="G6" s="263"/>
    </row>
    <row r="7" spans="1:8" s="258" customFormat="1" ht="13.5" customHeight="1">
      <c r="A7" s="951" t="s">
        <v>2337</v>
      </c>
      <c r="B7" s="259" t="s">
        <v>2338</v>
      </c>
      <c r="C7" s="264">
        <f>ROUND(C6*F7,0)</f>
        <v>0</v>
      </c>
      <c r="D7" s="264"/>
      <c r="E7" s="262"/>
      <c r="F7" s="265">
        <f>'数据-取费表'!B48+'数据-取费表'!B49</f>
        <v>3.0499999999999999E-2</v>
      </c>
      <c r="G7" s="263"/>
    </row>
    <row r="8" spans="1:8" s="267" customFormat="1">
      <c r="A8" s="951" t="s">
        <v>2339</v>
      </c>
      <c r="B8" s="259" t="s">
        <v>2340</v>
      </c>
      <c r="C8" s="264">
        <f ca="1">IF(G8="已包含在土地购买价格中",0,C9+C10)</f>
        <v>483400</v>
      </c>
      <c r="D8" s="266"/>
      <c r="E8" s="264"/>
      <c r="F8" s="265"/>
      <c r="G8" s="2550"/>
    </row>
    <row r="9" spans="1:8" s="258" customFormat="1" ht="13.5" customHeight="1">
      <c r="A9" s="952" t="s">
        <v>800</v>
      </c>
      <c r="B9" s="268" t="s">
        <v>2341</v>
      </c>
      <c r="C9" s="269">
        <f ca="1">ROUND(D9*E9,0)</f>
        <v>0</v>
      </c>
      <c r="D9" s="1034">
        <f ca="1">IF(B1="",'数据-汇总表'!E5,IF(INDIRECT("'数据-取费表'!c"&amp;$G$1)="住宅",INDIRECT("'数据-取费表'!k"&amp;$G$1),0))</f>
        <v>0</v>
      </c>
      <c r="E9" s="269">
        <f>'数据-取费表'!B27</f>
        <v>100</v>
      </c>
      <c r="F9" s="265"/>
      <c r="G9" s="270"/>
    </row>
    <row r="10" spans="1:8" s="258" customFormat="1" ht="13.5" customHeight="1">
      <c r="A10" s="952" t="s">
        <v>801</v>
      </c>
      <c r="B10" s="268" t="s">
        <v>2343</v>
      </c>
      <c r="C10" s="269">
        <f ca="1">ROUND(D10*E10,0)</f>
        <v>483400</v>
      </c>
      <c r="D10" s="1034">
        <f ca="1">IF(B1="",'数据-汇总表'!E6,IF(INDIRECT("'数据-取费表'!c"&amp;$G$1)="住宅",INDIRECT("'数据-取费表'!s"&amp;$G$1),INDIRECT("'数据-取费表'!k"&amp;$G$1)+INDIRECT("'数据-取费表'!s"&amp;$G$1)))</f>
        <v>4833.9999999999973</v>
      </c>
      <c r="E10" s="269">
        <f>'数据-取费表'!B28</f>
        <v>100</v>
      </c>
      <c r="F10" s="265"/>
      <c r="G10" s="270"/>
    </row>
    <row r="11" spans="1:8" s="258" customFormat="1" ht="13.5" hidden="1" customHeight="1">
      <c r="A11" s="271" t="s">
        <v>7</v>
      </c>
      <c r="B11" s="259" t="s">
        <v>2344</v>
      </c>
      <c r="C11" s="255"/>
      <c r="D11" s="1036"/>
      <c r="E11" s="262"/>
      <c r="F11" s="262"/>
      <c r="G11" s="263"/>
    </row>
    <row r="12" spans="1:8" s="258" customFormat="1" ht="13.5" hidden="1" customHeight="1">
      <c r="A12" s="271" t="s">
        <v>8</v>
      </c>
      <c r="B12" s="259" t="s">
        <v>2427</v>
      </c>
      <c r="C12" s="255">
        <v>0</v>
      </c>
      <c r="D12" s="1036"/>
      <c r="E12" s="272"/>
      <c r="F12" s="265">
        <v>3.0499999999999999E-2</v>
      </c>
      <c r="G12" s="263"/>
    </row>
    <row r="13" spans="1:8" s="258" customFormat="1" ht="13.5" hidden="1" customHeight="1">
      <c r="A13" s="271" t="s">
        <v>9</v>
      </c>
      <c r="B13" s="259" t="s">
        <v>2428</v>
      </c>
      <c r="C13" s="255"/>
      <c r="D13" s="1036"/>
      <c r="E13" s="262"/>
      <c r="F13" s="262"/>
      <c r="G13" s="263"/>
    </row>
    <row r="14" spans="1:8" s="258" customFormat="1" ht="13.5" hidden="1" customHeight="1">
      <c r="A14" s="271" t="s">
        <v>10</v>
      </c>
      <c r="B14" s="259" t="s">
        <v>2340</v>
      </c>
      <c r="C14" s="255"/>
      <c r="D14" s="1036"/>
      <c r="E14" s="262"/>
      <c r="F14" s="262"/>
      <c r="G14" s="263" t="s">
        <v>2429</v>
      </c>
    </row>
    <row r="15" spans="1:8" s="258" customFormat="1" ht="13.5" hidden="1" customHeight="1">
      <c r="A15" s="271" t="s">
        <v>11</v>
      </c>
      <c r="B15" s="259" t="s">
        <v>2430</v>
      </c>
      <c r="C15" s="264"/>
      <c r="D15" s="1036"/>
      <c r="E15" s="262"/>
      <c r="F15" s="262"/>
      <c r="G15" s="263" t="s">
        <v>2431</v>
      </c>
    </row>
    <row r="16" spans="1:8" s="258" customFormat="1" ht="13.5" hidden="1" customHeight="1">
      <c r="A16" s="271" t="s">
        <v>12</v>
      </c>
      <c r="B16" s="259" t="s">
        <v>2340</v>
      </c>
      <c r="C16" s="264"/>
      <c r="D16" s="1036"/>
      <c r="E16" s="262"/>
      <c r="F16" s="262"/>
      <c r="G16" s="263"/>
    </row>
    <row r="17" spans="1:7" s="258" customFormat="1" ht="13.5" hidden="1" customHeight="1">
      <c r="A17" s="271" t="s">
        <v>13</v>
      </c>
      <c r="B17" s="259" t="s">
        <v>2432</v>
      </c>
      <c r="C17" s="273"/>
      <c r="D17" s="1037"/>
      <c r="E17" s="273"/>
      <c r="F17" s="273"/>
      <c r="G17" s="263" t="s">
        <v>2431</v>
      </c>
    </row>
    <row r="18" spans="1:7" s="258" customFormat="1" ht="13.5" hidden="1" customHeight="1">
      <c r="A18" s="271" t="s">
        <v>14</v>
      </c>
      <c r="B18" s="259" t="s">
        <v>2433</v>
      </c>
      <c r="C18" s="264">
        <v>0</v>
      </c>
      <c r="D18" s="1036"/>
      <c r="E18" s="262"/>
      <c r="F18" s="265">
        <v>3.0499999999999999E-2</v>
      </c>
      <c r="G18" s="263" t="s">
        <v>2434</v>
      </c>
    </row>
    <row r="19" spans="1:7" s="267" customFormat="1" ht="13.5" customHeight="1">
      <c r="A19" s="299" t="s">
        <v>2435</v>
      </c>
      <c r="B19" s="254" t="s">
        <v>2436</v>
      </c>
      <c r="C19" s="255">
        <f ca="1">IF(G19="已包含在土地取得成本中","0",ROUND(D19*E19,0))</f>
        <v>966800</v>
      </c>
      <c r="D19" s="1038">
        <f ca="1">D9+D10</f>
        <v>4833.9999999999973</v>
      </c>
      <c r="E19" s="255">
        <f>'数据-取费表'!B31</f>
        <v>200</v>
      </c>
      <c r="F19" s="275"/>
      <c r="G19" s="2550"/>
    </row>
    <row r="20" spans="1:7" s="258" customFormat="1" ht="13.5" customHeight="1">
      <c r="A20" s="299" t="s">
        <v>2437</v>
      </c>
      <c r="B20" s="254" t="s">
        <v>2438</v>
      </c>
      <c r="C20" s="276">
        <f ca="1">ROUND((C5+C19)*F20,0)</f>
        <v>29004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2">
        <f ca="1">ROUND(SUM(C23:C25),0)</f>
        <v>180127</v>
      </c>
      <c r="D22" s="279">
        <f ca="1">C26</f>
        <v>1.1999999999999999E-3</v>
      </c>
      <c r="E22" s="280" t="s">
        <v>2442</v>
      </c>
      <c r="F22" s="281">
        <f ca="1">'数据-取费表'!B40</f>
        <v>4.7500000000000001E-2</v>
      </c>
      <c r="G22" s="278" t="str">
        <f>IF('数据-取费表'!B22&lt;=1,"单利计息","复利计息")</f>
        <v>复利计息</v>
      </c>
    </row>
    <row r="23" spans="1:7" s="258" customFormat="1" ht="13.5" customHeight="1">
      <c r="A23" s="953" t="s">
        <v>2335</v>
      </c>
      <c r="B23" s="259" t="s">
        <v>2446</v>
      </c>
      <c r="C23" s="1383">
        <f ca="1">ROUND(IF('数据-取费表'!B22&lt;=1,C5*F22*'数据-取费表'!B22,C5*(POWER((1+F22),'数据-取费表'!B22)-1)),0)</f>
        <v>59465</v>
      </c>
      <c r="D23" s="282"/>
      <c r="E23" s="282"/>
      <c r="F23" s="283"/>
      <c r="G23" s="284" t="s">
        <v>2447</v>
      </c>
    </row>
    <row r="24" spans="1:7" s="258" customFormat="1" ht="13.5" customHeight="1">
      <c r="A24" s="953" t="s">
        <v>2337</v>
      </c>
      <c r="B24" s="259" t="s">
        <v>2448</v>
      </c>
      <c r="C24" s="1383">
        <f ca="1">ROUND(IF('数据-取费表'!B22&lt;=1,C19*F22*('数据-取费表'!B19/2+'数据-取费表'!B20),C19*(POWER((1+F22),('数据-取费表'!B19/2+'数据-取费表'!B20))-1)),0)</f>
        <v>118930</v>
      </c>
      <c r="D24" s="282"/>
      <c r="E24" s="282"/>
      <c r="F24" s="283"/>
      <c r="G24" s="284" t="s">
        <v>2449</v>
      </c>
    </row>
    <row r="25" spans="1:7" s="258" customFormat="1" ht="24">
      <c r="A25" s="953" t="s">
        <v>2339</v>
      </c>
      <c r="B25" s="259" t="s">
        <v>2450</v>
      </c>
      <c r="C25" s="1383">
        <f ca="1">ROUND(IF('数据-取费表'!B22&lt;=1,C20*F22*'数据-取费表'!B22/2,C20*(POWER((1+F22),'数据-取费表'!B22/2)-1)),0)</f>
        <v>1732</v>
      </c>
      <c r="D25" s="282"/>
      <c r="E25" s="285"/>
      <c r="F25" s="283"/>
      <c r="G25" s="286" t="s">
        <v>2451</v>
      </c>
    </row>
    <row r="26" spans="1:7" s="258" customFormat="1">
      <c r="A26" s="953" t="s">
        <v>795</v>
      </c>
      <c r="B26" s="259" t="s">
        <v>2374</v>
      </c>
      <c r="C26" s="282">
        <f ca="1">ROUND(IF('数据-取费表'!B22&lt;=1,F21*F22*'数据-取费表'!B22/2,F21*(POWER((1+F22),'数据-取费表'!B22/2)-1)),4)</f>
        <v>1.1999999999999999E-3</v>
      </c>
      <c r="D26" s="282"/>
      <c r="E26" s="285"/>
      <c r="F26" s="283"/>
      <c r="G26" s="287"/>
    </row>
    <row r="27" spans="1:7" s="258" customFormat="1" ht="24.75">
      <c r="A27" s="299" t="s">
        <v>2375</v>
      </c>
      <c r="B27" s="288" t="s">
        <v>2376</v>
      </c>
      <c r="C27" s="289">
        <f ca="1">C28</f>
        <v>369801</v>
      </c>
      <c r="D27" s="279">
        <f ca="1">C29</f>
        <v>5.0000000000000001E-3</v>
      </c>
      <c r="E27" s="280" t="s">
        <v>2377</v>
      </c>
      <c r="F27" s="290">
        <f ca="1">IF(B1="",'数据-取费表'!Q16,INDIRECT("'数据-取费表'!q"&amp;$G$1))</f>
        <v>0.25</v>
      </c>
      <c r="G27" s="291" t="s">
        <v>2378</v>
      </c>
    </row>
    <row r="28" spans="1:7" s="258" customFormat="1" ht="13.5" customHeight="1">
      <c r="A28" s="953" t="s">
        <v>791</v>
      </c>
      <c r="B28" s="292" t="s">
        <v>2379</v>
      </c>
      <c r="C28" s="293">
        <f ca="1">ROUND((C5+C19+C20)*F27,0)</f>
        <v>369801</v>
      </c>
      <c r="D28" s="279"/>
      <c r="E28" s="280"/>
      <c r="F28" s="290"/>
      <c r="G28" s="291"/>
    </row>
    <row r="29" spans="1:7" s="258" customFormat="1" ht="13.5" customHeight="1">
      <c r="A29" s="953"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2204380</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16121390</v>
      </c>
      <c r="D33" s="276"/>
      <c r="E33" s="256"/>
      <c r="F33" s="285"/>
      <c r="G33" s="278"/>
    </row>
    <row r="34" spans="1:7" s="302" customFormat="1" ht="13.5" customHeight="1">
      <c r="A34" s="953" t="s">
        <v>791</v>
      </c>
      <c r="B34" s="259" t="s">
        <v>2388</v>
      </c>
      <c r="C34" s="264">
        <f ca="1">ROUND(IF(B1="",SUMPRODUCT('数据-取费表'!K6:K14,'数据-取费表'!L6:L14),INDIRECT("'数据-取费表'!l"&amp;$G$1)*INDIRECT("'数据-取费表'!k"&amp;$G$1)+'数据-取费表'!L14*INDIRECT("'数据-取费表'!S"&amp;$G$1)),0)</f>
        <v>14502000</v>
      </c>
      <c r="D34" s="261"/>
      <c r="E34" s="264"/>
      <c r="F34" s="301"/>
      <c r="G34" s="263"/>
    </row>
    <row r="35" spans="1:7" ht="13.5" customHeight="1">
      <c r="A35" s="953" t="s">
        <v>796</v>
      </c>
      <c r="B35" s="259" t="s">
        <v>2390</v>
      </c>
      <c r="C35" s="264">
        <f ca="1">ROUND(C34*F35,0)</f>
        <v>435060</v>
      </c>
      <c r="D35" s="264"/>
      <c r="E35" s="264"/>
      <c r="F35" s="303">
        <f>'数据-取费表'!B33</f>
        <v>0.03</v>
      </c>
      <c r="G35" s="263" t="s">
        <v>2391</v>
      </c>
    </row>
    <row r="36" spans="1:7" ht="24">
      <c r="A36" s="953"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3" t="s">
        <v>798</v>
      </c>
      <c r="B37" s="259" t="s">
        <v>2394</v>
      </c>
      <c r="C37" s="293">
        <f ca="1">ROUND(E37*D37,0)</f>
        <v>966800</v>
      </c>
      <c r="D37" s="261">
        <f ca="1">D19</f>
        <v>4833.9999999999973</v>
      </c>
      <c r="E37" s="293">
        <f>'数据-取费表'!B35</f>
        <v>200</v>
      </c>
      <c r="F37" s="303"/>
      <c r="G37" s="305"/>
    </row>
    <row r="38" spans="1:7" ht="13.5" customHeight="1">
      <c r="A38" s="953" t="s">
        <v>799</v>
      </c>
      <c r="B38" s="259" t="s">
        <v>2396</v>
      </c>
      <c r="C38" s="264">
        <f ca="1">ROUND(C34*F38,0)</f>
        <v>217530</v>
      </c>
      <c r="D38" s="264"/>
      <c r="E38" s="264"/>
      <c r="F38" s="303">
        <f>'数据-取费表'!B36</f>
        <v>1.4999999999999999E-2</v>
      </c>
      <c r="G38" s="263" t="s">
        <v>2391</v>
      </c>
    </row>
    <row r="39" spans="1:7" s="258" customFormat="1" ht="13.5" customHeight="1">
      <c r="A39" s="299" t="s">
        <v>2397</v>
      </c>
      <c r="B39" s="254" t="s">
        <v>2398</v>
      </c>
      <c r="C39" s="276">
        <f ca="1">ROUND(C33*F20,0)</f>
        <v>322428</v>
      </c>
      <c r="D39" s="276"/>
      <c r="E39" s="276"/>
      <c r="F39" s="277"/>
      <c r="G39" s="278" t="s">
        <v>2399</v>
      </c>
    </row>
    <row r="40" spans="1:7" s="258" customFormat="1" ht="13.5" customHeight="1">
      <c r="A40" s="299" t="s">
        <v>2400</v>
      </c>
      <c r="B40" s="254" t="s">
        <v>2401</v>
      </c>
      <c r="C40" s="1730">
        <f>F21</f>
        <v>0.02</v>
      </c>
      <c r="D40" s="280" t="s">
        <v>2402</v>
      </c>
      <c r="E40" s="276"/>
      <c r="F40" s="277"/>
      <c r="G40" s="278" t="s">
        <v>2403</v>
      </c>
    </row>
    <row r="41" spans="1:7" s="258" customFormat="1" ht="13.5" customHeight="1">
      <c r="A41" s="299" t="s">
        <v>2404</v>
      </c>
      <c r="B41" s="254" t="s">
        <v>2405</v>
      </c>
      <c r="C41" s="276">
        <f ca="1">ROUND(SUM(C42:C43),0)</f>
        <v>982082</v>
      </c>
      <c r="D41" s="279">
        <f ca="1">C44</f>
        <v>1.1999999999999999E-3</v>
      </c>
      <c r="E41" s="280" t="s">
        <v>2402</v>
      </c>
      <c r="F41" s="281"/>
      <c r="G41" s="278" t="str">
        <f>IF('数据-取费表'!B22&lt;=1,"单利计息","复利计息")</f>
        <v>复利计息</v>
      </c>
    </row>
    <row r="42" spans="1:7" ht="13.5" customHeight="1">
      <c r="A42" s="953" t="s">
        <v>791</v>
      </c>
      <c r="B42" s="259" t="s">
        <v>2406</v>
      </c>
      <c r="C42" s="282">
        <f ca="1">ROUND(IF('数据-取费表'!B22&lt;=1,C33*F22*'数据-取费表'!B20/2,C33*(POWER((1+F22),'数据-取费表'!B20/2)-1)),0)</f>
        <v>962825</v>
      </c>
      <c r="D42" s="282"/>
      <c r="E42" s="282"/>
      <c r="F42" s="283"/>
      <c r="G42" s="3226" t="s">
        <v>2454</v>
      </c>
    </row>
    <row r="43" spans="1:7" ht="13.5" customHeight="1">
      <c r="A43" s="953" t="s">
        <v>792</v>
      </c>
      <c r="B43" s="259" t="s">
        <v>2408</v>
      </c>
      <c r="C43" s="282">
        <f ca="1">ROUND(IF('数据-取费表'!B22&lt;=1,C39*F22*'数据-取费表'!B20/2,C39*(POWER((1+F22),'数据-取费表'!B20/2)-1)),0)</f>
        <v>19257</v>
      </c>
      <c r="D43" s="282"/>
      <c r="E43" s="282"/>
      <c r="F43" s="283"/>
      <c r="G43" s="3227"/>
    </row>
    <row r="44" spans="1:7" ht="13.5" customHeight="1">
      <c r="A44" s="953" t="s">
        <v>793</v>
      </c>
      <c r="B44" s="259" t="s">
        <v>2409</v>
      </c>
      <c r="C44" s="282">
        <f ca="1">ROUND(IF('数据-取费表'!B22&lt;=1,C40*F22*'数据-取费表'!B20/2,C40*(POWER((1+F22),'数据-取费表'!B20/2)-1)),4)</f>
        <v>1.1999999999999999E-3</v>
      </c>
      <c r="D44" s="282"/>
      <c r="E44" s="282"/>
      <c r="F44" s="283"/>
      <c r="G44" s="3228"/>
    </row>
    <row r="45" spans="1:7" s="258" customFormat="1" ht="13.5" customHeight="1">
      <c r="A45" s="299" t="s">
        <v>2410</v>
      </c>
      <c r="B45" s="288" t="s">
        <v>2376</v>
      </c>
      <c r="C45" s="289">
        <f ca="1">C46</f>
        <v>4110955</v>
      </c>
      <c r="D45" s="279">
        <f ca="1">C47</f>
        <v>5.0000000000000001E-3</v>
      </c>
      <c r="E45" s="280" t="s">
        <v>2402</v>
      </c>
      <c r="F45" s="290"/>
      <c r="G45" s="291" t="s">
        <v>2411</v>
      </c>
    </row>
    <row r="46" spans="1:7" s="258" customFormat="1" ht="13.5" customHeight="1">
      <c r="A46" s="953" t="s">
        <v>791</v>
      </c>
      <c r="B46" s="292" t="s">
        <v>2412</v>
      </c>
      <c r="C46" s="293">
        <f ca="1">ROUND((C33+C39)*F27,0)</f>
        <v>4110955</v>
      </c>
      <c r="D46" s="307"/>
      <c r="E46" s="280"/>
      <c r="F46" s="290"/>
      <c r="G46" s="291"/>
    </row>
    <row r="47" spans="1:7" s="258" customFormat="1" ht="13.5" customHeight="1">
      <c r="A47" s="953"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23396909</v>
      </c>
      <c r="D49" s="276"/>
      <c r="E49" s="276"/>
      <c r="F49" s="308"/>
      <c r="G49" s="278" t="s">
        <v>2417</v>
      </c>
    </row>
    <row r="50" spans="1:7" s="302" customFormat="1">
      <c r="A50" s="299" t="s">
        <v>2418</v>
      </c>
      <c r="B50" s="254" t="s">
        <v>2419</v>
      </c>
      <c r="C50" s="276"/>
      <c r="D50" s="276"/>
      <c r="E50" s="276"/>
      <c r="F50" s="308">
        <f>IF('数据-取费表'!B24=0,'数据-取费表'!N16,1)</f>
        <v>0.95</v>
      </c>
      <c r="G50" s="291"/>
    </row>
    <row r="51" spans="1:7" ht="16.5" customHeight="1">
      <c r="A51" s="299" t="s">
        <v>2421</v>
      </c>
      <c r="B51" s="254" t="s">
        <v>2456</v>
      </c>
      <c r="C51" s="276">
        <f ca="1">ROUND(C49*F50,0)</f>
        <v>22227064</v>
      </c>
      <c r="D51" s="276"/>
      <c r="E51" s="276"/>
      <c r="F51" s="308"/>
      <c r="G51" s="278" t="s">
        <v>2423</v>
      </c>
    </row>
    <row r="52" spans="1:7" s="252" customFormat="1" ht="16.5" thickBot="1">
      <c r="A52" s="309" t="s">
        <v>2424</v>
      </c>
      <c r="B52" s="310"/>
      <c r="C52" s="311">
        <f ca="1">C31+C51</f>
        <v>24431444</v>
      </c>
      <c r="D52" s="310"/>
      <c r="E52" s="310"/>
      <c r="F52" s="310"/>
      <c r="G52" s="312"/>
    </row>
    <row r="55" spans="1:7" ht="15">
      <c r="B55" s="314" t="s">
        <v>2425</v>
      </c>
      <c r="C55" s="315"/>
    </row>
    <row r="56" spans="1:7">
      <c r="B56" s="317" t="s">
        <v>1513</v>
      </c>
      <c r="C56" s="319">
        <f ca="1">1-C57</f>
        <v>8.9999999999999969E-2</v>
      </c>
    </row>
    <row r="57" spans="1:7">
      <c r="B57" s="317" t="s">
        <v>1514</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-59</v>
      </c>
      <c r="C2" s="320" t="s">
        <v>2458</v>
      </c>
      <c r="D2" s="320"/>
      <c r="E2" s="320"/>
      <c r="F2" s="320"/>
      <c r="G2" s="320"/>
      <c r="H2" s="320"/>
      <c r="I2" s="320"/>
      <c r="J2" s="320"/>
      <c r="K2" s="320"/>
    </row>
    <row r="3" spans="1:33" ht="18" customHeight="1" thickBot="1">
      <c r="A3" s="247" t="s">
        <v>2327</v>
      </c>
      <c r="B3" s="248">
        <f ca="1">ROUND(B2*10000/IF(C1="",'数据-汇总表'!E3,INDIRECT("'数据-取费表'!K"&amp;$K$1)),0)</f>
        <v>-122</v>
      </c>
      <c r="C3" s="320" t="s">
        <v>2459</v>
      </c>
      <c r="D3" s="320"/>
      <c r="E3" s="320"/>
      <c r="F3" s="320"/>
      <c r="G3" s="320"/>
      <c r="H3" s="320"/>
      <c r="I3" s="320"/>
      <c r="J3" s="320"/>
      <c r="K3" s="320"/>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4" t="s">
        <v>2463</v>
      </c>
      <c r="D5" s="2554" t="s">
        <v>2464</v>
      </c>
      <c r="E5" s="2554" t="s">
        <v>2465</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2469</v>
      </c>
      <c r="B8" s="177"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1334</v>
      </c>
      <c r="B11" s="974" t="s">
        <v>2478</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2479</v>
      </c>
      <c r="C12" s="24">
        <f ca="1">ROUND(C11*F12,0)</f>
        <v>0</v>
      </c>
      <c r="D12" s="975"/>
      <c r="E12" s="375"/>
      <c r="F12" s="978">
        <f>'数据-取费表'!B33</f>
        <v>0.03</v>
      </c>
      <c r="G12" s="8" t="s">
        <v>2480</v>
      </c>
      <c r="H12" s="970"/>
      <c r="I12" s="970"/>
      <c r="J12" s="970"/>
      <c r="K12" s="971"/>
    </row>
    <row r="13" spans="1:33" s="977" customFormat="1" ht="13.5" customHeight="1">
      <c r="A13" s="973" t="s">
        <v>1336</v>
      </c>
      <c r="B13" s="974" t="s">
        <v>2481</v>
      </c>
      <c r="C13" s="24">
        <f ca="1">ROUND(IF(C1="",SUMIF('数据-取费表'!C:C,"住宅",'数据-取费表'!P:P)*F13,IF(INDIRECT("'数据-取费表'!c"&amp;$K$1)="住宅",INDIRECT("'数据-取费表'!P"&amp;$K$1)*F13,0)),0)</f>
        <v>0</v>
      </c>
      <c r="D13" s="1035"/>
      <c r="E13" s="375"/>
      <c r="F13" s="978">
        <f>'数据-取费表'!B34</f>
        <v>0.05</v>
      </c>
      <c r="G13" s="8" t="s">
        <v>2482</v>
      </c>
      <c r="H13" s="970"/>
      <c r="I13" s="970"/>
      <c r="J13" s="970"/>
      <c r="K13" s="971"/>
    </row>
    <row r="14" spans="1:33" s="979" customFormat="1" ht="13.5" customHeight="1">
      <c r="A14" s="973" t="s">
        <v>1337</v>
      </c>
      <c r="B14" s="974" t="s">
        <v>2483</v>
      </c>
      <c r="C14" s="24">
        <f ca="1">ROUND(D14*E14*F11/10000,0)</f>
        <v>0</v>
      </c>
      <c r="D14" s="1035">
        <f ca="1">IF(C1="",'数据-汇总表'!E3,INDIRECT("'数据-取费表'!K"&amp;$K$1)+INDIRECT("'数据-取费表'!S"&amp;$K$1))</f>
        <v>4833.9999999999973</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4833.9999999999973</v>
      </c>
      <c r="E17" s="24">
        <f>'数据-取费表'!B32</f>
        <v>0</v>
      </c>
      <c r="F17" s="980"/>
      <c r="G17" s="140" t="s">
        <v>2489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2490</v>
      </c>
      <c r="C18" s="24">
        <f ca="1">C19+C20-IF(C1="",'数据-取费表'!B29,IF(G18="已全部缴纳",C19+C20,H18))</f>
        <v>48</v>
      </c>
      <c r="D18" s="1035"/>
      <c r="E18" s="24"/>
      <c r="F18" s="978"/>
      <c r="G18" s="2556"/>
      <c r="H18" s="1579"/>
      <c r="I18" s="2557" t="s">
        <v>2491</v>
      </c>
      <c r="J18" s="981"/>
      <c r="K18" s="982"/>
    </row>
    <row r="19" spans="1:33" s="977" customFormat="1" ht="13.5" customHeight="1">
      <c r="A19" s="973" t="s">
        <v>805</v>
      </c>
      <c r="B19" s="974" t="s">
        <v>2492</v>
      </c>
      <c r="C19" s="24">
        <f ca="1">ROUND(D19*E19/10000,0)</f>
        <v>0</v>
      </c>
      <c r="D19" s="1035">
        <f ca="1">IF(C1="",'数据-汇总表'!E5,IF(INDIRECT("'数据-取费表'!c"&amp;$K$1)="住宅",INDIRECT("'数据-取费表'!k"&amp;$K$1),0))</f>
        <v>0</v>
      </c>
      <c r="E19" s="24">
        <f>'数据-取费表'!B27</f>
        <v>100</v>
      </c>
      <c r="F19" s="978"/>
      <c r="G19" s="15"/>
      <c r="H19" s="1581"/>
      <c r="I19" s="983"/>
      <c r="J19" s="983"/>
      <c r="K19" s="984"/>
    </row>
    <row r="20" spans="1:33" s="977" customFormat="1" ht="13.5" customHeight="1">
      <c r="A20" s="973" t="s">
        <v>806</v>
      </c>
      <c r="B20" s="974" t="s">
        <v>2493</v>
      </c>
      <c r="C20" s="24">
        <f ca="1">ROUND(D20*E20/10000,0)</f>
        <v>48</v>
      </c>
      <c r="D20" s="1035">
        <f ca="1">IF(C1="",'数据-汇总表'!E6,IF(INDIRECT("'数据-取费表'!c"&amp;$K$1)="住宅",INDIRECT("'数据-取费表'!s"&amp;$K$1),INDIRECT("'数据-取费表'!k"&amp;$K$1)+INDIRECT("'数据-取费表'!s"&amp;$K$1)))</f>
        <v>4833.9999999999973</v>
      </c>
      <c r="E20" s="24">
        <f>'数据-取费表'!B28</f>
        <v>100</v>
      </c>
      <c r="F20" s="978"/>
      <c r="G20" s="15"/>
      <c r="H20" s="983"/>
      <c r="I20" s="983"/>
      <c r="J20" s="983"/>
      <c r="K20" s="984"/>
    </row>
    <row r="21" spans="1:33" s="977" customFormat="1" ht="13.5" customHeight="1">
      <c r="A21" s="963" t="s">
        <v>802</v>
      </c>
      <c r="B21" s="987" t="s">
        <v>2494</v>
      </c>
      <c r="C21" s="988">
        <f ca="1">C16+C17+C18</f>
        <v>48</v>
      </c>
      <c r="D21" s="989"/>
      <c r="E21" s="325"/>
      <c r="F21" s="325"/>
      <c r="G21" s="140" t="s">
        <v>2495</v>
      </c>
      <c r="H21" s="981"/>
      <c r="I21" s="981"/>
      <c r="J21" s="981"/>
      <c r="K21" s="982"/>
    </row>
    <row r="22" spans="1:33" s="977" customFormat="1" ht="13.5" customHeight="1">
      <c r="A22" s="963" t="s">
        <v>2467</v>
      </c>
      <c r="B22" s="987" t="s">
        <v>2496</v>
      </c>
      <c r="C22" s="988">
        <f ca="1">ROUND(C21*F22,0)</f>
        <v>1</v>
      </c>
      <c r="D22" s="325"/>
      <c r="E22" s="325"/>
      <c r="F22" s="990">
        <f>'数据-取费表'!B37</f>
        <v>0.02</v>
      </c>
      <c r="G22" s="8" t="s">
        <v>2497</v>
      </c>
      <c r="H22" s="970"/>
      <c r="I22" s="970"/>
      <c r="J22" s="970"/>
      <c r="K22" s="971"/>
    </row>
    <row r="23" spans="1:33" s="977" customFormat="1" ht="13.5" customHeight="1">
      <c r="A23" s="963" t="s">
        <v>2469</v>
      </c>
      <c r="B23" s="987" t="s">
        <v>2498</v>
      </c>
      <c r="C23" s="988">
        <f ca="1">ROUND(C4*F23*F11,0)</f>
        <v>0</v>
      </c>
      <c r="D23" s="325"/>
      <c r="E23" s="325"/>
      <c r="F23" s="990">
        <f>'数据-取费表'!B38</f>
        <v>0.02</v>
      </c>
      <c r="G23" s="8" t="s">
        <v>2499</v>
      </c>
      <c r="H23" s="970"/>
      <c r="I23" s="970"/>
      <c r="J23" s="970"/>
      <c r="K23" s="971"/>
    </row>
    <row r="24" spans="1:33" s="977" customFormat="1" ht="13.5" customHeight="1">
      <c r="A24" s="963" t="s">
        <v>2500</v>
      </c>
      <c r="B24" s="987" t="s">
        <v>2501</v>
      </c>
      <c r="C24" s="324">
        <f>ROUND(F24/(1+'数据-取费表'!C42),4)</f>
        <v>2.9000000000000001E-2</v>
      </c>
      <c r="D24" s="325" t="s">
        <v>15</v>
      </c>
      <c r="E24" s="325"/>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2507</v>
      </c>
      <c r="B28" s="2559" t="s">
        <v>2508</v>
      </c>
      <c r="C28" s="331">
        <f ca="1">C30</f>
        <v>12</v>
      </c>
      <c r="D28" s="324">
        <f ca="1">C29</f>
        <v>0</v>
      </c>
      <c r="E28" s="326" t="s">
        <v>15</v>
      </c>
      <c r="F28" s="332">
        <f ca="1">IF(C1="",'数据-取费表'!Q16,INDIRECT("'数据-取费表'!q"&amp;$K$1))</f>
        <v>0.25</v>
      </c>
      <c r="G28" s="991"/>
      <c r="H28" s="992"/>
      <c r="I28" s="992"/>
      <c r="J28" s="992"/>
      <c r="K28" s="993"/>
    </row>
    <row r="29" spans="1:33" s="335" customFormat="1" ht="13.5" customHeight="1">
      <c r="A29" s="973" t="s">
        <v>803</v>
      </c>
      <c r="B29" s="996" t="s">
        <v>2509</v>
      </c>
      <c r="C29" s="328">
        <f ca="1">ROUND((1+C24)*F28*'数据-取费表'!B24/'数据-取费表'!B20,4)</f>
        <v>0</v>
      </c>
      <c r="D29" s="328"/>
      <c r="E29" s="329"/>
      <c r="F29" s="334"/>
      <c r="G29" s="140" t="s">
        <v>2510</v>
      </c>
      <c r="H29" s="981"/>
      <c r="I29" s="981"/>
      <c r="J29" s="981"/>
      <c r="K29" s="982"/>
    </row>
    <row r="30" spans="1:33" s="335" customFormat="1" ht="13.5" customHeight="1">
      <c r="A30" s="973" t="s">
        <v>804</v>
      </c>
      <c r="B30" s="996" t="s">
        <v>2511</v>
      </c>
      <c r="C30" s="336">
        <f ca="1">ROUND((C21+C22+C23)*F28,0)</f>
        <v>12</v>
      </c>
      <c r="D30" s="328"/>
      <c r="E30" s="329"/>
      <c r="F30" s="334"/>
      <c r="G30" s="140"/>
      <c r="H30" s="981"/>
      <c r="I30" s="981"/>
      <c r="J30" s="981"/>
      <c r="K30" s="982"/>
    </row>
    <row r="31" spans="1:33" s="977" customFormat="1" ht="13.5" customHeight="1" thickBot="1">
      <c r="A31" s="2560"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-59</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I46" sqref="I46:L6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t="s">
        <v>3368</v>
      </c>
      <c r="D1" s="1822" t="s">
        <v>70</v>
      </c>
      <c r="E1" s="1823" t="s">
        <v>1387</v>
      </c>
      <c r="F1" s="1285">
        <f ca="1">J53</f>
        <v>34.26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342</v>
      </c>
      <c r="C2" s="1847" t="s">
        <v>1516</v>
      </c>
      <c r="D2" s="1847"/>
      <c r="E2" s="1848"/>
      <c r="F2" s="1849"/>
      <c r="G2" s="1850"/>
      <c r="H2" s="1842"/>
      <c r="I2" s="1842"/>
      <c r="J2" s="1842"/>
      <c r="K2" s="1843"/>
      <c r="L2" s="1842"/>
      <c r="M2" s="1842"/>
    </row>
    <row r="3" spans="1:37" ht="18" customHeight="1" thickBot="1">
      <c r="A3" s="1851" t="s">
        <v>1517</v>
      </c>
      <c r="B3" s="1852">
        <f ca="1">IF(ISERROR(B2*10000/F43),0,ROUND(B2*10000/F43,0))</f>
        <v>20247</v>
      </c>
      <c r="C3" s="1847" t="s">
        <v>1518</v>
      </c>
      <c r="D3" s="1847"/>
      <c r="E3" s="1848"/>
      <c r="F3" s="1849"/>
      <c r="G3" s="1850"/>
      <c r="H3" s="743" t="s">
        <v>1587</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f ca="1">C6+C10+C12</f>
        <v>18.100000000000001</v>
      </c>
      <c r="D5" s="1824" t="s">
        <v>1402</v>
      </c>
      <c r="E5" s="1295"/>
      <c r="F5" s="1296"/>
      <c r="G5" s="1853"/>
      <c r="H5" s="344">
        <v>1</v>
      </c>
      <c r="I5" s="345" t="s">
        <v>1401</v>
      </c>
      <c r="J5" s="1294">
        <f ca="1">J6+J10+J12</f>
        <v>0</v>
      </c>
      <c r="K5" s="1824" t="s">
        <v>1402</v>
      </c>
      <c r="L5" s="1295"/>
      <c r="M5" s="1296"/>
    </row>
    <row r="6" spans="1:37" ht="18" customHeight="1">
      <c r="A6" s="1293" t="s">
        <v>1035</v>
      </c>
      <c r="B6" s="3231" t="s">
        <v>1403</v>
      </c>
      <c r="C6" s="1298">
        <f ca="1">ROUND(F6*F8*F7*(1-F9)/10000,0)</f>
        <v>18</v>
      </c>
      <c r="D6" s="164" t="s">
        <v>3030</v>
      </c>
      <c r="E6" s="347" t="s">
        <v>1405</v>
      </c>
      <c r="F6" s="348">
        <f ca="1">INDIRECT("'数据-取费表'!u"&amp;$G$1)</f>
        <v>3.5</v>
      </c>
      <c r="G6" s="1853"/>
      <c r="H6" s="1293" t="s">
        <v>1035</v>
      </c>
      <c r="I6" s="3231" t="s">
        <v>1403</v>
      </c>
      <c r="J6" s="346">
        <f ca="1">ROUND(M6*M8*M7*(1-M9)/10000,0)</f>
        <v>0</v>
      </c>
      <c r="K6" s="164" t="s">
        <v>3029</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168.91</v>
      </c>
      <c r="G7" s="1853"/>
      <c r="H7" s="349"/>
      <c r="I7" s="3232"/>
      <c r="J7" s="351"/>
      <c r="K7" s="352"/>
      <c r="L7" s="347" t="s">
        <v>1406</v>
      </c>
      <c r="M7" s="348">
        <f ca="1">F7</f>
        <v>168.91</v>
      </c>
    </row>
    <row r="8" spans="1:37" ht="18" customHeight="1">
      <c r="A8" s="349"/>
      <c r="B8" s="3232"/>
      <c r="C8" s="351"/>
      <c r="D8" s="352"/>
      <c r="E8" s="347" t="s">
        <v>1407</v>
      </c>
      <c r="F8" s="348">
        <f ca="1">INDIRECT("'数据-取费表'!ai"&amp;$G$1)</f>
        <v>365</v>
      </c>
      <c r="G8" s="1853"/>
      <c r="H8" s="349"/>
      <c r="I8" s="3232"/>
      <c r="J8" s="351"/>
      <c r="K8" s="352"/>
      <c r="L8" s="347" t="s">
        <v>1407</v>
      </c>
      <c r="M8" s="348">
        <f ca="1">INDIRECT("'数据-取费表'!ai"&amp;$G$1)</f>
        <v>365</v>
      </c>
    </row>
    <row r="9" spans="1:37" ht="18" customHeight="1">
      <c r="A9" s="349"/>
      <c r="B9" s="3233"/>
      <c r="C9" s="351"/>
      <c r="D9" s="352"/>
      <c r="E9" s="347" t="s">
        <v>1408</v>
      </c>
      <c r="F9" s="357">
        <f ca="1">INDIRECT("'数据-取费表'!w"&amp;$G$1)</f>
        <v>0.15</v>
      </c>
      <c r="G9" s="1853"/>
      <c r="H9" s="349"/>
      <c r="I9" s="3233"/>
      <c r="J9" s="351"/>
      <c r="K9" s="352"/>
      <c r="L9" s="358" t="s">
        <v>1408</v>
      </c>
      <c r="M9" s="359">
        <f ca="1">INDIRECT("'数据-取费表'!ab"&amp;$G$1)</f>
        <v>0</v>
      </c>
    </row>
    <row r="10" spans="1:37" ht="18" customHeight="1">
      <c r="A10" s="1293" t="s">
        <v>1039</v>
      </c>
      <c r="B10" s="1825" t="s">
        <v>1409</v>
      </c>
      <c r="C10" s="2970">
        <f ca="1">ROUND(IF(F10="押一",C6/12*F11,IF(F10="押二",C6/12*2*F11,IF(F10="押三",C6/12*3*F11,C11*F11))),1)</f>
        <v>0.1</v>
      </c>
      <c r="D10" s="1826" t="s">
        <v>3039</v>
      </c>
      <c r="E10" s="358" t="s">
        <v>1410</v>
      </c>
      <c r="F10" s="1368" t="s">
        <v>3374</v>
      </c>
      <c r="G10" s="1853"/>
      <c r="H10" s="1293" t="s">
        <v>1039</v>
      </c>
      <c r="I10" s="1825" t="s">
        <v>1409</v>
      </c>
      <c r="J10" s="346">
        <f ca="1">ROUND(IF(M10="押一",J6/12*M11,IF(M10="押二",J6/12*2*M11,IF(M10="押三",J6/12*3*M11,J11*M11))),0)</f>
        <v>0</v>
      </c>
      <c r="K10" s="1826" t="s">
        <v>3038</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79</v>
      </c>
      <c r="D13" s="1333" t="s">
        <v>1415</v>
      </c>
      <c r="E13" s="1333" t="s">
        <v>1416</v>
      </c>
      <c r="F13" s="1334">
        <f ca="1">INDIRECT("'数据-取费表'!y"&amp;$G$1)</f>
        <v>0.95</v>
      </c>
      <c r="G13" s="1853"/>
      <c r="H13" s="1331">
        <v>2</v>
      </c>
      <c r="I13" s="1332" t="s">
        <v>1414</v>
      </c>
      <c r="J13" s="1292">
        <f ca="1">ROUND(J14*J15,0)</f>
        <v>0</v>
      </c>
      <c r="K13" s="1339" t="s">
        <v>1415</v>
      </c>
      <c r="L13" s="1854"/>
      <c r="M13" s="1855"/>
    </row>
    <row r="14" spans="1:37" ht="18" customHeight="1">
      <c r="A14" s="1203" t="s">
        <v>1034</v>
      </c>
      <c r="B14" s="347" t="s">
        <v>1417</v>
      </c>
      <c r="C14" s="363">
        <f ca="1">INDIRECT("'数据-取费表'!m"&amp;$G$1)+INDIRECT("'数据-取费表'!t"&amp;$G$1)</f>
        <v>51</v>
      </c>
      <c r="D14" s="1802" t="s">
        <v>1418</v>
      </c>
      <c r="E14" s="1796"/>
      <c r="F14" s="364"/>
      <c r="G14" s="1853"/>
      <c r="H14" s="1203" t="s">
        <v>1035</v>
      </c>
      <c r="I14" s="347" t="s">
        <v>1419</v>
      </c>
      <c r="J14" s="24">
        <f ca="1">C29</f>
        <v>83</v>
      </c>
      <c r="K14" s="15"/>
      <c r="L14" s="981"/>
      <c r="M14" s="982"/>
    </row>
    <row r="15" spans="1:37" s="1860" customFormat="1" ht="18" customHeight="1" thickBot="1">
      <c r="A15" s="1203" t="s">
        <v>1036</v>
      </c>
      <c r="B15" s="347" t="s">
        <v>1420</v>
      </c>
      <c r="C15" s="24">
        <f ca="1">ROUND(C14*F15,0)</f>
        <v>2</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3"/>
      <c r="H16" s="1331" t="s">
        <v>1030</v>
      </c>
      <c r="I16" s="1332" t="s">
        <v>1424</v>
      </c>
      <c r="J16" s="355">
        <f ca="1">ROUND(J17+J22+J23+J24,0)</f>
        <v>2</v>
      </c>
      <c r="K16" s="1339" t="s">
        <v>1425</v>
      </c>
      <c r="L16" s="1340"/>
      <c r="M16" s="1296"/>
    </row>
    <row r="17" spans="1:37" s="1860" customFormat="1" ht="18" customHeight="1">
      <c r="A17" s="1203" t="s">
        <v>1390</v>
      </c>
      <c r="B17" s="347" t="s">
        <v>1426</v>
      </c>
      <c r="C17" s="24">
        <f ca="1">ROUND(F17*(F43+INDIRECT("'数据-取费表'!S"&amp;$G$1))/10000,0)</f>
        <v>3</v>
      </c>
      <c r="D17" s="347" t="s">
        <v>1427</v>
      </c>
      <c r="E17" s="347" t="s">
        <v>1428</v>
      </c>
      <c r="F17" s="26">
        <f>'数据-取费表'!B35</f>
        <v>200</v>
      </c>
      <c r="G17" s="1856"/>
      <c r="H17" s="1203" t="s">
        <v>1035</v>
      </c>
      <c r="I17" s="347" t="s">
        <v>1429</v>
      </c>
      <c r="J17" s="24">
        <f ca="1">ROUND(IF(项目基本情况!B11="自然人",J5*M17,J18+J19+J20),1)</f>
        <v>0.8</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v>
      </c>
      <c r="D18" s="347" t="s">
        <v>1421</v>
      </c>
      <c r="E18" s="347" t="s">
        <v>1422</v>
      </c>
      <c r="F18" s="367">
        <f>'数据-取费表'!B36</f>
        <v>1.4999999999999999E-2</v>
      </c>
      <c r="G18" s="1856"/>
      <c r="H18" s="1203"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57</v>
      </c>
      <c r="D19" s="140" t="s">
        <v>1436</v>
      </c>
      <c r="E19" s="1820"/>
      <c r="F19" s="26"/>
      <c r="G19" s="1853"/>
      <c r="H19" s="1203" t="s">
        <v>1036</v>
      </c>
      <c r="I19" s="347" t="s">
        <v>1437</v>
      </c>
      <c r="J19" s="24">
        <f ca="1">IF(K19="按租金收入计税",ROUND(J5*M19,2),ROUND(C29*M19*0.7,2))</f>
        <v>0.7</v>
      </c>
      <c r="K19" s="1830" t="s">
        <v>1438</v>
      </c>
      <c r="L19" s="347" t="s">
        <v>1422</v>
      </c>
      <c r="M19" s="367">
        <f>IF(K19="按租金收入计税",'数据-取费表'!B51,'数据-取费表'!B50)</f>
        <v>1.2E-2</v>
      </c>
    </row>
    <row r="20" spans="1:37" s="1860" customFormat="1" ht="18" customHeight="1">
      <c r="A20" s="1203" t="s">
        <v>1039</v>
      </c>
      <c r="B20" s="347" t="s">
        <v>1439</v>
      </c>
      <c r="C20" s="24">
        <f ca="1">ROUND(C19*F20,0)</f>
        <v>1</v>
      </c>
      <c r="D20" s="369" t="s">
        <v>1440</v>
      </c>
      <c r="E20" s="347" t="s">
        <v>1422</v>
      </c>
      <c r="F20" s="367">
        <f>'数据-取费表'!B37</f>
        <v>0.02</v>
      </c>
      <c r="G20" s="1856"/>
      <c r="H20" s="1203" t="s">
        <v>1389</v>
      </c>
      <c r="I20" s="164" t="s">
        <v>1441</v>
      </c>
      <c r="J20" s="25">
        <f ca="1">ROUND(M20*M21/10000,2)</f>
        <v>0.05</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0.02</v>
      </c>
      <c r="G21" s="1856"/>
      <c r="H21" s="372"/>
      <c r="I21" s="356"/>
      <c r="J21" s="29"/>
      <c r="K21" s="373"/>
      <c r="L21" s="347" t="s">
        <v>1447</v>
      </c>
      <c r="M21" s="348">
        <f ca="1">INDIRECT("'数据-取费表'!r"&amp;$G$1)</f>
        <v>31.79</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ROUND(J14*M22,1)</f>
        <v>1.2</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ROUND(J5*M24,1)</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f ca="1">J5-J16</f>
        <v>-2</v>
      </c>
      <c r="K25" s="1347" t="s">
        <v>1464</v>
      </c>
      <c r="L25" s="1348"/>
      <c r="M25" s="1349"/>
    </row>
    <row r="26" spans="1:37">
      <c r="A26" s="1203" t="s">
        <v>1034</v>
      </c>
      <c r="B26" s="347" t="s">
        <v>1465</v>
      </c>
      <c r="C26" s="24">
        <f ca="1">ROUND((C19+C20)*F26,0)</f>
        <v>15</v>
      </c>
      <c r="D26" s="369" t="s">
        <v>1466</v>
      </c>
      <c r="E26" s="358" t="s">
        <v>1467</v>
      </c>
      <c r="F26" s="357">
        <f ca="1">INDIRECT("'数据-取费表'!q"&amp;$G$1)</f>
        <v>0.25</v>
      </c>
      <c r="G26" s="1853"/>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5.0000000000000001E-3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83</v>
      </c>
      <c r="D29" s="1344"/>
      <c r="E29" s="1342"/>
      <c r="F29" s="1345"/>
      <c r="G29" s="1856"/>
      <c r="H29" s="380" t="s">
        <v>1033</v>
      </c>
      <c r="I29" s="381" t="s">
        <v>1479</v>
      </c>
      <c r="J29" s="382">
        <f ca="1">ROUND(J26/(1+F40)^F41,0)</f>
        <v>0</v>
      </c>
      <c r="K29" s="383" t="s">
        <v>1480</v>
      </c>
      <c r="L29" s="384"/>
      <c r="M29" s="385">
        <f ca="1">INDIRECT("'数据-取费表'!k"&amp;$G$1)</f>
        <v>168.91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5</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ROUND(IF(项目基本情况!B11="自然人",C5*F31,C32+C33+C34),1)</f>
        <v>3.2</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IF(项目基本情况!B11="自然人","——",ROUND(C5*F32/(1+'数据-取费表'!C42),2))</f>
        <v>0.97</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2.17</v>
      </c>
      <c r="D33" s="2969" t="s">
        <v>3445</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IF(项目基本情况!B11="自然人","——",ROUND(F34*F35/10000,2))</f>
        <v>0.05</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31.79</v>
      </c>
      <c r="G35" s="1853"/>
      <c r="H35" s="744"/>
      <c r="I35" s="1862"/>
      <c r="J35" s="1863"/>
      <c r="K35" s="1864"/>
      <c r="L35" s="1861"/>
      <c r="M35" s="1861"/>
    </row>
    <row r="36" spans="1:18" ht="18" customHeight="1">
      <c r="A36" s="1354" t="s">
        <v>1039</v>
      </c>
      <c r="B36" s="347" t="s">
        <v>1449</v>
      </c>
      <c r="C36" s="24">
        <f ca="1">ROUND(C29*F36,1)</f>
        <v>1.2</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ROUND(C13*F37,1)</f>
        <v>0.1</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0.2</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13.100000000000001</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340</v>
      </c>
      <c r="D40" s="370" t="s">
        <v>1469</v>
      </c>
      <c r="E40" s="347" t="s">
        <v>1470</v>
      </c>
      <c r="F40" s="357">
        <f ca="1">INDIRECT("'数据-取费表'!I"&amp;$G$1)</f>
        <v>0.05</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34.26</v>
      </c>
      <c r="G41" s="1853"/>
      <c r="H41" s="731"/>
      <c r="I41" s="1862"/>
      <c r="J41" s="1863"/>
      <c r="K41" s="750"/>
      <c r="L41" s="731"/>
      <c r="M41" s="731"/>
    </row>
    <row r="42" spans="1:18" ht="18" customHeight="1">
      <c r="A42" s="353"/>
      <c r="B42" s="354"/>
      <c r="C42" s="355"/>
      <c r="D42" s="373"/>
      <c r="E42" s="347" t="s">
        <v>1477</v>
      </c>
      <c r="F42" s="357">
        <f ca="1">INDIRECT("'数据-取费表'!v"&amp;$G$1)</f>
        <v>3.5000000000000003E-2</v>
      </c>
      <c r="G42" s="1853"/>
      <c r="H42" s="731"/>
      <c r="I42" s="1862"/>
      <c r="J42" s="1863"/>
      <c r="K42" s="750"/>
      <c r="L42" s="731"/>
      <c r="M42" s="731"/>
    </row>
    <row r="43" spans="1:18" ht="18" customHeight="1" thickBot="1">
      <c r="A43" s="380" t="s">
        <v>1033</v>
      </c>
      <c r="B43" s="381" t="s">
        <v>1487</v>
      </c>
      <c r="C43" s="382">
        <f ca="1">ROUND(C40*10000/F43,0)</f>
        <v>20129</v>
      </c>
      <c r="D43" s="383" t="s">
        <v>1488</v>
      </c>
      <c r="E43" s="384" t="s">
        <v>1489</v>
      </c>
      <c r="F43" s="385">
        <f ca="1">INDIRECT("'数据-取费表'!k"&amp;$G$1)</f>
        <v>168.91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24.75" thickBot="1">
      <c r="A46" s="1872" t="s">
        <v>1520</v>
      </c>
      <c r="C46" s="1873">
        <f ca="1">C68-C40</f>
        <v>-470</v>
      </c>
      <c r="D46" s="1874" t="str">
        <f>C2</f>
        <v>万元</v>
      </c>
      <c r="E46" s="1868"/>
      <c r="F46" s="1868"/>
      <c r="I46" s="3014" t="s">
        <v>1521</v>
      </c>
      <c r="J46" s="3015"/>
      <c r="K46" s="3016"/>
      <c r="L46" s="3017">
        <f ca="1">IF(M47="住宅",0,IF(L48&gt;J51,L60,J60))</f>
        <v>2</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3018" t="s">
        <v>1526</v>
      </c>
      <c r="J47" s="2783" t="s">
        <v>3375</v>
      </c>
      <c r="K47" s="3019" t="s">
        <v>1527</v>
      </c>
      <c r="L47" s="3020">
        <f ca="1">INDIRECT("'数据-取费表'!d"&amp;$G$1)</f>
        <v>40</v>
      </c>
      <c r="M47" s="1840" t="str">
        <f>IF(ISNUMBER(FIND("住宅",C1)),"住宅","非住宅")</f>
        <v>非住宅</v>
      </c>
      <c r="O47" s="1886" t="s">
        <v>1040</v>
      </c>
      <c r="P47" s="1887" t="s">
        <v>1528</v>
      </c>
      <c r="Q47" s="1888">
        <f ca="1">C40+J29</f>
        <v>340</v>
      </c>
      <c r="R47" s="1888" t="s">
        <v>1529</v>
      </c>
    </row>
    <row r="48" spans="1:18" s="1844" customFormat="1" ht="28.5" thickBot="1">
      <c r="A48" s="1362" t="s">
        <v>1135</v>
      </c>
      <c r="B48" s="345" t="s">
        <v>1401</v>
      </c>
      <c r="C48" s="1819">
        <f ca="1">C49+C53+C55</f>
        <v>0</v>
      </c>
      <c r="D48" s="1364"/>
      <c r="E48" s="1365"/>
      <c r="F48" s="1183"/>
      <c r="G48" s="791"/>
      <c r="H48" s="792"/>
      <c r="I48" s="1924" t="s">
        <v>1530</v>
      </c>
      <c r="J48" s="3021" t="s">
        <v>3376</v>
      </c>
      <c r="K48" s="3022" t="s">
        <v>1531</v>
      </c>
      <c r="L48" s="818">
        <f ca="1">INDIRECT("'数据-取费表'!f"&amp;$G$1)</f>
        <v>34.26</v>
      </c>
      <c r="O48" s="1886" t="s">
        <v>1041</v>
      </c>
      <c r="P48" s="1887" t="s">
        <v>1532</v>
      </c>
      <c r="Q48" s="1888">
        <f ca="1">J60</f>
        <v>2</v>
      </c>
      <c r="R48" s="1888" t="s">
        <v>1533</v>
      </c>
    </row>
    <row r="49" spans="1:18" s="1844" customFormat="1" ht="13.5" thickBot="1">
      <c r="A49" s="1196" t="s">
        <v>1136</v>
      </c>
      <c r="B49" s="1831" t="s">
        <v>1490</v>
      </c>
      <c r="C49" s="1366">
        <f ca="1">ROUND(F49*F51*F50*(1-F52)/10000,0)</f>
        <v>0</v>
      </c>
      <c r="D49" s="1278" t="s">
        <v>3031</v>
      </c>
      <c r="E49" s="1832" t="s">
        <v>1491</v>
      </c>
      <c r="F49" s="1283"/>
      <c r="G49" s="1893"/>
      <c r="H49" s="792"/>
      <c r="I49" s="1924" t="s">
        <v>1534</v>
      </c>
      <c r="J49" s="3023">
        <v>2015</v>
      </c>
      <c r="K49" s="3022" t="s">
        <v>1535</v>
      </c>
      <c r="L49" s="2767"/>
      <c r="O49" s="1896" t="s">
        <v>1042</v>
      </c>
      <c r="P49" s="1887" t="s">
        <v>1536</v>
      </c>
      <c r="Q49" s="1888">
        <f ca="1">C29</f>
        <v>83</v>
      </c>
      <c r="R49" s="1888" t="s">
        <v>1529</v>
      </c>
    </row>
    <row r="50" spans="1:18" s="1844" customFormat="1" ht="13.5" thickBot="1">
      <c r="A50" s="1197"/>
      <c r="B50" s="1200"/>
      <c r="C50" s="1370"/>
      <c r="D50" s="1174"/>
      <c r="E50" s="1279" t="s">
        <v>1406</v>
      </c>
      <c r="F50" s="1280">
        <f ca="1">F7</f>
        <v>168.91</v>
      </c>
      <c r="H50" s="792"/>
      <c r="I50" s="1924" t="s">
        <v>1537</v>
      </c>
      <c r="J50" s="3024">
        <f>SUMPRODUCT((I63:I65=J47)*(J62:L62=J48)*(J63:L65))</f>
        <v>60</v>
      </c>
      <c r="K50" s="3022" t="s">
        <v>1538</v>
      </c>
      <c r="L50" s="2767"/>
      <c r="M50" s="1898"/>
      <c r="O50" s="1896" t="s">
        <v>1043</v>
      </c>
      <c r="P50" s="1887" t="s">
        <v>1539</v>
      </c>
      <c r="Q50" s="1899">
        <f ca="1">J58</f>
        <v>0.4</v>
      </c>
      <c r="R50" s="1888"/>
    </row>
    <row r="51" spans="1:18" s="1844" customFormat="1" ht="13.5" thickBot="1">
      <c r="A51" s="1198"/>
      <c r="B51" s="1200"/>
      <c r="C51" s="1201"/>
      <c r="D51" s="1174"/>
      <c r="E51" s="1202" t="s">
        <v>1407</v>
      </c>
      <c r="F51" s="348">
        <f ca="1">F8</f>
        <v>365</v>
      </c>
      <c r="I51" s="3025" t="s">
        <v>1540</v>
      </c>
      <c r="J51" s="3026">
        <f>IF(J49="",J50,J49+J50-YEAR('数据-取费表'!B2))</f>
        <v>57</v>
      </c>
      <c r="K51" s="3027" t="s">
        <v>1541</v>
      </c>
      <c r="L51" s="3028">
        <f ca="1">ROUND(-PV(INDIRECT("'数据-取费表'!h"&amp;$G$1),L48,(C39-C13*C76),0),0)</f>
        <v>110</v>
      </c>
      <c r="M51" s="1904"/>
      <c r="O51" s="1896" t="s">
        <v>1044</v>
      </c>
      <c r="P51" s="1887" t="s">
        <v>1542</v>
      </c>
      <c r="Q51" s="1899">
        <f>J52</f>
        <v>0.09</v>
      </c>
      <c r="R51" s="1888"/>
    </row>
    <row r="52" spans="1:18" s="1844" customFormat="1" ht="13.5" thickBot="1">
      <c r="A52" s="1198"/>
      <c r="B52" s="1200"/>
      <c r="C52" s="1201"/>
      <c r="D52" s="1174"/>
      <c r="E52" s="1202" t="s">
        <v>1408</v>
      </c>
      <c r="F52" s="1277"/>
      <c r="I52" s="2869" t="s">
        <v>1543</v>
      </c>
      <c r="J52" s="3029">
        <v>0.09</v>
      </c>
      <c r="K52" s="2869" t="s">
        <v>1544</v>
      </c>
      <c r="L52" s="3029"/>
      <c r="O52" s="1896" t="s">
        <v>1045</v>
      </c>
      <c r="P52" s="1887" t="s">
        <v>1545</v>
      </c>
      <c r="Q52" s="1888">
        <f ca="1">J53</f>
        <v>34.26</v>
      </c>
      <c r="R52" s="1888" t="s">
        <v>1546</v>
      </c>
    </row>
    <row r="53" spans="1:18" s="1844" customFormat="1" ht="24.75" thickBot="1">
      <c r="A53" s="1407" t="s">
        <v>1137</v>
      </c>
      <c r="B53" s="1833" t="s">
        <v>1409</v>
      </c>
      <c r="C53" s="361">
        <f ca="1">ROUND(IF(F53="押一",C49/12*F11,IF(F53="押二",C49/12*2*F11,IF(F53="押三",C49/12*3*F11,C54*F11))),0)</f>
        <v>0</v>
      </c>
      <c r="D53" s="1826" t="s">
        <v>3038</v>
      </c>
      <c r="E53" s="358" t="s">
        <v>1410</v>
      </c>
      <c r="F53" s="1368"/>
      <c r="I53" s="1907" t="s">
        <v>1547</v>
      </c>
      <c r="J53" s="3030">
        <f ca="1">IF(M47="住宅",J51,IF(D1="——",MIN(J51,L48),IF(D1="在建（套用方法）",MIN(J51,L48-'数据-取费表'!B24),IF(D1="土地（套用方法）",MIN(J51,L48-'数据-取费表'!B20)))))</f>
        <v>34.26</v>
      </c>
      <c r="K53" s="3229" t="s">
        <v>1548</v>
      </c>
      <c r="L53" s="3230"/>
      <c r="O53" s="1886" t="s">
        <v>1046</v>
      </c>
      <c r="P53" s="1887" t="s">
        <v>1549</v>
      </c>
      <c r="Q53" s="1888">
        <f ca="1">Q47+Q48</f>
        <v>342</v>
      </c>
      <c r="R53" s="1888" t="s">
        <v>1047</v>
      </c>
    </row>
    <row r="54" spans="1:18" s="1844" customFormat="1" ht="51.75" thickBot="1">
      <c r="A54" s="1408"/>
      <c r="B54" s="1827" t="s">
        <v>1388</v>
      </c>
      <c r="C54" s="1180"/>
      <c r="D54" s="1826"/>
      <c r="E54" s="1834"/>
      <c r="F54" s="1909"/>
      <c r="I54" s="30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3032">
        <f ca="1">ROUND(IF(J47="钢混",J57/J50,1-(1-2%)*(J50-J57)/J50),3)</f>
        <v>0.379</v>
      </c>
      <c r="K55" s="3033" t="s">
        <v>1552</v>
      </c>
      <c r="L55" s="3034" t="s">
        <v>3377</v>
      </c>
      <c r="O55" s="1879" t="s">
        <v>1522</v>
      </c>
      <c r="P55" s="1880" t="s">
        <v>1523</v>
      </c>
      <c r="Q55" s="1881" t="s">
        <v>1524</v>
      </c>
      <c r="R55" s="1881" t="s">
        <v>1525</v>
      </c>
    </row>
    <row r="56" spans="1:18" s="1844" customFormat="1" ht="25.5" thickTop="1" thickBot="1">
      <c r="A56" s="1178">
        <v>2</v>
      </c>
      <c r="B56" s="1179" t="s">
        <v>1414</v>
      </c>
      <c r="C56" s="276">
        <f ca="1">C13</f>
        <v>79</v>
      </c>
      <c r="D56" s="1916"/>
      <c r="E56" s="1917"/>
      <c r="F56" s="1909"/>
      <c r="I56" s="1918" t="s">
        <v>1553</v>
      </c>
      <c r="J56" s="3035" t="s">
        <v>3059</v>
      </c>
      <c r="K56" s="1924" t="s">
        <v>1554</v>
      </c>
      <c r="L56" s="818" t="str">
        <f ca="1">IF(L48&lt;J51,"——",L48-J53)</f>
        <v>——</v>
      </c>
      <c r="O56" s="1886" t="s">
        <v>1040</v>
      </c>
      <c r="P56" s="1887" t="s">
        <v>1528</v>
      </c>
      <c r="Q56" s="1888">
        <f ca="1">C40+J29</f>
        <v>340</v>
      </c>
      <c r="R56" s="1888" t="s">
        <v>1529</v>
      </c>
    </row>
    <row r="57" spans="1:18" s="1844" customFormat="1" ht="24.75" thickBot="1">
      <c r="A57" s="1920"/>
      <c r="B57" s="1171" t="s">
        <v>1478</v>
      </c>
      <c r="C57" s="282">
        <f ca="1">C29</f>
        <v>83</v>
      </c>
      <c r="D57" s="1921"/>
      <c r="E57" s="1922"/>
      <c r="F57" s="1923"/>
      <c r="I57" s="1924" t="s">
        <v>1555</v>
      </c>
      <c r="J57" s="235">
        <f ca="1">IF(OR(M47="住宅",J51&lt;L48,J56="是"),"——",J51-L48)</f>
        <v>22.740000000000002</v>
      </c>
      <c r="K57" s="1924" t="s">
        <v>1556</v>
      </c>
      <c r="L57" s="818" t="str">
        <f ca="1">IF(L48&lt;J51,"——",IF(L55="比较法",L49,IF(L55="基准地价",L50,L51)))</f>
        <v>——</v>
      </c>
      <c r="O57" s="1886" t="s">
        <v>1041</v>
      </c>
      <c r="P57" s="1887" t="s">
        <v>1557</v>
      </c>
      <c r="Q57" s="1888">
        <f ca="1">L60</f>
        <v>0</v>
      </c>
      <c r="R57" s="1888" t="s">
        <v>1558</v>
      </c>
    </row>
    <row r="58" spans="1:18" s="1844" customFormat="1" ht="24.75" thickBot="1">
      <c r="A58" s="360" t="s">
        <v>1030</v>
      </c>
      <c r="B58" s="1179" t="s">
        <v>1424</v>
      </c>
      <c r="C58" s="361">
        <f ca="1">ROUND(C59+C64+C65+C66,0)</f>
        <v>8</v>
      </c>
      <c r="D58" s="1181" t="s">
        <v>1425</v>
      </c>
      <c r="E58" s="1182"/>
      <c r="F58" s="1183"/>
      <c r="I58" s="1924" t="s">
        <v>1559</v>
      </c>
      <c r="J58" s="3036">
        <f ca="1">IF(J55&lt;0.4,0.4,J55)</f>
        <v>0.4</v>
      </c>
      <c r="K58" s="3027" t="s">
        <v>1560</v>
      </c>
      <c r="L58" s="818"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ROUND(IF(项目基本情况!B11="自然人",C48*F59,C60+C61+C62),1)</f>
        <v>7</v>
      </c>
      <c r="D59" s="1184" t="s">
        <v>1430</v>
      </c>
      <c r="E59" s="1185" t="s">
        <v>1431</v>
      </c>
      <c r="F59" s="368" t="str">
        <f ca="1">IF(项目基本情况!B11="企业","",IF(INDIRECT("'数据-取费表'!c"&amp;$G$1)="住宅",5%,IF(F49*F50*F51/12/(1+'数据-取费表'!C42)&gt;20000,12%,7%)))</f>
        <v/>
      </c>
      <c r="I59" s="1924" t="s">
        <v>1562</v>
      </c>
      <c r="J59" s="235">
        <f ca="1">IF(OR(M47="住宅",J51&lt;L48,J56="是"),"——",ROUND(C29*J58,0))</f>
        <v>33</v>
      </c>
      <c r="K59" s="19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8"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IF(项目基本情况!B11="自然人","——",ROUND(C48*F60/(1+'数据-取费表'!C42),2))</f>
        <v>0</v>
      </c>
      <c r="D60" s="1185" t="s">
        <v>1434</v>
      </c>
      <c r="E60" s="1171" t="s">
        <v>1422</v>
      </c>
      <c r="F60" s="377">
        <f t="shared" ref="F60:F66" si="0">F32</f>
        <v>5.6000000000000001E-2</v>
      </c>
      <c r="I60" s="3037" t="s">
        <v>1564</v>
      </c>
      <c r="J60" s="3038">
        <f ca="1">IF(OR(M47="住宅",J51&lt;L48,J56="是"),"0",ROUND(J59/(1+J52)^J53,0))</f>
        <v>2</v>
      </c>
      <c r="K60" s="3039" t="s">
        <v>1565</v>
      </c>
      <c r="L60" s="3038">
        <f ca="1">IF(OR(M47="住宅",L48&lt;J51),0,ROUND(L57*(L58/L59-1),0))</f>
        <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6.97</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1568</v>
      </c>
    </row>
    <row r="62" spans="1:18" s="1844" customFormat="1" ht="13.5" thickBot="1">
      <c r="A62" s="1203" t="s">
        <v>1495</v>
      </c>
      <c r="B62" s="1170" t="s">
        <v>1496</v>
      </c>
      <c r="C62" s="25">
        <f ca="1">IF(项目基本情况!B11="自然人","——",ROUND(F62*F63/10000,2))</f>
        <v>0.05</v>
      </c>
      <c r="D62" s="1186" t="s">
        <v>1497</v>
      </c>
      <c r="E62" s="1171" t="s">
        <v>1498</v>
      </c>
      <c r="F62" s="371">
        <f t="shared" si="0"/>
        <v>16</v>
      </c>
      <c r="I62" s="1931" t="s">
        <v>1569</v>
      </c>
      <c r="J62" s="1932" t="s">
        <v>1570</v>
      </c>
      <c r="K62" s="1932" t="s">
        <v>1571</v>
      </c>
      <c r="L62" s="1932" t="s">
        <v>1572</v>
      </c>
      <c r="M62" s="1933" t="s">
        <v>1573</v>
      </c>
      <c r="O62" s="1886" t="s">
        <v>1046</v>
      </c>
      <c r="P62" s="1887" t="s">
        <v>1574</v>
      </c>
      <c r="Q62" s="1888">
        <f ca="1">Q56+Q57</f>
        <v>340</v>
      </c>
      <c r="R62" s="1888" t="s">
        <v>1047</v>
      </c>
    </row>
    <row r="63" spans="1:18" s="1844" customFormat="1" ht="13.5" thickBot="1">
      <c r="A63" s="372"/>
      <c r="B63" s="1177"/>
      <c r="C63" s="29"/>
      <c r="D63" s="1187"/>
      <c r="E63" s="1171" t="s">
        <v>1499</v>
      </c>
      <c r="F63" s="348">
        <f t="shared" ca="1" si="0"/>
        <v>31.79</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1.2</v>
      </c>
      <c r="D64" s="1185" t="s">
        <v>1502</v>
      </c>
      <c r="E64" s="1171" t="s">
        <v>1494</v>
      </c>
      <c r="F64" s="374">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0.1</v>
      </c>
      <c r="D65" s="1185" t="s">
        <v>1454</v>
      </c>
      <c r="E65" s="1171" t="s">
        <v>1455</v>
      </c>
      <c r="F65" s="376">
        <f t="shared" ca="1" si="0"/>
        <v>1.5E-3</v>
      </c>
      <c r="I65" s="1931" t="s">
        <v>1578</v>
      </c>
      <c r="J65" s="1932">
        <v>40</v>
      </c>
      <c r="K65" s="1932">
        <v>30</v>
      </c>
      <c r="L65" s="1932">
        <v>50</v>
      </c>
      <c r="M65" s="1934">
        <v>0.02</v>
      </c>
      <c r="O65" s="1886" t="s">
        <v>1040</v>
      </c>
      <c r="P65" s="1887" t="s">
        <v>1579</v>
      </c>
      <c r="Q65" s="1888">
        <f ca="1">C40+J29</f>
        <v>340</v>
      </c>
      <c r="R65" s="1888" t="s">
        <v>1529</v>
      </c>
    </row>
    <row r="66" spans="1:18" s="1844" customFormat="1" ht="16.5" thickBot="1">
      <c r="A66" s="1203" t="s">
        <v>1504</v>
      </c>
      <c r="B66" s="1171" t="s">
        <v>1439</v>
      </c>
      <c r="C66" s="24">
        <f ca="1">ROUND(C48*F66,1)</f>
        <v>0</v>
      </c>
      <c r="D66" s="1185" t="s">
        <v>1505</v>
      </c>
      <c r="E66" s="1171" t="s">
        <v>1422</v>
      </c>
      <c r="F66" s="357">
        <f t="shared" ca="1" si="0"/>
        <v>0.01</v>
      </c>
      <c r="O66" s="1886" t="s">
        <v>1041</v>
      </c>
      <c r="P66" s="1887" t="s">
        <v>1557</v>
      </c>
      <c r="Q66" s="1888">
        <f ca="1">L60</f>
        <v>0</v>
      </c>
      <c r="R66" s="1888" t="s">
        <v>1580</v>
      </c>
    </row>
    <row r="67" spans="1:18" s="1844" customFormat="1" ht="16.5" thickBot="1">
      <c r="A67" s="1178" t="s">
        <v>1031</v>
      </c>
      <c r="B67" s="1188" t="s">
        <v>1463</v>
      </c>
      <c r="C67" s="361">
        <f ca="1">C48-C58</f>
        <v>-8</v>
      </c>
      <c r="D67" s="1184" t="s">
        <v>1464</v>
      </c>
      <c r="E67" s="1189"/>
      <c r="F67" s="1190"/>
      <c r="O67" s="1896" t="s">
        <v>1042</v>
      </c>
      <c r="P67" s="1887" t="s">
        <v>1561</v>
      </c>
      <c r="Q67" s="1935">
        <f ca="1">L51</f>
        <v>110</v>
      </c>
      <c r="R67" s="1888" t="s">
        <v>1581</v>
      </c>
    </row>
    <row r="68" spans="1:18" s="1844" customFormat="1" ht="16.5" thickBot="1">
      <c r="A68" s="1168" t="s">
        <v>1032</v>
      </c>
      <c r="B68" s="1169" t="s">
        <v>1485</v>
      </c>
      <c r="C68" s="346">
        <f ca="1">ROUND(C67*(1-((1+F70)/(1+F68))^F69)/(F68-F70),0)</f>
        <v>-130</v>
      </c>
      <c r="D68" s="1186" t="s">
        <v>1469</v>
      </c>
      <c r="E68" s="1171" t="s">
        <v>1470</v>
      </c>
      <c r="F68" s="357">
        <f ca="1">F40</f>
        <v>0.05</v>
      </c>
      <c r="O68" s="1896" t="s">
        <v>1043</v>
      </c>
      <c r="P68" s="1936" t="s">
        <v>1582</v>
      </c>
      <c r="Q68" s="1888">
        <f ca="1">ROUND(Q69-Q70*Q71,0)</f>
        <v>6</v>
      </c>
      <c r="R68" s="1888" t="s">
        <v>1051</v>
      </c>
    </row>
    <row r="69" spans="1:18" s="1844" customFormat="1" ht="13.5" thickBot="1">
      <c r="A69" s="1172"/>
      <c r="B69" s="1173"/>
      <c r="C69" s="351"/>
      <c r="D69" s="1191" t="s">
        <v>1473</v>
      </c>
      <c r="E69" s="1171" t="s">
        <v>1474</v>
      </c>
      <c r="F69" s="379">
        <f ca="1">F41</f>
        <v>34.26</v>
      </c>
      <c r="O69" s="1896" t="s">
        <v>1048</v>
      </c>
      <c r="P69" s="1936" t="s">
        <v>1583</v>
      </c>
      <c r="Q69" s="1888">
        <f ca="1">C39</f>
        <v>13.100000000000001</v>
      </c>
      <c r="R69" s="1888" t="s">
        <v>1529</v>
      </c>
    </row>
    <row r="70" spans="1:18" s="1844" customFormat="1" ht="13.5" thickBot="1">
      <c r="A70" s="1175"/>
      <c r="B70" s="1176"/>
      <c r="C70" s="355"/>
      <c r="D70" s="1187"/>
      <c r="E70" s="1171" t="s">
        <v>1477</v>
      </c>
      <c r="F70" s="1277"/>
      <c r="O70" s="1896" t="s">
        <v>1049</v>
      </c>
      <c r="P70" s="1936" t="s">
        <v>1584</v>
      </c>
      <c r="Q70" s="1888">
        <f ca="1">C13</f>
        <v>79</v>
      </c>
      <c r="R70" s="1888" t="s">
        <v>1529</v>
      </c>
    </row>
    <row r="71" spans="1:18" s="1844" customFormat="1" ht="13.5" thickBot="1">
      <c r="A71" s="1192" t="s">
        <v>1033</v>
      </c>
      <c r="B71" s="1193" t="s">
        <v>1487</v>
      </c>
      <c r="C71" s="382">
        <f ca="1">ROUND(C68*10000/F71,0)</f>
        <v>-7696</v>
      </c>
      <c r="D71" s="1194" t="s">
        <v>1488</v>
      </c>
      <c r="E71" s="1195" t="s">
        <v>1489</v>
      </c>
      <c r="F71" s="385">
        <f ca="1">F43</f>
        <v>168.91</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建筑物剩余耐用年限下的土地年期修正系数Kn</v>
      </c>
      <c r="Q74" s="1888" t="e">
        <f ca="1">L59</f>
        <v>#DIV/0!</v>
      </c>
      <c r="R74" s="1888" t="s">
        <v>1568</v>
      </c>
    </row>
    <row r="75" spans="1:18" ht="13.5" thickBot="1">
      <c r="A75" s="1844"/>
      <c r="B75" s="386" t="s">
        <v>1506</v>
      </c>
      <c r="C75" s="387">
        <f ca="1">ROUND(C13*C76,0)</f>
        <v>7</v>
      </c>
      <c r="D75" s="1844"/>
      <c r="E75" s="1844"/>
      <c r="F75" s="1844"/>
      <c r="K75" s="1870"/>
      <c r="L75" s="1844"/>
      <c r="O75" s="1886" t="s">
        <v>1046</v>
      </c>
      <c r="P75" s="1887" t="s">
        <v>1549</v>
      </c>
      <c r="Q75" s="1888">
        <f ca="1">Q65+Q66</f>
        <v>340</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0.46599999999999997</v>
      </c>
    </row>
    <row r="80" spans="1:18">
      <c r="B80" s="386" t="s">
        <v>1511</v>
      </c>
      <c r="C80" s="318">
        <f ca="1">ROUND(C75/C39,3)</f>
        <v>0.53400000000000003</v>
      </c>
    </row>
    <row r="81" spans="2:3">
      <c r="B81" s="314" t="s">
        <v>1512</v>
      </c>
      <c r="C81" s="282"/>
    </row>
    <row r="82" spans="2:3">
      <c r="B82" s="317" t="s">
        <v>1513</v>
      </c>
      <c r="C82" s="319">
        <f ca="1">1-C83</f>
        <v>0.76800000000000002</v>
      </c>
    </row>
    <row r="83" spans="2:3">
      <c r="B83" s="317" t="s">
        <v>1514</v>
      </c>
      <c r="C83" s="318">
        <f ca="1">ROUND(C13/C40,3)</f>
        <v>0.23200000000000001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opLeftCell="A21" zoomScale="90" zoomScaleNormal="90" workbookViewId="0">
      <selection activeCell="L41" sqref="L4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2640</v>
      </c>
      <c r="C1" s="1636" t="s">
        <v>2528</v>
      </c>
      <c r="D1" s="1623" t="s">
        <v>3368</v>
      </c>
      <c r="E1" s="2657"/>
      <c r="F1" s="2584" t="s">
        <v>3378</v>
      </c>
      <c r="G1" s="1633" t="s">
        <v>2641</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2325</v>
      </c>
      <c r="B2" s="1420">
        <f>IF(C2="——",ROUND(C49*D3/10000,0),ROUND(C49*D3/10000,0)-D2)</f>
        <v>805</v>
      </c>
      <c r="C2" s="2586" t="s">
        <v>70</v>
      </c>
      <c r="D2" s="1367">
        <f ca="1">SUMIF(INDIRECT("'"&amp;F2&amp;"'"&amp;"!A:A"),"承租人权益价值",INDIRECT("'"&amp;F2&amp;"'"&amp;"!c:c"))</f>
        <v>0</v>
      </c>
      <c r="E2" s="2587" t="s">
        <v>2326</v>
      </c>
      <c r="F2" s="2588" t="s">
        <v>3379</v>
      </c>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2327</v>
      </c>
      <c r="B3" s="609">
        <f>IF(C2="——",C49,ROUND(B2*10000/D3,0))</f>
        <v>47633</v>
      </c>
      <c r="C3" s="400" t="s">
        <v>2642</v>
      </c>
      <c r="D3" s="399">
        <f>IF(D1="",'数据-汇总表'!E3,SUMIF('数据-汇总表'!$C19:$C33,D1,'数据-汇总表'!$E19:$E33))</f>
        <v>168.91</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48" t="s">
        <v>2646</v>
      </c>
      <c r="AC4" s="3250" t="s">
        <v>2647</v>
      </c>
    </row>
    <row r="5" spans="1:29" ht="15">
      <c r="A5" s="404"/>
      <c r="B5" s="405"/>
      <c r="C5" s="3271" t="s">
        <v>3380</v>
      </c>
      <c r="D5" s="3272"/>
      <c r="E5" s="3279" t="s">
        <v>3381</v>
      </c>
      <c r="F5" s="3280"/>
      <c r="G5" s="3271" t="s">
        <v>3433</v>
      </c>
      <c r="H5" s="3272"/>
      <c r="I5" s="3271" t="s">
        <v>3434</v>
      </c>
      <c r="J5" s="3272"/>
      <c r="K5" s="610"/>
      <c r="L5" s="1132"/>
      <c r="M5" s="1133"/>
      <c r="N5" s="1133"/>
      <c r="O5" s="1133"/>
      <c r="P5" s="3259"/>
      <c r="Q5" s="3260"/>
      <c r="R5" s="3265"/>
      <c r="S5" s="3266"/>
      <c r="T5" s="3265"/>
      <c r="U5" s="3266"/>
      <c r="V5" s="3248"/>
      <c r="W5" s="3248"/>
      <c r="X5" s="1815"/>
      <c r="Y5" s="3265"/>
      <c r="Z5" s="3266"/>
      <c r="AA5" s="3251"/>
      <c r="AB5" s="3248"/>
      <c r="AC5" s="3251"/>
    </row>
    <row r="6" spans="1:29" ht="15.75" thickBot="1">
      <c r="A6" s="406"/>
      <c r="B6" s="407"/>
      <c r="C6" s="3276" t="s">
        <v>2544</v>
      </c>
      <c r="D6" s="3270"/>
      <c r="E6" s="3277" t="s">
        <v>3470</v>
      </c>
      <c r="F6" s="3278"/>
      <c r="G6" s="3269" t="s">
        <v>3473</v>
      </c>
      <c r="H6" s="3270"/>
      <c r="I6" s="3269" t="s">
        <v>3476</v>
      </c>
      <c r="J6" s="3270"/>
      <c r="K6" s="610" t="s">
        <v>2545</v>
      </c>
      <c r="L6" s="1132"/>
      <c r="M6" s="1133"/>
      <c r="N6" s="1133"/>
      <c r="O6" s="1133"/>
      <c r="P6" s="3261"/>
      <c r="Q6" s="3262"/>
      <c r="R6" s="3265"/>
      <c r="S6" s="3266"/>
      <c r="T6" s="3267"/>
      <c r="U6" s="3268"/>
      <c r="V6" s="3248"/>
      <c r="W6" s="3248"/>
      <c r="X6" s="1815"/>
      <c r="Y6" s="3267"/>
      <c r="Z6" s="3268"/>
      <c r="AA6" s="3252"/>
      <c r="AB6" s="3248"/>
      <c r="AC6" s="3252"/>
    </row>
    <row r="7" spans="1:29" s="117" customFormat="1" ht="15.75" thickBot="1">
      <c r="A7" s="408" t="s">
        <v>2546</v>
      </c>
      <c r="B7" s="409"/>
      <c r="C7" s="410">
        <f>'数据-取费表'!B2</f>
        <v>43202</v>
      </c>
      <c r="D7" s="411">
        <v>100</v>
      </c>
      <c r="E7" s="412">
        <f>C7</f>
        <v>43202</v>
      </c>
      <c r="F7" s="413">
        <f>SUMIF(58:58,YEAR(E7)&amp;"-"&amp;MONTH(E7),59:59)</f>
        <v>100</v>
      </c>
      <c r="G7" s="412">
        <f>C7</f>
        <v>43202</v>
      </c>
      <c r="H7" s="411">
        <f>SUMIF(58:58,YEAR(G7)&amp;"-"&amp;MONTH(G7),59:59)</f>
        <v>100</v>
      </c>
      <c r="I7" s="412">
        <f>C7</f>
        <v>43202</v>
      </c>
      <c r="J7" s="411">
        <f>SUMIF(58:58,YEAR(I7)&amp;"-"&amp;MONTH(I7),59:59)</f>
        <v>100</v>
      </c>
      <c r="K7" s="611"/>
      <c r="L7" s="1134"/>
      <c r="M7" s="1135"/>
      <c r="N7" s="1135"/>
      <c r="O7" s="1135"/>
      <c r="P7" s="3273" t="s">
        <v>2547</v>
      </c>
      <c r="Q7" s="3275"/>
      <c r="R7" s="769" t="s">
        <v>17</v>
      </c>
      <c r="S7" s="770">
        <f t="shared" ref="S7:S15" si="0">F7</f>
        <v>100</v>
      </c>
      <c r="T7" s="769" t="s">
        <v>17</v>
      </c>
      <c r="U7" s="770">
        <f t="shared" ref="U7:U15" si="1">H7</f>
        <v>100</v>
      </c>
      <c r="V7" s="769" t="s">
        <v>17</v>
      </c>
      <c r="W7" s="770">
        <f t="shared" ref="W7:W15" si="2">J7</f>
        <v>100</v>
      </c>
      <c r="X7" s="771"/>
      <c r="Y7" s="3273" t="s">
        <v>2547</v>
      </c>
      <c r="Z7" s="3274"/>
      <c r="AA7" s="772">
        <f>D7/F7</f>
        <v>1</v>
      </c>
      <c r="AB7" s="772">
        <f>D7/H7</f>
        <v>1</v>
      </c>
      <c r="AC7" s="772">
        <f>D7/J7</f>
        <v>1</v>
      </c>
    </row>
    <row r="8" spans="1:29" s="117" customFormat="1" ht="15.75" thickBot="1">
      <c r="A8" s="408" t="s">
        <v>2548</v>
      </c>
      <c r="B8" s="409"/>
      <c r="C8" s="414" t="s">
        <v>2650</v>
      </c>
      <c r="D8" s="411">
        <v>100</v>
      </c>
      <c r="E8" s="414" t="s">
        <v>3382</v>
      </c>
      <c r="F8" s="413">
        <f>SUMIF(61:61,E8,62:62)-SUMIF(61:61,C8,62:62)+100</f>
        <v>100</v>
      </c>
      <c r="G8" s="414" t="s">
        <v>3382</v>
      </c>
      <c r="H8" s="411">
        <f>SUMIF(61:61,G8,62:62)-SUMIF(61:61,C8,62:62)+100</f>
        <v>100</v>
      </c>
      <c r="I8" s="414" t="s">
        <v>3382</v>
      </c>
      <c r="J8" s="411">
        <f>SUMIF(61:61,I8,62:62)-SUMIF(61:61,C8,62:62)+100</f>
        <v>100</v>
      </c>
      <c r="K8" s="611"/>
      <c r="L8" s="1134"/>
      <c r="M8" s="1135"/>
      <c r="N8" s="1135"/>
      <c r="O8" s="1135"/>
      <c r="P8" s="3273" t="s">
        <v>2550</v>
      </c>
      <c r="Q8" s="3274"/>
      <c r="R8" s="769" t="s">
        <v>17</v>
      </c>
      <c r="S8" s="770">
        <f t="shared" si="0"/>
        <v>100</v>
      </c>
      <c r="T8" s="769" t="s">
        <v>17</v>
      </c>
      <c r="U8" s="770">
        <f t="shared" si="1"/>
        <v>100</v>
      </c>
      <c r="V8" s="769" t="s">
        <v>17</v>
      </c>
      <c r="W8" s="770">
        <f t="shared" si="2"/>
        <v>100</v>
      </c>
      <c r="X8" s="771"/>
      <c r="Y8" s="3273" t="s">
        <v>2550</v>
      </c>
      <c r="Z8" s="3274"/>
      <c r="AA8" s="772">
        <f t="shared" ref="AA8:AA46" si="3">D8/F8</f>
        <v>1</v>
      </c>
      <c r="AB8" s="772">
        <f t="shared" ref="AB8:AB46" si="4">D8/H8</f>
        <v>1</v>
      </c>
      <c r="AC8" s="772">
        <f t="shared" ref="AC8:AC46" si="5">D8/J8</f>
        <v>1</v>
      </c>
    </row>
    <row r="9" spans="1:29" s="117" customFormat="1">
      <c r="A9" s="415" t="s">
        <v>2551</v>
      </c>
      <c r="B9" s="71" t="s">
        <v>2552</v>
      </c>
      <c r="C9" s="2957" t="s">
        <v>3383</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772">
        <f t="shared" si="5"/>
        <v>1</v>
      </c>
    </row>
    <row r="10" spans="1:29" s="427" customFormat="1" ht="27">
      <c r="A10" s="421"/>
      <c r="B10" s="422" t="s">
        <v>2555</v>
      </c>
      <c r="C10" s="2964" t="s">
        <v>3444</v>
      </c>
      <c r="D10" s="136">
        <v>100</v>
      </c>
      <c r="E10" s="2965" t="s">
        <v>3444</v>
      </c>
      <c r="F10" s="425">
        <f>SUMIF(65:65,E10,66:66)-SUMIF(65:65,C10,66:66)+100</f>
        <v>100</v>
      </c>
      <c r="G10" s="2964" t="s">
        <v>3444</v>
      </c>
      <c r="H10" s="136">
        <f>SUMIF(65:65,G10,66:66)-SUMIF(65:65,C10,66:66)+100</f>
        <v>100</v>
      </c>
      <c r="I10" s="2964" t="s">
        <v>3444</v>
      </c>
      <c r="J10" s="136">
        <f>SUMIF(65:65,I10,66:66)-SUMIF(65:65,C10,66:66)+100</f>
        <v>100</v>
      </c>
      <c r="K10" s="612"/>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75" thickBot="1">
      <c r="A11" s="428"/>
      <c r="B11" s="422" t="s">
        <v>2556</v>
      </c>
      <c r="C11" s="429">
        <f>'数据-汇总表'!I3</f>
        <v>5.31</v>
      </c>
      <c r="D11" s="136">
        <v>100</v>
      </c>
      <c r="E11" s="430">
        <v>4</v>
      </c>
      <c r="F11" s="425">
        <f>LOOKUP(E11,68:68,69:69)-LOOKUP(C11,68:68,69:69)+100</f>
        <v>100</v>
      </c>
      <c r="G11" s="429">
        <v>4.09</v>
      </c>
      <c r="H11" s="136">
        <f>LOOKUP(G11,68:68,69:69)-LOOKUP(C11,68:68,69:69)+100</f>
        <v>100</v>
      </c>
      <c r="I11" s="429">
        <v>2.2999999999999998</v>
      </c>
      <c r="J11" s="136">
        <f>LOOKUP(I11,68:68,69:69)-LOOKUP(C11,68:68,69:69)+100</f>
        <v>105</v>
      </c>
      <c r="K11" s="612">
        <v>5</v>
      </c>
      <c r="L11" s="1140"/>
      <c r="M11" s="1133"/>
      <c r="N11" s="1133"/>
      <c r="O11" s="1133"/>
      <c r="P11" s="3249"/>
      <c r="Q11" s="1797" t="str">
        <f t="shared" si="6"/>
        <v>容积率</v>
      </c>
      <c r="R11" s="769" t="s">
        <v>17</v>
      </c>
      <c r="S11" s="770">
        <f t="shared" si="0"/>
        <v>100</v>
      </c>
      <c r="T11" s="769" t="s">
        <v>17</v>
      </c>
      <c r="U11" s="770">
        <f t="shared" si="1"/>
        <v>100</v>
      </c>
      <c r="V11" s="769" t="s">
        <v>17</v>
      </c>
      <c r="W11" s="770">
        <f t="shared" si="2"/>
        <v>105</v>
      </c>
      <c r="X11" s="771"/>
      <c r="Y11" s="3084"/>
      <c r="Z11" s="55" t="str">
        <f t="shared" si="7"/>
        <v>容积率</v>
      </c>
      <c r="AA11" s="772">
        <f t="shared" si="3"/>
        <v>1</v>
      </c>
      <c r="AB11" s="772">
        <f t="shared" si="4"/>
        <v>1</v>
      </c>
      <c r="AC11" s="772">
        <f t="shared" si="5"/>
        <v>0.95238095238095233</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49"/>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49"/>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49"/>
      <c r="Q14" s="1797">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97</v>
      </c>
      <c r="G15" s="444"/>
      <c r="H15" s="441">
        <f>SUMIF(76:76,G16,77:77)-SUMIF(76:76,C16,77:77)+100</f>
        <v>97</v>
      </c>
      <c r="I15" s="442"/>
      <c r="J15" s="441">
        <f>SUMIF(76:76,I16,77:77)-SUMIF(76:76,C16,77:77)+100</f>
        <v>100</v>
      </c>
      <c r="K15" s="614">
        <v>3</v>
      </c>
      <c r="L15" s="1142"/>
      <c r="M15" s="1133"/>
      <c r="N15" s="1133"/>
      <c r="O15" s="1133"/>
      <c r="P15" s="3239" t="s">
        <v>2558</v>
      </c>
      <c r="Q15" s="1812" t="str">
        <f t="shared" si="6"/>
        <v>商业繁华度</v>
      </c>
      <c r="R15" s="773" t="s">
        <v>17</v>
      </c>
      <c r="S15" s="774">
        <f t="shared" si="0"/>
        <v>97</v>
      </c>
      <c r="T15" s="773" t="s">
        <v>17</v>
      </c>
      <c r="U15" s="774">
        <f t="shared" si="1"/>
        <v>97</v>
      </c>
      <c r="V15" s="773" t="s">
        <v>17</v>
      </c>
      <c r="W15" s="774">
        <f t="shared" si="2"/>
        <v>100</v>
      </c>
      <c r="X15" s="1815"/>
      <c r="Y15" s="3241" t="s">
        <v>2558</v>
      </c>
      <c r="Z15" s="1816" t="str">
        <f t="shared" si="7"/>
        <v>商业繁华度</v>
      </c>
      <c r="AA15" s="1813">
        <f t="shared" si="3"/>
        <v>1.0309278350515463</v>
      </c>
      <c r="AB15" s="1813">
        <f t="shared" si="4"/>
        <v>1.0309278350515463</v>
      </c>
      <c r="AC15" s="1813">
        <f t="shared" si="5"/>
        <v>1</v>
      </c>
    </row>
    <row r="16" spans="1:29" ht="15">
      <c r="A16" s="428"/>
      <c r="B16" s="446"/>
      <c r="C16" s="447" t="s">
        <v>3384</v>
      </c>
      <c r="D16" s="448"/>
      <c r="E16" s="447" t="s">
        <v>3385</v>
      </c>
      <c r="F16" s="449"/>
      <c r="G16" s="447" t="s">
        <v>3385</v>
      </c>
      <c r="H16" s="450"/>
      <c r="I16" s="447" t="s">
        <v>3384</v>
      </c>
      <c r="J16" s="448"/>
      <c r="K16" s="615"/>
      <c r="L16" s="1142"/>
      <c r="M16" s="1133"/>
      <c r="N16" s="1133"/>
      <c r="O16" s="1133"/>
      <c r="P16" s="3240"/>
      <c r="Q16" s="1812"/>
      <c r="R16" s="773"/>
      <c r="S16" s="774"/>
      <c r="T16" s="773"/>
      <c r="U16" s="774"/>
      <c r="V16" s="773"/>
      <c r="W16" s="774"/>
      <c r="X16" s="1815"/>
      <c r="Y16" s="3242"/>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42"/>
      <c r="M17" s="1133"/>
      <c r="N17" s="1133"/>
      <c r="O17" s="1133"/>
      <c r="P17" s="3240"/>
      <c r="Q17" s="1812" t="str">
        <f>B17</f>
        <v>交通便捷度</v>
      </c>
      <c r="R17" s="773" t="s">
        <v>17</v>
      </c>
      <c r="S17" s="774">
        <f>F17</f>
        <v>100</v>
      </c>
      <c r="T17" s="773" t="s">
        <v>17</v>
      </c>
      <c r="U17" s="774">
        <f>H17</f>
        <v>100</v>
      </c>
      <c r="V17" s="773" t="s">
        <v>17</v>
      </c>
      <c r="W17" s="774">
        <f>J17</f>
        <v>100</v>
      </c>
      <c r="X17" s="1815"/>
      <c r="Y17" s="3242"/>
      <c r="Z17" s="1816" t="str">
        <f>Q17</f>
        <v>交通便捷度</v>
      </c>
      <c r="AA17" s="1813">
        <f t="shared" si="3"/>
        <v>1</v>
      </c>
      <c r="AB17" s="1813">
        <f t="shared" si="4"/>
        <v>1</v>
      </c>
      <c r="AC17" s="1813">
        <f t="shared" si="5"/>
        <v>1</v>
      </c>
    </row>
    <row r="18" spans="1:29" ht="15">
      <c r="A18" s="428"/>
      <c r="B18" s="456"/>
      <c r="C18" s="2608" t="s">
        <v>3384</v>
      </c>
      <c r="D18" s="450"/>
      <c r="E18" s="2610" t="s">
        <v>3384</v>
      </c>
      <c r="F18" s="453"/>
      <c r="G18" s="2609" t="s">
        <v>3384</v>
      </c>
      <c r="H18" s="448"/>
      <c r="I18" s="2610" t="s">
        <v>3384</v>
      </c>
      <c r="J18" s="448"/>
      <c r="K18" s="615"/>
      <c r="L18" s="1142"/>
      <c r="M18" s="1133"/>
      <c r="N18" s="1133"/>
      <c r="O18" s="1133"/>
      <c r="P18" s="3240"/>
      <c r="Q18" s="1812"/>
      <c r="R18" s="773"/>
      <c r="S18" s="774"/>
      <c r="T18" s="773"/>
      <c r="U18" s="774"/>
      <c r="V18" s="773"/>
      <c r="W18" s="774"/>
      <c r="X18" s="1815"/>
      <c r="Y18" s="3242"/>
      <c r="Z18" s="1816"/>
      <c r="AA18" s="1813">
        <v>1</v>
      </c>
      <c r="AB18" s="1813">
        <v>1</v>
      </c>
      <c r="AC18" s="1813">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42"/>
      <c r="M19" s="1133"/>
      <c r="N19" s="1133"/>
      <c r="O19" s="1133"/>
      <c r="P19" s="3240"/>
      <c r="Q19" s="1812" t="str">
        <f>B19</f>
        <v>公共配套设施</v>
      </c>
      <c r="R19" s="773" t="s">
        <v>17</v>
      </c>
      <c r="S19" s="774">
        <f>F19</f>
        <v>100</v>
      </c>
      <c r="T19" s="773" t="s">
        <v>17</v>
      </c>
      <c r="U19" s="774">
        <f>H19</f>
        <v>100</v>
      </c>
      <c r="V19" s="773" t="s">
        <v>17</v>
      </c>
      <c r="W19" s="774">
        <f>J19</f>
        <v>100</v>
      </c>
      <c r="X19" s="1815"/>
      <c r="Y19" s="3242"/>
      <c r="Z19" s="1816" t="str">
        <f>Q19</f>
        <v>公共配套设施</v>
      </c>
      <c r="AA19" s="1813">
        <f t="shared" si="3"/>
        <v>1</v>
      </c>
      <c r="AB19" s="1813">
        <f t="shared" si="4"/>
        <v>1</v>
      </c>
      <c r="AC19" s="1813">
        <f t="shared" si="5"/>
        <v>1</v>
      </c>
    </row>
    <row r="20" spans="1:29" ht="15">
      <c r="A20" s="428"/>
      <c r="B20" s="456"/>
      <c r="C20" s="447" t="s">
        <v>3384</v>
      </c>
      <c r="D20" s="448"/>
      <c r="E20" s="2605" t="s">
        <v>3384</v>
      </c>
      <c r="F20" s="449"/>
      <c r="G20" s="2604" t="s">
        <v>3384</v>
      </c>
      <c r="H20" s="448"/>
      <c r="I20" s="2605" t="s">
        <v>3384</v>
      </c>
      <c r="J20" s="448"/>
      <c r="K20" s="615"/>
      <c r="L20" s="1142"/>
      <c r="M20" s="1133"/>
      <c r="N20" s="1133"/>
      <c r="O20" s="1133"/>
      <c r="P20" s="3240"/>
      <c r="Q20" s="1812"/>
      <c r="R20" s="773"/>
      <c r="S20" s="774"/>
      <c r="T20" s="773"/>
      <c r="U20" s="774"/>
      <c r="V20" s="773"/>
      <c r="W20" s="774"/>
      <c r="X20" s="1815"/>
      <c r="Y20" s="3242"/>
      <c r="Z20" s="1816"/>
      <c r="AA20" s="1813">
        <v>1</v>
      </c>
      <c r="AB20" s="1813">
        <v>1</v>
      </c>
      <c r="AC20" s="1813">
        <v>1</v>
      </c>
    </row>
    <row r="21" spans="1:29" ht="28.5">
      <c r="A21" s="428"/>
      <c r="B21" s="1386"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240"/>
      <c r="Q21" s="1812" t="str">
        <f>B21</f>
        <v>基础设施水平</v>
      </c>
      <c r="R21" s="773" t="s">
        <v>17</v>
      </c>
      <c r="S21" s="774">
        <f>F21</f>
        <v>100</v>
      </c>
      <c r="T21" s="773" t="s">
        <v>17</v>
      </c>
      <c r="U21" s="774">
        <f>H21</f>
        <v>100</v>
      </c>
      <c r="V21" s="773" t="s">
        <v>17</v>
      </c>
      <c r="W21" s="774">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608" t="s">
        <v>3386</v>
      </c>
      <c r="D22" s="448"/>
      <c r="E22" s="447" t="s">
        <v>3386</v>
      </c>
      <c r="F22" s="449"/>
      <c r="G22" s="447" t="s">
        <v>3386</v>
      </c>
      <c r="H22" s="448"/>
      <c r="I22" s="447" t="s">
        <v>3386</v>
      </c>
      <c r="J22" s="448"/>
      <c r="K22" s="1385"/>
      <c r="L22" s="1142"/>
      <c r="M22" s="1133"/>
      <c r="N22" s="1133"/>
      <c r="O22" s="1133"/>
      <c r="P22" s="3240"/>
      <c r="Q22" s="1812"/>
      <c r="R22" s="773"/>
      <c r="S22" s="774"/>
      <c r="T22" s="773"/>
      <c r="U22" s="774"/>
      <c r="V22" s="773"/>
      <c r="W22" s="774"/>
      <c r="X22" s="1815"/>
      <c r="Y22" s="3242"/>
      <c r="Z22" s="1816"/>
      <c r="AA22" s="1813">
        <v>1</v>
      </c>
      <c r="AB22" s="1813">
        <v>1</v>
      </c>
      <c r="AC22" s="1813">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3</v>
      </c>
      <c r="L23" s="1142"/>
      <c r="M23" s="1133"/>
      <c r="N23" s="1133"/>
      <c r="O23" s="1133"/>
      <c r="P23" s="3240"/>
      <c r="Q23" s="1812" t="str">
        <f>B23</f>
        <v>自然及人文环境</v>
      </c>
      <c r="R23" s="773" t="s">
        <v>17</v>
      </c>
      <c r="S23" s="774">
        <f>F23</f>
        <v>100</v>
      </c>
      <c r="T23" s="773" t="s">
        <v>17</v>
      </c>
      <c r="U23" s="774">
        <f>H23</f>
        <v>100</v>
      </c>
      <c r="V23" s="773" t="s">
        <v>17</v>
      </c>
      <c r="W23" s="774">
        <f>J23</f>
        <v>100</v>
      </c>
      <c r="X23" s="1815"/>
      <c r="Y23" s="3242"/>
      <c r="Z23" s="1816" t="str">
        <f>Q23</f>
        <v>自然及人文环境</v>
      </c>
      <c r="AA23" s="1813">
        <f t="shared" si="3"/>
        <v>1</v>
      </c>
      <c r="AB23" s="1813">
        <f t="shared" si="4"/>
        <v>1</v>
      </c>
      <c r="AC23" s="1813">
        <f t="shared" si="5"/>
        <v>1</v>
      </c>
    </row>
    <row r="24" spans="1:29" ht="15">
      <c r="A24" s="428"/>
      <c r="B24" s="456"/>
      <c r="C24" s="447" t="s">
        <v>3384</v>
      </c>
      <c r="D24" s="448"/>
      <c r="E24" s="2605" t="s">
        <v>3384</v>
      </c>
      <c r="F24" s="449"/>
      <c r="G24" s="2604" t="s">
        <v>3384</v>
      </c>
      <c r="H24" s="448"/>
      <c r="I24" s="2605" t="s">
        <v>3384</v>
      </c>
      <c r="J24" s="448"/>
      <c r="K24" s="615"/>
      <c r="L24" s="1142"/>
      <c r="M24" s="1133"/>
      <c r="N24" s="1133"/>
      <c r="O24" s="1133"/>
      <c r="P24" s="3240"/>
      <c r="Q24" s="1812"/>
      <c r="R24" s="773"/>
      <c r="S24" s="774"/>
      <c r="T24" s="773"/>
      <c r="U24" s="774"/>
      <c r="V24" s="773"/>
      <c r="W24" s="774"/>
      <c r="X24" s="1815"/>
      <c r="Y24" s="3242"/>
      <c r="Z24" s="1816"/>
      <c r="AA24" s="1813">
        <v>1</v>
      </c>
      <c r="AB24" s="1813">
        <v>1</v>
      </c>
      <c r="AC24" s="1813">
        <v>1</v>
      </c>
    </row>
    <row r="25" spans="1:29" ht="15">
      <c r="A25" s="428"/>
      <c r="B25" s="422" t="s">
        <v>2654</v>
      </c>
      <c r="C25" s="616" t="s">
        <v>3389</v>
      </c>
      <c r="D25" s="435">
        <v>100</v>
      </c>
      <c r="E25" s="616" t="s">
        <v>3389</v>
      </c>
      <c r="F25" s="461">
        <f>SUMIF(86:86,E25,87:87)-SUMIF(86:86,C25,87:87)+100</f>
        <v>100</v>
      </c>
      <c r="G25" s="616" t="s">
        <v>3389</v>
      </c>
      <c r="H25" s="435">
        <f>SUMIF(86:86,G25,87:87)-SUMIF(86:86,C25,87:87)+100</f>
        <v>100</v>
      </c>
      <c r="I25" s="616" t="s">
        <v>3389</v>
      </c>
      <c r="J25" s="435">
        <f>SUMIF(86:86,I25,87:87)-SUMIF(86:86,C25,87:87)+100</f>
        <v>100</v>
      </c>
      <c r="K25" s="612">
        <v>3</v>
      </c>
      <c r="L25" s="1142"/>
      <c r="M25" s="1133"/>
      <c r="N25" s="1133"/>
      <c r="O25" s="1133"/>
      <c r="P25" s="3240"/>
      <c r="Q25" s="1812" t="str">
        <f t="shared" ref="Q25:Q46" si="11">B25</f>
        <v>临街状况</v>
      </c>
      <c r="R25" s="773" t="s">
        <v>17</v>
      </c>
      <c r="S25" s="774">
        <f>F25</f>
        <v>100</v>
      </c>
      <c r="T25" s="773" t="s">
        <v>17</v>
      </c>
      <c r="U25" s="774">
        <f>H25</f>
        <v>100</v>
      </c>
      <c r="V25" s="773" t="s">
        <v>17</v>
      </c>
      <c r="W25" s="774">
        <f>J25</f>
        <v>100</v>
      </c>
      <c r="X25" s="1815"/>
      <c r="Y25" s="3242"/>
      <c r="Z25" s="1816" t="str">
        <f>Q25</f>
        <v>临街状况</v>
      </c>
      <c r="AA25" s="1813">
        <f t="shared" si="3"/>
        <v>1</v>
      </c>
      <c r="AB25" s="1813">
        <f t="shared" si="4"/>
        <v>1</v>
      </c>
      <c r="AC25" s="1813">
        <f t="shared" si="5"/>
        <v>1</v>
      </c>
    </row>
    <row r="26" spans="1:29" ht="15">
      <c r="A26" s="428"/>
      <c r="B26" s="1388" t="s">
        <v>2655</v>
      </c>
      <c r="C26" s="2962" t="s">
        <v>3392</v>
      </c>
      <c r="D26" s="435">
        <v>100</v>
      </c>
      <c r="E26" s="2962" t="s">
        <v>3392</v>
      </c>
      <c r="F26" s="461">
        <f>SUMIF(88:88,E26,89:89)-SUMIF(88:88,C26,89:89)+100</f>
        <v>100</v>
      </c>
      <c r="G26" s="2962" t="s">
        <v>3393</v>
      </c>
      <c r="H26" s="435">
        <f>SUMIF(88:88,G26,89:89)-SUMIF(88:88,C26,89:89)+100</f>
        <v>97</v>
      </c>
      <c r="I26" s="2962" t="s">
        <v>3392</v>
      </c>
      <c r="J26" s="435">
        <f>SUMIF(88:88,I26,89:89)-SUMIF(88:88,C26,89:89)+100</f>
        <v>100</v>
      </c>
      <c r="K26" s="613"/>
      <c r="L26" s="1142"/>
      <c r="M26" s="1133"/>
      <c r="N26" s="1133"/>
      <c r="O26" s="1133"/>
      <c r="P26" s="3240"/>
      <c r="Q26" s="1812" t="str">
        <f t="shared" si="11"/>
        <v>平面位置/可视性</v>
      </c>
      <c r="R26" s="773" t="s">
        <v>17</v>
      </c>
      <c r="S26" s="774">
        <f>F26</f>
        <v>100</v>
      </c>
      <c r="T26" s="773" t="s">
        <v>17</v>
      </c>
      <c r="U26" s="774">
        <f>H26</f>
        <v>97</v>
      </c>
      <c r="V26" s="773" t="s">
        <v>17</v>
      </c>
      <c r="W26" s="774">
        <f>J26</f>
        <v>100</v>
      </c>
      <c r="X26" s="1815"/>
      <c r="Y26" s="3242"/>
      <c r="Z26" s="1816" t="str">
        <f>Q26</f>
        <v>平面位置/可视性</v>
      </c>
      <c r="AA26" s="1813">
        <f t="shared" si="3"/>
        <v>1</v>
      </c>
      <c r="AB26" s="1813">
        <f t="shared" si="4"/>
        <v>1.0309278350515463</v>
      </c>
      <c r="AC26" s="1813">
        <f t="shared" si="5"/>
        <v>1</v>
      </c>
    </row>
    <row r="27" spans="1:29" s="117" customFormat="1" ht="15.75">
      <c r="A27" s="431"/>
      <c r="B27" s="451" t="s">
        <v>2656</v>
      </c>
      <c r="C27" s="2665" t="s">
        <v>3384</v>
      </c>
      <c r="D27" s="462">
        <v>100</v>
      </c>
      <c r="E27" s="2665" t="s">
        <v>3385</v>
      </c>
      <c r="F27" s="2968">
        <f>SUMIF(90:90,E27,91:91)-SUMIF(90:90,C27,91:91)+100</f>
        <v>99</v>
      </c>
      <c r="G27" s="2665" t="s">
        <v>3385</v>
      </c>
      <c r="H27" s="2967">
        <f>SUMIF(90:90,G27,91:91)-SUMIF(90:90,C27,91:91)+100</f>
        <v>99</v>
      </c>
      <c r="I27" s="2665" t="s">
        <v>3385</v>
      </c>
      <c r="J27" s="2967">
        <f>SUMIF(90:90,I27,91:91)-SUMIF(90:90,C27,91:91)+100</f>
        <v>99</v>
      </c>
      <c r="K27" s="2966">
        <v>1</v>
      </c>
      <c r="L27" s="1134"/>
      <c r="M27" s="1135"/>
      <c r="N27" s="1135"/>
      <c r="O27" s="1135"/>
      <c r="P27" s="3240"/>
      <c r="Q27" s="1797" t="str">
        <f t="shared" si="11"/>
        <v>人流量</v>
      </c>
      <c r="R27" s="769" t="s">
        <v>17</v>
      </c>
      <c r="S27" s="770">
        <f>F27</f>
        <v>99</v>
      </c>
      <c r="T27" s="769" t="s">
        <v>17</v>
      </c>
      <c r="U27" s="770">
        <f>H27</f>
        <v>99</v>
      </c>
      <c r="V27" s="769" t="s">
        <v>17</v>
      </c>
      <c r="W27" s="770">
        <f>J27</f>
        <v>99</v>
      </c>
      <c r="X27" s="771"/>
      <c r="Y27" s="3242"/>
      <c r="Z27" s="55" t="str">
        <f>Q27</f>
        <v>人流量</v>
      </c>
      <c r="AA27" s="1813">
        <f>D27/F27</f>
        <v>1.0101010101010102</v>
      </c>
      <c r="AB27" s="1813">
        <f>D27/H27</f>
        <v>1.0101010101010102</v>
      </c>
      <c r="AC27" s="1813">
        <f>D27/J27</f>
        <v>1.0101010101010102</v>
      </c>
    </row>
    <row r="28" spans="1:29" ht="15.75" thickBot="1">
      <c r="A28" s="428"/>
      <c r="B28" s="422" t="s">
        <v>2657</v>
      </c>
      <c r="C28" s="616" t="s">
        <v>3432</v>
      </c>
      <c r="D28" s="435">
        <v>100</v>
      </c>
      <c r="E28" s="616" t="s">
        <v>3432</v>
      </c>
      <c r="F28" s="461">
        <f>SUMIF(92:92,E28,93:93)-SUMIF(92:92,C28,93:93)+100</f>
        <v>100</v>
      </c>
      <c r="G28" s="616" t="s">
        <v>3432</v>
      </c>
      <c r="H28" s="435">
        <f>SUMIF(92:92,G28,93:93)-SUMIF(92:92,C28,93:93)+100</f>
        <v>100</v>
      </c>
      <c r="I28" s="616" t="s">
        <v>3432</v>
      </c>
      <c r="J28" s="435">
        <f>SUMIF(92:92,I28,93:93)-SUMIF(92:92,C28,93:93)+100</f>
        <v>100</v>
      </c>
      <c r="K28" s="613"/>
      <c r="L28" s="1142"/>
      <c r="M28" s="1133"/>
      <c r="N28" s="1133"/>
      <c r="O28" s="1133"/>
      <c r="P28" s="3240"/>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2"/>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40"/>
      <c r="Q29" s="1812">
        <f t="shared" si="11"/>
        <v>111</v>
      </c>
      <c r="R29" s="773" t="s">
        <v>17</v>
      </c>
      <c r="S29" s="774">
        <f t="shared" si="12"/>
        <v>100</v>
      </c>
      <c r="T29" s="773" t="s">
        <v>17</v>
      </c>
      <c r="U29" s="774">
        <f t="shared" si="13"/>
        <v>100</v>
      </c>
      <c r="V29" s="773" t="s">
        <v>17</v>
      </c>
      <c r="W29" s="774">
        <f t="shared" si="14"/>
        <v>100</v>
      </c>
      <c r="X29" s="1815"/>
      <c r="Y29" s="3242"/>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40"/>
      <c r="Q30" s="1812">
        <f t="shared" si="11"/>
        <v>111</v>
      </c>
      <c r="R30" s="773" t="s">
        <v>17</v>
      </c>
      <c r="S30" s="774">
        <f t="shared" si="12"/>
        <v>100</v>
      </c>
      <c r="T30" s="773" t="s">
        <v>17</v>
      </c>
      <c r="U30" s="774">
        <f t="shared" si="13"/>
        <v>100</v>
      </c>
      <c r="V30" s="773" t="s">
        <v>17</v>
      </c>
      <c r="W30" s="774">
        <f t="shared" si="14"/>
        <v>100</v>
      </c>
      <c r="X30" s="1815"/>
      <c r="Y30" s="3242"/>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40"/>
      <c r="Q31" s="1812">
        <f t="shared" si="11"/>
        <v>111</v>
      </c>
      <c r="R31" s="773" t="s">
        <v>17</v>
      </c>
      <c r="S31" s="774">
        <f t="shared" si="12"/>
        <v>100</v>
      </c>
      <c r="T31" s="773" t="s">
        <v>17</v>
      </c>
      <c r="U31" s="774">
        <f t="shared" si="13"/>
        <v>100</v>
      </c>
      <c r="V31" s="773" t="s">
        <v>17</v>
      </c>
      <c r="W31" s="774">
        <f t="shared" si="14"/>
        <v>100</v>
      </c>
      <c r="X31" s="1815"/>
      <c r="Y31" s="3242"/>
      <c r="Z31" s="1816">
        <f t="shared" si="15"/>
        <v>111</v>
      </c>
      <c r="AA31" s="1813">
        <f t="shared" si="3"/>
        <v>1</v>
      </c>
      <c r="AB31" s="1813">
        <f t="shared" si="4"/>
        <v>1</v>
      </c>
      <c r="AC31" s="1813">
        <f t="shared" si="5"/>
        <v>1</v>
      </c>
    </row>
    <row r="32" spans="1:29" ht="15">
      <c r="A32" s="440" t="s">
        <v>2561</v>
      </c>
      <c r="B32" s="71" t="s">
        <v>2658</v>
      </c>
      <c r="C32" s="2617" t="s">
        <v>3401</v>
      </c>
      <c r="D32" s="467">
        <v>100</v>
      </c>
      <c r="E32" s="2617" t="s">
        <v>3403</v>
      </c>
      <c r="F32" s="461">
        <f>SUMIF(100:100,E32,101:101)-SUMIF(100:100,C32,101:101)+100</f>
        <v>95</v>
      </c>
      <c r="G32" s="2617" t="s">
        <v>3403</v>
      </c>
      <c r="H32" s="435">
        <f>SUMIF(100:100,G32,101:101)-SUMIF(100:100,C32,101:101)+100</f>
        <v>95</v>
      </c>
      <c r="I32" s="2617" t="s">
        <v>3406</v>
      </c>
      <c r="J32" s="467">
        <f>SUMIF(100:100,I32,101:101)-SUMIF(100:100,C32,101:101)+100</f>
        <v>85</v>
      </c>
      <c r="K32" s="612">
        <v>5</v>
      </c>
      <c r="L32" s="1142"/>
      <c r="M32" s="1133"/>
      <c r="N32" s="1133"/>
      <c r="O32" s="1133"/>
      <c r="P32" s="3243" t="s">
        <v>2563</v>
      </c>
      <c r="Q32" s="1812" t="str">
        <f t="shared" si="11"/>
        <v>商业类型</v>
      </c>
      <c r="R32" s="773" t="s">
        <v>17</v>
      </c>
      <c r="S32" s="774">
        <f t="shared" si="12"/>
        <v>95</v>
      </c>
      <c r="T32" s="773" t="s">
        <v>17</v>
      </c>
      <c r="U32" s="774">
        <f t="shared" si="13"/>
        <v>95</v>
      </c>
      <c r="V32" s="773" t="s">
        <v>17</v>
      </c>
      <c r="W32" s="774">
        <f t="shared" si="14"/>
        <v>85</v>
      </c>
      <c r="X32" s="1815"/>
      <c r="Y32" s="3246" t="s">
        <v>2563</v>
      </c>
      <c r="Z32" s="1816" t="str">
        <f t="shared" si="15"/>
        <v>商业类型</v>
      </c>
      <c r="AA32" s="1813">
        <f t="shared" si="3"/>
        <v>1.0526315789473684</v>
      </c>
      <c r="AB32" s="1813">
        <f t="shared" si="4"/>
        <v>1.0526315789473684</v>
      </c>
      <c r="AC32" s="1813">
        <f t="shared" si="5"/>
        <v>1.1764705882352942</v>
      </c>
    </row>
    <row r="33" spans="1:29" s="471" customFormat="1" ht="15">
      <c r="A33" s="468"/>
      <c r="B33" s="422" t="s">
        <v>2564</v>
      </c>
      <c r="C33" s="469">
        <v>191290</v>
      </c>
      <c r="D33" s="136">
        <v>100</v>
      </c>
      <c r="E33" s="430">
        <v>80000</v>
      </c>
      <c r="F33" s="425">
        <f>LOOKUP(E33,103:103,104:104)-LOOKUP(C33,103:103,104:104)+100</f>
        <v>98</v>
      </c>
      <c r="G33" s="429">
        <v>220000</v>
      </c>
      <c r="H33" s="136">
        <f>LOOKUP(G33,103:103,104:104)-LOOKUP(C33,103:103,104:104)+100</f>
        <v>102</v>
      </c>
      <c r="I33" s="429">
        <v>184017</v>
      </c>
      <c r="J33" s="136">
        <f>LOOKUP(I33,103:103,104:104)-LOOKUP(C33,103:103,104:104)+100</f>
        <v>100</v>
      </c>
      <c r="K33" s="613"/>
      <c r="L33" s="1140"/>
      <c r="M33" s="1143"/>
      <c r="N33" s="1143"/>
      <c r="O33" s="1143"/>
      <c r="P33" s="3244"/>
      <c r="Q33" s="775" t="str">
        <f t="shared" si="11"/>
        <v>项目建筑规模</v>
      </c>
      <c r="R33" s="776" t="s">
        <v>17</v>
      </c>
      <c r="S33" s="777">
        <f t="shared" si="12"/>
        <v>98</v>
      </c>
      <c r="T33" s="776" t="s">
        <v>17</v>
      </c>
      <c r="U33" s="777">
        <f t="shared" si="13"/>
        <v>102</v>
      </c>
      <c r="V33" s="776" t="s">
        <v>17</v>
      </c>
      <c r="W33" s="777">
        <f t="shared" si="14"/>
        <v>100</v>
      </c>
      <c r="X33" s="778"/>
      <c r="Y33" s="3246"/>
      <c r="Z33" s="779" t="str">
        <f t="shared" si="15"/>
        <v>项目建筑规模</v>
      </c>
      <c r="AA33" s="1813">
        <f t="shared" si="3"/>
        <v>1.0204081632653061</v>
      </c>
      <c r="AB33" s="1813">
        <f t="shared" si="4"/>
        <v>0.98039215686274506</v>
      </c>
      <c r="AC33" s="1813">
        <f t="shared" si="5"/>
        <v>1</v>
      </c>
    </row>
    <row r="34" spans="1:29" ht="15">
      <c r="A34" s="472"/>
      <c r="B34" s="422" t="s">
        <v>2565</v>
      </c>
      <c r="C34" s="2619" t="s">
        <v>3375</v>
      </c>
      <c r="D34" s="435">
        <v>100</v>
      </c>
      <c r="E34" s="2619" t="s">
        <v>3375</v>
      </c>
      <c r="F34" s="461">
        <f>SUMIF(105:105,E34,106:106)-SUMIF(105:105,C34,106:106)+100</f>
        <v>100</v>
      </c>
      <c r="G34" s="2619" t="s">
        <v>3375</v>
      </c>
      <c r="H34" s="435">
        <f>SUMIF(105:105,G34,106:106)-SUMIF(105:105,C34,106:106)+100</f>
        <v>100</v>
      </c>
      <c r="I34" s="2619" t="s">
        <v>3375</v>
      </c>
      <c r="J34" s="435">
        <f>SUMIF(105:105,I34,106:106)-SUMIF(105:105,C34,106:106)+100</f>
        <v>100</v>
      </c>
      <c r="K34" s="612"/>
      <c r="L34" s="1142"/>
      <c r="M34" s="1133"/>
      <c r="N34" s="1133"/>
      <c r="O34" s="1133"/>
      <c r="P34" s="3244"/>
      <c r="Q34" s="1812" t="str">
        <f t="shared" si="11"/>
        <v>建筑结构</v>
      </c>
      <c r="R34" s="773" t="s">
        <v>17</v>
      </c>
      <c r="S34" s="774">
        <f t="shared" si="12"/>
        <v>100</v>
      </c>
      <c r="T34" s="773" t="s">
        <v>17</v>
      </c>
      <c r="U34" s="774">
        <f t="shared" si="13"/>
        <v>100</v>
      </c>
      <c r="V34" s="773" t="s">
        <v>17</v>
      </c>
      <c r="W34" s="774">
        <f t="shared" si="14"/>
        <v>100</v>
      </c>
      <c r="X34" s="1815"/>
      <c r="Y34" s="3246"/>
      <c r="Z34" s="1816" t="str">
        <f t="shared" si="15"/>
        <v>建筑结构</v>
      </c>
      <c r="AA34" s="1813">
        <f t="shared" si="3"/>
        <v>1</v>
      </c>
      <c r="AB34" s="1813">
        <f t="shared" si="4"/>
        <v>1</v>
      </c>
      <c r="AC34" s="1813">
        <f t="shared" si="5"/>
        <v>1</v>
      </c>
    </row>
    <row r="35" spans="1:29" ht="15">
      <c r="A35" s="472"/>
      <c r="B35" s="422" t="s">
        <v>2659</v>
      </c>
      <c r="C35" s="2613" t="s">
        <v>3412</v>
      </c>
      <c r="D35" s="435">
        <v>100</v>
      </c>
      <c r="E35" s="2613" t="s">
        <v>3414</v>
      </c>
      <c r="F35" s="461">
        <f>SUMIF(107:107,E35,108:108)-SUMIF(107:107,C35,108:108)+100</f>
        <v>97</v>
      </c>
      <c r="G35" s="2613" t="s">
        <v>3412</v>
      </c>
      <c r="H35" s="435">
        <f>SUMIF(107:107,G35,108:108)-SUMIF(107:107,C35,108:108)+100</f>
        <v>100</v>
      </c>
      <c r="I35" s="2613" t="s">
        <v>3412</v>
      </c>
      <c r="J35" s="435">
        <f>SUMIF(107:107,I35,108:108)-SUMIF(107:107,C35,108:108)+100</f>
        <v>100</v>
      </c>
      <c r="K35" s="612">
        <v>3</v>
      </c>
      <c r="L35" s="1142"/>
      <c r="M35" s="1133"/>
      <c r="N35" s="1133"/>
      <c r="O35" s="1133"/>
      <c r="P35" s="3244"/>
      <c r="Q35" s="1812" t="str">
        <f t="shared" si="11"/>
        <v>公共部分装修</v>
      </c>
      <c r="R35" s="773" t="s">
        <v>17</v>
      </c>
      <c r="S35" s="774">
        <f t="shared" si="12"/>
        <v>97</v>
      </c>
      <c r="T35" s="773" t="s">
        <v>17</v>
      </c>
      <c r="U35" s="774">
        <f t="shared" si="13"/>
        <v>100</v>
      </c>
      <c r="V35" s="773" t="s">
        <v>17</v>
      </c>
      <c r="W35" s="774">
        <f t="shared" si="14"/>
        <v>100</v>
      </c>
      <c r="X35" s="1815"/>
      <c r="Y35" s="3246"/>
      <c r="Z35" s="1816" t="str">
        <f t="shared" si="15"/>
        <v>公共部分装修</v>
      </c>
      <c r="AA35" s="1813">
        <f t="shared" si="3"/>
        <v>1.0309278350515463</v>
      </c>
      <c r="AB35" s="1813">
        <f t="shared" si="4"/>
        <v>1</v>
      </c>
      <c r="AC35" s="1813">
        <f t="shared" si="5"/>
        <v>1</v>
      </c>
    </row>
    <row r="36" spans="1:29" ht="15">
      <c r="A36" s="472"/>
      <c r="B36" s="422" t="s">
        <v>2660</v>
      </c>
      <c r="C36" s="474">
        <f>'数据-取费表'!N6</f>
        <v>0.95</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2"/>
      <c r="M36" s="1133"/>
      <c r="N36" s="1133"/>
      <c r="O36" s="1133"/>
      <c r="P36" s="3244"/>
      <c r="Q36" s="1812" t="str">
        <f t="shared" si="11"/>
        <v>成新度</v>
      </c>
      <c r="R36" s="773" t="s">
        <v>17</v>
      </c>
      <c r="S36" s="774">
        <f t="shared" si="12"/>
        <v>100</v>
      </c>
      <c r="T36" s="773" t="s">
        <v>17</v>
      </c>
      <c r="U36" s="774">
        <f t="shared" si="13"/>
        <v>100</v>
      </c>
      <c r="V36" s="773" t="s">
        <v>17</v>
      </c>
      <c r="W36" s="774">
        <f t="shared" si="14"/>
        <v>100</v>
      </c>
      <c r="X36" s="1815"/>
      <c r="Y36" s="3246"/>
      <c r="Z36" s="1816" t="str">
        <f t="shared" si="15"/>
        <v>成新度</v>
      </c>
      <c r="AA36" s="1813">
        <f t="shared" si="3"/>
        <v>1</v>
      </c>
      <c r="AB36" s="1813">
        <f t="shared" si="4"/>
        <v>1</v>
      </c>
      <c r="AC36" s="1813">
        <f t="shared" si="5"/>
        <v>1</v>
      </c>
    </row>
    <row r="37" spans="1:29" s="117" customFormat="1" ht="15">
      <c r="A37" s="473"/>
      <c r="B37" s="422" t="s">
        <v>2661</v>
      </c>
      <c r="C37" s="2613" t="s">
        <v>3386</v>
      </c>
      <c r="D37" s="136">
        <v>100</v>
      </c>
      <c r="E37" s="2613" t="s">
        <v>3386</v>
      </c>
      <c r="F37" s="461">
        <f>SUMIF(112:112,E37,113:113)-SUMIF(112:112,C37,113:113)+100</f>
        <v>100</v>
      </c>
      <c r="G37" s="2613" t="s">
        <v>3386</v>
      </c>
      <c r="H37" s="435">
        <f>SUMIF(112:112,G37,113:113)-SUMIF(112:112,C37,113:113)+100</f>
        <v>100</v>
      </c>
      <c r="I37" s="2613" t="s">
        <v>3386</v>
      </c>
      <c r="J37" s="435">
        <f>SUMIF(112:112,I37,113:113)-SUMIF(112:112,C37,113:113)+100</f>
        <v>100</v>
      </c>
      <c r="K37" s="612"/>
      <c r="L37" s="1134"/>
      <c r="M37" s="1135"/>
      <c r="N37" s="1135"/>
      <c r="O37" s="1135"/>
      <c r="P37" s="3244"/>
      <c r="Q37" s="1797" t="str">
        <f t="shared" si="11"/>
        <v>市政基础设施</v>
      </c>
      <c r="R37" s="769" t="s">
        <v>17</v>
      </c>
      <c r="S37" s="770">
        <f t="shared" si="12"/>
        <v>100</v>
      </c>
      <c r="T37" s="769" t="s">
        <v>17</v>
      </c>
      <c r="U37" s="770">
        <f t="shared" si="13"/>
        <v>100</v>
      </c>
      <c r="V37" s="769" t="s">
        <v>17</v>
      </c>
      <c r="W37" s="770">
        <f t="shared" si="14"/>
        <v>100</v>
      </c>
      <c r="X37" s="771"/>
      <c r="Y37" s="3246"/>
      <c r="Z37" s="55" t="str">
        <f t="shared" si="15"/>
        <v>市政基础设施</v>
      </c>
      <c r="AA37" s="772">
        <f t="shared" si="3"/>
        <v>1</v>
      </c>
      <c r="AB37" s="772">
        <f t="shared" si="4"/>
        <v>1</v>
      </c>
      <c r="AC37" s="772">
        <f t="shared" si="5"/>
        <v>1</v>
      </c>
    </row>
    <row r="38" spans="1:29" ht="15">
      <c r="A38" s="472"/>
      <c r="B38" s="422" t="s">
        <v>2662</v>
      </c>
      <c r="C38" s="2613" t="s">
        <v>3423</v>
      </c>
      <c r="D38" s="435">
        <v>100</v>
      </c>
      <c r="E38" s="2613" t="s">
        <v>3425</v>
      </c>
      <c r="F38" s="461">
        <f>SUMIF(114:114,E38,115:115)-SUMIF(114:114,C38,115:115)+100</f>
        <v>95</v>
      </c>
      <c r="G38" s="2613" t="s">
        <v>3423</v>
      </c>
      <c r="H38" s="435">
        <f>SUMIF(114:114,G38,115:115)-SUMIF(114:114,C38,115:115)+100</f>
        <v>100</v>
      </c>
      <c r="I38" s="2613" t="s">
        <v>3427</v>
      </c>
      <c r="J38" s="435">
        <f>SUMIF(114:114,I38,115:115)-SUMIF(114:114,C38,115:115)+100</f>
        <v>90</v>
      </c>
      <c r="K38" s="612">
        <v>5</v>
      </c>
      <c r="L38" s="1142"/>
      <c r="M38" s="1133"/>
      <c r="N38" s="1133"/>
      <c r="O38" s="1133"/>
      <c r="P38" s="3244" t="s">
        <v>2563</v>
      </c>
      <c r="Q38" s="1812" t="str">
        <f t="shared" si="11"/>
        <v>业态</v>
      </c>
      <c r="R38" s="773" t="s">
        <v>17</v>
      </c>
      <c r="S38" s="774">
        <f t="shared" si="12"/>
        <v>95</v>
      </c>
      <c r="T38" s="773" t="s">
        <v>17</v>
      </c>
      <c r="U38" s="774">
        <f t="shared" si="13"/>
        <v>100</v>
      </c>
      <c r="V38" s="773" t="s">
        <v>17</v>
      </c>
      <c r="W38" s="774">
        <f t="shared" si="14"/>
        <v>90</v>
      </c>
      <c r="X38" s="1815"/>
      <c r="Y38" s="3246" t="s">
        <v>2563</v>
      </c>
      <c r="Z38" s="1816" t="str">
        <f t="shared" si="15"/>
        <v>业态</v>
      </c>
      <c r="AA38" s="1813">
        <f t="shared" si="3"/>
        <v>1.0526315789473684</v>
      </c>
      <c r="AB38" s="1813">
        <f t="shared" si="4"/>
        <v>1</v>
      </c>
      <c r="AC38" s="1813">
        <f t="shared" si="5"/>
        <v>1.1111111111111112</v>
      </c>
    </row>
    <row r="39" spans="1:29" ht="15">
      <c r="A39" s="472"/>
      <c r="B39" s="422" t="s">
        <v>2663</v>
      </c>
      <c r="C39" s="2613" t="s">
        <v>3429</v>
      </c>
      <c r="D39" s="435">
        <v>100</v>
      </c>
      <c r="E39" s="2613" t="s">
        <v>3429</v>
      </c>
      <c r="F39" s="461">
        <f>SUMIF(116:116,E39,117:117)-SUMIF(116:116,C39,117:117)+100</f>
        <v>100</v>
      </c>
      <c r="G39" s="2613" t="s">
        <v>3429</v>
      </c>
      <c r="H39" s="435">
        <f>SUMIF(116:116,G39,117:117)-SUMIF(116:116,C39,117:117)+100</f>
        <v>100</v>
      </c>
      <c r="I39" s="2613" t="s">
        <v>3429</v>
      </c>
      <c r="J39" s="435">
        <f>SUMIF(116:116,I39,117:117)-SUMIF(116:116,C39,117:117)+100</f>
        <v>100</v>
      </c>
      <c r="K39" s="612"/>
      <c r="L39" s="1142"/>
      <c r="M39" s="1133"/>
      <c r="N39" s="1133"/>
      <c r="O39" s="1133"/>
      <c r="P39" s="3244"/>
      <c r="Q39" s="1812" t="str">
        <f t="shared" si="11"/>
        <v>层高</v>
      </c>
      <c r="R39" s="773" t="s">
        <v>17</v>
      </c>
      <c r="S39" s="774">
        <f t="shared" si="12"/>
        <v>100</v>
      </c>
      <c r="T39" s="773" t="s">
        <v>17</v>
      </c>
      <c r="U39" s="774">
        <f t="shared" si="13"/>
        <v>100</v>
      </c>
      <c r="V39" s="773" t="s">
        <v>17</v>
      </c>
      <c r="W39" s="774">
        <f t="shared" si="14"/>
        <v>100</v>
      </c>
      <c r="X39" s="1815"/>
      <c r="Y39" s="3246"/>
      <c r="Z39" s="1816" t="str">
        <f t="shared" si="15"/>
        <v>层高</v>
      </c>
      <c r="AA39" s="1813">
        <f t="shared" si="3"/>
        <v>1</v>
      </c>
      <c r="AB39" s="1813">
        <f t="shared" si="4"/>
        <v>1</v>
      </c>
      <c r="AC39" s="1813">
        <f t="shared" si="5"/>
        <v>1</v>
      </c>
    </row>
    <row r="40" spans="1:29" ht="15">
      <c r="A40" s="472"/>
      <c r="B40" s="422" t="s">
        <v>2664</v>
      </c>
      <c r="C40" s="2963">
        <f>'数据-汇总表'!F19</f>
        <v>168.91</v>
      </c>
      <c r="D40" s="435">
        <v>100</v>
      </c>
      <c r="E40" s="617">
        <v>143</v>
      </c>
      <c r="F40" s="461">
        <f>SUMIF(118:118,E40,119:119)-SUMIF(118:118,C40,119:119)+100</f>
        <v>100</v>
      </c>
      <c r="G40" s="617">
        <v>150</v>
      </c>
      <c r="H40" s="435">
        <f>SUMIF(118:118,G40,119:119)-SUMIF(118:118,C40,119:119)+100</f>
        <v>100</v>
      </c>
      <c r="I40" s="617">
        <v>122</v>
      </c>
      <c r="J40" s="435">
        <f>SUMIF(118:118,I40,119:119)-SUMIF(118:118,C40,119:119)+100</f>
        <v>100</v>
      </c>
      <c r="K40" s="613"/>
      <c r="L40" s="1142"/>
      <c r="M40" s="1133"/>
      <c r="N40" s="1133"/>
      <c r="O40" s="1133"/>
      <c r="P40" s="3244"/>
      <c r="Q40" s="1812" t="str">
        <f t="shared" si="11"/>
        <v>单套建筑面积</v>
      </c>
      <c r="R40" s="773" t="s">
        <v>17</v>
      </c>
      <c r="S40" s="774">
        <f t="shared" si="12"/>
        <v>100</v>
      </c>
      <c r="T40" s="773" t="s">
        <v>17</v>
      </c>
      <c r="U40" s="774">
        <f t="shared" si="13"/>
        <v>100</v>
      </c>
      <c r="V40" s="773" t="s">
        <v>17</v>
      </c>
      <c r="W40" s="774">
        <f t="shared" si="14"/>
        <v>100</v>
      </c>
      <c r="X40" s="1815"/>
      <c r="Y40" s="3246"/>
      <c r="Z40" s="1816" t="str">
        <f t="shared" si="15"/>
        <v>单套建筑面积</v>
      </c>
      <c r="AA40" s="1813">
        <f t="shared" si="3"/>
        <v>1</v>
      </c>
      <c r="AB40" s="1813">
        <f t="shared" si="4"/>
        <v>1</v>
      </c>
      <c r="AC40" s="1813">
        <f t="shared" si="5"/>
        <v>1</v>
      </c>
    </row>
    <row r="41" spans="1:29" s="471" customFormat="1" ht="15">
      <c r="A41" s="468"/>
      <c r="B41" s="1814" t="s">
        <v>2665</v>
      </c>
      <c r="C41" s="616" t="s">
        <v>3385</v>
      </c>
      <c r="D41" s="435">
        <v>100</v>
      </c>
      <c r="E41" s="616" t="s">
        <v>3385</v>
      </c>
      <c r="F41" s="461">
        <f>SUMIF(120:120,E41,121:121)-SUMIF(120:120,C41,121:121)+100</f>
        <v>100</v>
      </c>
      <c r="G41" s="616" t="s">
        <v>3385</v>
      </c>
      <c r="H41" s="435">
        <f>SUMIF(120:120,G41,121:121)-SUMIF(120:120,C41,121:121)+100</f>
        <v>100</v>
      </c>
      <c r="I41" s="616" t="s">
        <v>3385</v>
      </c>
      <c r="J41" s="435">
        <f>SUMIF(120:120,I41,121:121)-SUMIF(120:120,C41,121:121)+100</f>
        <v>100</v>
      </c>
      <c r="K41" s="612">
        <v>3</v>
      </c>
      <c r="L41" s="1140"/>
      <c r="M41" s="1143"/>
      <c r="N41" s="1143"/>
      <c r="O41" s="1143"/>
      <c r="P41" s="3244"/>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1813">
        <f t="shared" si="3"/>
        <v>1</v>
      </c>
      <c r="AB41" s="1813">
        <f t="shared" si="4"/>
        <v>1</v>
      </c>
      <c r="AC41" s="1813">
        <f t="shared" si="5"/>
        <v>1</v>
      </c>
    </row>
    <row r="42" spans="1:29" ht="15">
      <c r="A42" s="472"/>
      <c r="B42" s="422" t="s">
        <v>2666</v>
      </c>
      <c r="C42" s="2613" t="s">
        <v>3414</v>
      </c>
      <c r="D42" s="435">
        <v>100</v>
      </c>
      <c r="E42" s="2613" t="s">
        <v>3416</v>
      </c>
      <c r="F42" s="461">
        <f>SUMIF(122:122,E42,123:123)-SUMIF(122:122,C42,123:123)+100</f>
        <v>97</v>
      </c>
      <c r="G42" s="2613" t="s">
        <v>3416</v>
      </c>
      <c r="H42" s="435">
        <f>SUMIF(122:122,G42,123:123)-SUMIF(122:122,C42,123:123)+100</f>
        <v>97</v>
      </c>
      <c r="I42" s="2613" t="s">
        <v>3416</v>
      </c>
      <c r="J42" s="435">
        <f>SUMIF(122:122,I42,123:123)-SUMIF(122:122,C42,123:123)+100</f>
        <v>97</v>
      </c>
      <c r="K42" s="612">
        <v>3</v>
      </c>
      <c r="L42" s="1142"/>
      <c r="M42" s="1133"/>
      <c r="N42" s="1133"/>
      <c r="O42" s="1133"/>
      <c r="P42" s="3244"/>
      <c r="Q42" s="1812" t="str">
        <f t="shared" si="11"/>
        <v>内部装修</v>
      </c>
      <c r="R42" s="773" t="s">
        <v>17</v>
      </c>
      <c r="S42" s="774">
        <f t="shared" si="12"/>
        <v>97</v>
      </c>
      <c r="T42" s="773" t="s">
        <v>17</v>
      </c>
      <c r="U42" s="774">
        <f t="shared" si="13"/>
        <v>97</v>
      </c>
      <c r="V42" s="773" t="s">
        <v>17</v>
      </c>
      <c r="W42" s="774">
        <f t="shared" si="14"/>
        <v>97</v>
      </c>
      <c r="X42" s="1815"/>
      <c r="Y42" s="3246"/>
      <c r="Z42" s="1816" t="str">
        <f t="shared" si="15"/>
        <v>内部装修</v>
      </c>
      <c r="AA42" s="1813">
        <f t="shared" si="3"/>
        <v>1.0309278350515463</v>
      </c>
      <c r="AB42" s="1813">
        <f t="shared" si="4"/>
        <v>1.0309278350515463</v>
      </c>
      <c r="AC42" s="1813">
        <f t="shared" si="5"/>
        <v>1.0309278350515463</v>
      </c>
    </row>
    <row r="43" spans="1:29" ht="15.75" thickBot="1">
      <c r="A43" s="472"/>
      <c r="B43" s="422" t="s">
        <v>2574</v>
      </c>
      <c r="C43" s="2613" t="s">
        <v>3385</v>
      </c>
      <c r="D43" s="435">
        <v>100</v>
      </c>
      <c r="E43" s="2613" t="s">
        <v>3385</v>
      </c>
      <c r="F43" s="461">
        <f>SUMIF(124:124,E43,125:125)-SUMIF(124:124,C43,125:125)+100</f>
        <v>100</v>
      </c>
      <c r="G43" s="2613" t="s">
        <v>3385</v>
      </c>
      <c r="H43" s="435">
        <f>SUMIF(124:124,G43,125:125)-SUMIF(124:124,C43,125:125)+100</f>
        <v>100</v>
      </c>
      <c r="I43" s="2613" t="s">
        <v>3385</v>
      </c>
      <c r="J43" s="435">
        <f>SUMIF(124:124,I43,125:125)-SUMIF(124:124,C43,125:125)+100</f>
        <v>100</v>
      </c>
      <c r="K43" s="612"/>
      <c r="L43" s="1142"/>
      <c r="M43" s="1133"/>
      <c r="N43" s="1133"/>
      <c r="O43" s="1133"/>
      <c r="P43" s="3244"/>
      <c r="Q43" s="1812" t="str">
        <f t="shared" si="11"/>
        <v>内部装修维护情况</v>
      </c>
      <c r="R43" s="773" t="s">
        <v>17</v>
      </c>
      <c r="S43" s="774">
        <f t="shared" si="12"/>
        <v>100</v>
      </c>
      <c r="T43" s="773" t="s">
        <v>17</v>
      </c>
      <c r="U43" s="774">
        <f t="shared" si="13"/>
        <v>100</v>
      </c>
      <c r="V43" s="773" t="s">
        <v>17</v>
      </c>
      <c r="W43" s="774">
        <f t="shared" si="14"/>
        <v>100</v>
      </c>
      <c r="X43" s="1815"/>
      <c r="Y43" s="3246"/>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44"/>
      <c r="Q44" s="1797">
        <f t="shared" si="11"/>
        <v>111</v>
      </c>
      <c r="R44" s="769" t="s">
        <v>17</v>
      </c>
      <c r="S44" s="770">
        <f t="shared" si="12"/>
        <v>100</v>
      </c>
      <c r="T44" s="769" t="s">
        <v>17</v>
      </c>
      <c r="U44" s="770">
        <f t="shared" si="13"/>
        <v>100</v>
      </c>
      <c r="V44" s="769" t="s">
        <v>17</v>
      </c>
      <c r="W44" s="770">
        <f t="shared" si="14"/>
        <v>100</v>
      </c>
      <c r="X44" s="771"/>
      <c r="Y44" s="3246"/>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44"/>
      <c r="Q45" s="1812">
        <f t="shared" si="11"/>
        <v>111</v>
      </c>
      <c r="R45" s="773" t="s">
        <v>17</v>
      </c>
      <c r="S45" s="774">
        <f t="shared" si="12"/>
        <v>100</v>
      </c>
      <c r="T45" s="773" t="s">
        <v>17</v>
      </c>
      <c r="U45" s="774">
        <f t="shared" si="13"/>
        <v>100</v>
      </c>
      <c r="V45" s="773" t="s">
        <v>17</v>
      </c>
      <c r="W45" s="774">
        <f t="shared" si="14"/>
        <v>100</v>
      </c>
      <c r="X45" s="1815"/>
      <c r="Y45" s="3246"/>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45"/>
      <c r="Q46" s="1812">
        <f t="shared" si="11"/>
        <v>111</v>
      </c>
      <c r="R46" s="773" t="s">
        <v>17</v>
      </c>
      <c r="S46" s="774">
        <f t="shared" si="12"/>
        <v>100</v>
      </c>
      <c r="T46" s="773" t="s">
        <v>17</v>
      </c>
      <c r="U46" s="774">
        <f t="shared" si="13"/>
        <v>100</v>
      </c>
      <c r="V46" s="773" t="s">
        <v>17</v>
      </c>
      <c r="W46" s="774">
        <f t="shared" si="14"/>
        <v>100</v>
      </c>
      <c r="X46" s="1815"/>
      <c r="Y46" s="3247"/>
      <c r="Z46" s="1816">
        <f t="shared" si="15"/>
        <v>111</v>
      </c>
      <c r="AA46" s="1813">
        <f t="shared" si="3"/>
        <v>1</v>
      </c>
      <c r="AB46" s="1813">
        <f t="shared" si="4"/>
        <v>1</v>
      </c>
      <c r="AC46" s="1813">
        <f t="shared" si="5"/>
        <v>1</v>
      </c>
    </row>
    <row r="47" spans="1:29" ht="15">
      <c r="A47" s="479" t="s">
        <v>2575</v>
      </c>
      <c r="B47" s="480"/>
      <c r="C47" s="1409" t="s">
        <v>1</v>
      </c>
      <c r="D47" s="1410"/>
      <c r="E47" s="1411">
        <f>ROUND(38500*0.95,0)</f>
        <v>36575</v>
      </c>
      <c r="F47" s="1412"/>
      <c r="G47" s="1413">
        <f>ROUND(40000*0.97,0)</f>
        <v>38800</v>
      </c>
      <c r="H47" s="1414"/>
      <c r="I47" s="1411">
        <f>ROUND(42000*0.97,0)</f>
        <v>40740</v>
      </c>
      <c r="J47" s="1414"/>
      <c r="K47" s="782"/>
      <c r="L47" s="1145"/>
      <c r="M47" s="1146"/>
      <c r="N47" s="1133"/>
      <c r="O47" s="1146"/>
      <c r="P47" s="3234" t="str">
        <f>A47</f>
        <v>成交单价（元/平方米）</v>
      </c>
      <c r="Q47" s="3234"/>
      <c r="R47" s="3248">
        <f>E47</f>
        <v>36575</v>
      </c>
      <c r="S47" s="3248"/>
      <c r="T47" s="3248">
        <f>G47</f>
        <v>38800</v>
      </c>
      <c r="U47" s="3248"/>
      <c r="V47" s="3248">
        <f>I47</f>
        <v>40740</v>
      </c>
      <c r="W47" s="3248"/>
      <c r="X47" s="758"/>
      <c r="Y47" s="780"/>
      <c r="Z47" s="758"/>
      <c r="AA47" s="758"/>
      <c r="AB47" s="758"/>
      <c r="AC47" s="758"/>
    </row>
    <row r="48" spans="1:29" ht="15.75" thickBot="1">
      <c r="A48" s="486" t="s">
        <v>2667</v>
      </c>
      <c r="B48" s="487"/>
      <c r="C48" s="1415">
        <f>R49</f>
        <v>47633</v>
      </c>
      <c r="D48" s="1416"/>
      <c r="E48" s="1417">
        <f>R48</f>
        <v>45768</v>
      </c>
      <c r="F48" s="1417"/>
      <c r="G48" s="1415">
        <f>T48</f>
        <v>44316</v>
      </c>
      <c r="H48" s="1416"/>
      <c r="I48" s="1417">
        <f>V48</f>
        <v>52816</v>
      </c>
      <c r="J48" s="1416"/>
      <c r="K48" s="783"/>
      <c r="L48" s="1145"/>
      <c r="M48" s="1146"/>
      <c r="N48" s="1133"/>
      <c r="O48" s="1146"/>
      <c r="P48" s="3234" t="str">
        <f>A48</f>
        <v>比较价值（元/平方米）</v>
      </c>
      <c r="Q48" s="3234"/>
      <c r="R48" s="3235">
        <f>IF(F1="售价",ROUND(PRODUCT(R47,AA7:AA46),0),ROUND(PRODUCT(R47,AA7:AA46),1))</f>
        <v>45768</v>
      </c>
      <c r="S48" s="3235"/>
      <c r="T48" s="3235">
        <f>IF(F1="售价",ROUND(PRODUCT(T47,AB7:AB46),0),ROUND(PRODUCT(T47,AB7:AB46),1))</f>
        <v>44316</v>
      </c>
      <c r="U48" s="3235"/>
      <c r="V48" s="3235">
        <f>IF(F1="售价",ROUND(PRODUCT(V47,AC7:AC46),0),ROUND(PRODUCT(V47,AC7:AC46),1))</f>
        <v>52816</v>
      </c>
      <c r="W48" s="3235"/>
      <c r="X48" s="758"/>
      <c r="Y48" s="758"/>
      <c r="Z48" s="758"/>
      <c r="AA48" s="758"/>
      <c r="AB48" s="758"/>
      <c r="AC48" s="758"/>
    </row>
    <row r="49" spans="1:29" ht="15.75" thickBot="1">
      <c r="A49" s="492" t="s">
        <v>2668</v>
      </c>
      <c r="B49" s="493"/>
      <c r="C49" s="1419">
        <f>R49</f>
        <v>47633</v>
      </c>
      <c r="D49" s="1419"/>
      <c r="E49" s="1419"/>
      <c r="F49" s="1419"/>
      <c r="G49" s="1419"/>
      <c r="H49" s="1419"/>
      <c r="I49" s="1419"/>
      <c r="J49" s="1419"/>
      <c r="K49" s="784"/>
      <c r="L49" s="1145"/>
      <c r="M49" s="1146"/>
      <c r="N49" s="1133"/>
      <c r="O49" s="1146"/>
      <c r="P49" s="3236" t="str">
        <f>A49</f>
        <v>估价对象XX用房的比较价值（楼面单价，元/平方米）</v>
      </c>
      <c r="Q49" s="3237"/>
      <c r="R49" s="3238">
        <f>IF(F1="售价",ROUND(AVERAGE(R48:V48),0),ROUND(AVERAGE(R48:V48),1))</f>
        <v>47633</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7" t="s">
        <v>2669</v>
      </c>
      <c r="D52" s="498"/>
      <c r="E52" s="499">
        <f>IF(E47&lt;E48,E48/E47-1,E47/E48-1)</f>
        <v>0.25134654818865343</v>
      </c>
      <c r="F52" s="500" t="str">
        <f>IF(OR(E52&gt;=0.3,E52&lt;=-0.3),"超过30%","")</f>
        <v/>
      </c>
      <c r="G52" s="499">
        <f>IF(G47&lt;G48,G48/G47-1,G47/G48-1)</f>
        <v>0.14216494845360828</v>
      </c>
      <c r="H52" s="500" t="str">
        <f>IF(OR(G52&gt;=0.3,G52&lt;=-0.3),"超过30%","")</f>
        <v/>
      </c>
      <c r="I52" s="499">
        <f>IF(I47&lt;I48,I48/I47-1,I47/I48-1)</f>
        <v>0.29641629847815421</v>
      </c>
      <c r="J52" s="500"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7" t="s">
        <v>2670</v>
      </c>
      <c r="D53" s="501"/>
      <c r="E53" s="499">
        <f>IF(E48&lt;G48,G48/E48-1,E48/G48-1)</f>
        <v>3.2764689953966863E-2</v>
      </c>
      <c r="F53" s="500" t="str">
        <f>IF(OR(E53&gt;=0.2,E53&lt;=-0.2),"超过20%","")</f>
        <v/>
      </c>
      <c r="G53" s="499">
        <f>IF(G48&lt;I48,I48/G48-1,G48/I48-1)</f>
        <v>0.19180431446881485</v>
      </c>
      <c r="H53" s="500" t="str">
        <f>IF(OR(G53&gt;=0.2,G53&lt;=-0.2),"超过20%","")</f>
        <v/>
      </c>
      <c r="I53" s="499">
        <f>IF(I48&lt;E48,E48/I48-1,I48/E48-1)</f>
        <v>0.15399405698304491</v>
      </c>
      <c r="J53" s="500"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2" customFormat="1" ht="13.5" customHeight="1">
      <c r="A54" s="1147"/>
      <c r="B54" s="1147"/>
      <c r="C54" s="497" t="s">
        <v>2671</v>
      </c>
      <c r="D54" s="501"/>
      <c r="E54" s="499">
        <f>IF(E47&lt;G47,G47/E47-1,E47/G47-1)</f>
        <v>6.0833902939166018E-2</v>
      </c>
      <c r="F54" s="500" t="str">
        <f>IF(OR(E54&gt;=0.3,E54&lt;=-0.3),"超过30%","")</f>
        <v/>
      </c>
      <c r="G54" s="499">
        <f>IF(G47&lt;I47,I47/G47-1,G47/I47-1)</f>
        <v>5.0000000000000044E-2</v>
      </c>
      <c r="H54" s="500" t="str">
        <f>IF(OR(G54&gt;=0.3,G54&lt;=-0.3),"超过30%","")</f>
        <v/>
      </c>
      <c r="I54" s="499">
        <f>IF(I47&lt;E47,E47/I47-1,I47/E47-1)</f>
        <v>0.11387559808612435</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2546</v>
      </c>
      <c r="B58" s="506"/>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0"/>
      <c r="Q66" s="504"/>
    </row>
    <row r="67" spans="1:17" ht="15.75" thickTop="1">
      <c r="A67" s="534"/>
      <c r="B67" s="546" t="s">
        <v>2556</v>
      </c>
      <c r="C67" s="547" t="str">
        <f>C68&amp;"（含）"&amp;"-"&amp;D68</f>
        <v>0（含）-2</v>
      </c>
      <c r="D67" s="547" t="str">
        <f t="shared" ref="D67:L67" si="17">D68&amp;"（含）"&amp;"-"&amp;E68</f>
        <v>2（含）-4</v>
      </c>
      <c r="E67" s="547" t="str">
        <f t="shared" si="17"/>
        <v>4（含）-6</v>
      </c>
      <c r="F67" s="547" t="str">
        <f t="shared" si="17"/>
        <v>6（含）-8</v>
      </c>
      <c r="G67" s="547" t="str">
        <f t="shared" si="17"/>
        <v>8（含）-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2</v>
      </c>
      <c r="E68" s="549">
        <v>4</v>
      </c>
      <c r="F68" s="549">
        <v>6</v>
      </c>
      <c r="G68" s="549">
        <v>8</v>
      </c>
      <c r="H68" s="549"/>
      <c r="I68" s="549"/>
      <c r="J68" s="549"/>
      <c r="K68" s="550"/>
      <c r="L68" s="551"/>
      <c r="M68" s="552"/>
      <c r="N68" s="1154"/>
      <c r="O68" s="1154"/>
      <c r="P68" s="2630"/>
      <c r="Q68" s="504"/>
    </row>
    <row r="69" spans="1:17" ht="15.75" thickBot="1">
      <c r="A69" s="534"/>
      <c r="B69" s="535"/>
      <c r="C69" s="544">
        <v>100</v>
      </c>
      <c r="D69" s="544">
        <f t="shared" ref="D69:M69" si="18">C69-$K11</f>
        <v>95</v>
      </c>
      <c r="E69" s="544">
        <f t="shared" si="18"/>
        <v>90</v>
      </c>
      <c r="F69" s="544">
        <f t="shared" si="18"/>
        <v>85</v>
      </c>
      <c r="G69" s="544">
        <f t="shared" si="18"/>
        <v>80</v>
      </c>
      <c r="H69" s="544">
        <f t="shared" si="18"/>
        <v>75</v>
      </c>
      <c r="I69" s="544">
        <f t="shared" si="18"/>
        <v>70</v>
      </c>
      <c r="J69" s="544">
        <f t="shared" si="18"/>
        <v>65</v>
      </c>
      <c r="K69" s="544">
        <f t="shared" si="18"/>
        <v>60</v>
      </c>
      <c r="L69" s="544">
        <f t="shared" si="18"/>
        <v>55</v>
      </c>
      <c r="M69" s="545">
        <f t="shared" si="18"/>
        <v>50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5"/>
      <c r="O81" s="1155"/>
      <c r="P81" s="2630"/>
      <c r="Q81" s="504"/>
    </row>
    <row r="82" spans="1:17" ht="15.75" thickTop="1">
      <c r="A82" s="534"/>
      <c r="B82" s="546" t="s">
        <v>2653</v>
      </c>
      <c r="C82" s="659" t="s">
        <v>2673</v>
      </c>
      <c r="D82" s="659" t="s">
        <v>2674</v>
      </c>
      <c r="E82" s="659" t="s">
        <v>2675</v>
      </c>
      <c r="F82" s="659" t="s">
        <v>2676</v>
      </c>
      <c r="G82" s="659" t="s">
        <v>2677</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5"/>
      <c r="O85" s="1155"/>
      <c r="P85" s="2630"/>
      <c r="Q85" s="504"/>
    </row>
    <row r="86" spans="1:17" s="117" customFormat="1" ht="15.75" thickTop="1">
      <c r="A86" s="579"/>
      <c r="B86" s="538" t="s">
        <v>2678</v>
      </c>
      <c r="C86" s="2958" t="s">
        <v>3387</v>
      </c>
      <c r="D86" s="2958" t="s">
        <v>3388</v>
      </c>
      <c r="E86" s="2958" t="s">
        <v>3390</v>
      </c>
      <c r="F86" s="2958" t="s">
        <v>3391</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8" t="s">
        <v>3392</v>
      </c>
      <c r="D88" s="2958" t="s">
        <v>3393</v>
      </c>
      <c r="E88" s="2958" t="s">
        <v>3394</v>
      </c>
      <c r="F88" s="2959" t="s">
        <v>3395</v>
      </c>
      <c r="G88" s="2958" t="s">
        <v>3396</v>
      </c>
      <c r="H88" s="554"/>
      <c r="I88" s="554"/>
      <c r="J88" s="554"/>
      <c r="K88" s="554"/>
      <c r="L88" s="554"/>
      <c r="M88" s="581"/>
      <c r="N88" s="1153"/>
      <c r="O88" s="1153"/>
      <c r="P88" s="2630"/>
      <c r="Q88" s="504"/>
    </row>
    <row r="89" spans="1:17" s="117" customFormat="1" ht="15.75" thickBot="1">
      <c r="A89" s="579"/>
      <c r="B89" s="543"/>
      <c r="C89" s="560">
        <v>100</v>
      </c>
      <c r="D89" s="536">
        <v>97</v>
      </c>
      <c r="E89" s="536">
        <v>94</v>
      </c>
      <c r="F89" s="536">
        <v>91</v>
      </c>
      <c r="G89" s="536">
        <v>88</v>
      </c>
      <c r="H89" s="536"/>
      <c r="I89" s="536"/>
      <c r="J89" s="536"/>
      <c r="K89" s="536"/>
      <c r="L89" s="536"/>
      <c r="M89" s="536"/>
      <c r="N89" s="1155"/>
      <c r="O89" s="1155"/>
      <c r="P89" s="2630"/>
      <c r="Q89" s="504"/>
    </row>
    <row r="90" spans="1:17" s="471" customFormat="1" ht="15.75" thickTop="1">
      <c r="A90" s="553"/>
      <c r="B90" s="538" t="str">
        <f>B27</f>
        <v>人流量</v>
      </c>
      <c r="C90" s="2958" t="s">
        <v>3392</v>
      </c>
      <c r="D90" s="2958" t="s">
        <v>3393</v>
      </c>
      <c r="E90" s="2958" t="s">
        <v>3394</v>
      </c>
      <c r="F90" s="2959" t="s">
        <v>3395</v>
      </c>
      <c r="G90" s="2958" t="s">
        <v>3396</v>
      </c>
      <c r="H90" s="555"/>
      <c r="I90" s="555"/>
      <c r="J90" s="555"/>
      <c r="K90" s="555"/>
      <c r="L90" s="556"/>
      <c r="M90" s="557"/>
      <c r="N90" s="1156"/>
      <c r="O90" s="1156"/>
      <c r="P90" s="2631"/>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6"/>
      <c r="O91" s="1156"/>
      <c r="P91" s="2631"/>
      <c r="Q91" s="559"/>
    </row>
    <row r="92" spans="1:17" ht="15.75" thickTop="1">
      <c r="A92" s="534"/>
      <c r="B92" s="538" t="str">
        <f>B28</f>
        <v>楼层</v>
      </c>
      <c r="C92" s="554" t="s">
        <v>3397</v>
      </c>
      <c r="D92" s="554" t="s">
        <v>3399</v>
      </c>
      <c r="E92" s="554" t="s">
        <v>3398</v>
      </c>
      <c r="F92" s="554" t="s">
        <v>3400</v>
      </c>
      <c r="G92" s="554"/>
      <c r="H92" s="554"/>
      <c r="I92" s="554"/>
      <c r="J92" s="554"/>
      <c r="K92" s="554"/>
      <c r="L92" s="580"/>
      <c r="M92" s="581"/>
      <c r="N92" s="1154"/>
      <c r="O92" s="1154"/>
      <c r="P92" s="2630"/>
      <c r="Q92" s="504"/>
    </row>
    <row r="93" spans="1:17" ht="15.75" thickBot="1">
      <c r="A93" s="534"/>
      <c r="B93" s="543"/>
      <c r="C93" s="536">
        <v>100</v>
      </c>
      <c r="D93" s="536">
        <v>85</v>
      </c>
      <c r="E93" s="536">
        <v>60</v>
      </c>
      <c r="F93" s="536">
        <v>50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2561</v>
      </c>
      <c r="B100" s="528" t="s">
        <v>2679</v>
      </c>
      <c r="C100" s="2960" t="s">
        <v>3402</v>
      </c>
      <c r="D100" s="2960" t="s">
        <v>3404</v>
      </c>
      <c r="E100" s="2960" t="s">
        <v>3405</v>
      </c>
      <c r="F100" s="2960" t="s">
        <v>3407</v>
      </c>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5"/>
      <c r="O101" s="1155"/>
      <c r="P101" s="2630"/>
      <c r="Q101" s="504"/>
    </row>
    <row r="102" spans="1:17" ht="29.25" thickTop="1">
      <c r="A102" s="534"/>
      <c r="B102" s="538" t="s">
        <v>2611</v>
      </c>
      <c r="C102" s="578" t="str">
        <f>C103&amp;"(含)"&amp;"-"&amp;D103</f>
        <v>0(含)-100000</v>
      </c>
      <c r="D102" s="578" t="str">
        <f t="shared" ref="D102:L102" si="23">D103&amp;"(含)"&amp;"-"&amp;E103</f>
        <v>100000(含)-200000</v>
      </c>
      <c r="E102" s="578" t="str">
        <f t="shared" si="23"/>
        <v>200000(含)-300000</v>
      </c>
      <c r="F102" s="578" t="str">
        <f t="shared" si="23"/>
        <v>300000(含)-400000</v>
      </c>
      <c r="G102" s="578" t="str">
        <f t="shared" si="23"/>
        <v>400000(含)-500000</v>
      </c>
      <c r="H102" s="578" t="str">
        <f t="shared" si="23"/>
        <v>500000(含)-</v>
      </c>
      <c r="I102" s="578" t="str">
        <f t="shared" si="23"/>
        <v>(含)-</v>
      </c>
      <c r="J102" s="578" t="str">
        <f t="shared" si="23"/>
        <v>(含)-</v>
      </c>
      <c r="K102" s="578" t="str">
        <f t="shared" si="23"/>
        <v>(含)-</v>
      </c>
      <c r="L102" s="578" t="str">
        <f t="shared" si="23"/>
        <v>(含)-</v>
      </c>
      <c r="M102" s="621" t="str">
        <f>M103&amp;"(含)"&amp;"-"&amp;P103</f>
        <v>(含)-</v>
      </c>
      <c r="N102" s="1153"/>
      <c r="O102" s="1153"/>
      <c r="P102" s="263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6"/>
      <c r="O103" s="1156"/>
      <c r="P103" s="2631"/>
      <c r="Q103" s="559"/>
    </row>
    <row r="104" spans="1:17" s="471" customFormat="1" ht="15.75" thickBot="1">
      <c r="A104" s="553"/>
      <c r="B104" s="543"/>
      <c r="C104" s="560">
        <v>100</v>
      </c>
      <c r="D104" s="536">
        <v>102</v>
      </c>
      <c r="E104" s="536">
        <v>104</v>
      </c>
      <c r="F104" s="536">
        <v>106</v>
      </c>
      <c r="G104" s="536">
        <v>108</v>
      </c>
      <c r="H104" s="536">
        <v>110</v>
      </c>
      <c r="I104" s="536"/>
      <c r="J104" s="536"/>
      <c r="K104" s="536"/>
      <c r="L104" s="536"/>
      <c r="M104" s="537"/>
      <c r="N104" s="1155"/>
      <c r="O104" s="1155"/>
      <c r="P104" s="2631"/>
      <c r="Q104" s="559"/>
    </row>
    <row r="105" spans="1:17" ht="15" thickTop="1">
      <c r="A105" s="599"/>
      <c r="B105" s="538" t="s">
        <v>2612</v>
      </c>
      <c r="C105" s="2958" t="s">
        <v>3408</v>
      </c>
      <c r="D105" s="2958" t="s">
        <v>3409</v>
      </c>
      <c r="E105" s="2961" t="s">
        <v>3410</v>
      </c>
      <c r="F105" s="2961" t="s">
        <v>3411</v>
      </c>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0"/>
      <c r="Q106" s="504"/>
    </row>
    <row r="107" spans="1:17" ht="15" thickTop="1">
      <c r="A107" s="599"/>
      <c r="B107" s="538" t="s">
        <v>2614</v>
      </c>
      <c r="C107" s="2958" t="s">
        <v>3413</v>
      </c>
      <c r="D107" s="2958" t="s">
        <v>3415</v>
      </c>
      <c r="E107" s="2958" t="s">
        <v>3417</v>
      </c>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97</v>
      </c>
      <c r="E108" s="544">
        <f t="shared" si="25"/>
        <v>94</v>
      </c>
      <c r="F108" s="544">
        <f t="shared" si="25"/>
        <v>91</v>
      </c>
      <c r="G108" s="544">
        <f t="shared" si="25"/>
        <v>88</v>
      </c>
      <c r="H108" s="544">
        <f t="shared" si="25"/>
        <v>85</v>
      </c>
      <c r="I108" s="544">
        <f t="shared" si="25"/>
        <v>82</v>
      </c>
      <c r="J108" s="544">
        <f t="shared" si="25"/>
        <v>79</v>
      </c>
      <c r="K108" s="544">
        <f t="shared" si="25"/>
        <v>76</v>
      </c>
      <c r="L108" s="544">
        <f t="shared" si="25"/>
        <v>73</v>
      </c>
      <c r="M108" s="545">
        <f t="shared" si="25"/>
        <v>70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2"/>
      <c r="J110" s="622"/>
      <c r="K110" s="623"/>
      <c r="L110" s="624"/>
      <c r="M110" s="625"/>
      <c r="N110" s="1154"/>
      <c r="O110" s="1154"/>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0"/>
      <c r="Q111" s="504"/>
    </row>
    <row r="112" spans="1:17" s="471" customFormat="1" ht="15" thickTop="1">
      <c r="A112" s="593"/>
      <c r="B112" s="538" t="s">
        <v>2616</v>
      </c>
      <c r="C112" s="2958" t="s">
        <v>3422</v>
      </c>
      <c r="D112" s="2958" t="s">
        <v>3418</v>
      </c>
      <c r="E112" s="2958" t="s">
        <v>3419</v>
      </c>
      <c r="F112" s="2958" t="s">
        <v>3420</v>
      </c>
      <c r="G112" s="2958" t="s">
        <v>3421</v>
      </c>
      <c r="H112" s="583"/>
      <c r="I112" s="583"/>
      <c r="J112" s="583"/>
      <c r="K112" s="584"/>
      <c r="L112" s="585"/>
      <c r="M112" s="586"/>
      <c r="N112" s="1156"/>
      <c r="O112" s="1156"/>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1"/>
      <c r="Q113" s="559"/>
    </row>
    <row r="114" spans="1:17" ht="15" thickTop="1">
      <c r="A114" s="599"/>
      <c r="B114" s="538" t="s">
        <v>2680</v>
      </c>
      <c r="C114" s="2958" t="s">
        <v>3424</v>
      </c>
      <c r="D114" s="2958" t="s">
        <v>3426</v>
      </c>
      <c r="E114" s="2961" t="s">
        <v>3428</v>
      </c>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5"/>
      <c r="O115" s="1155"/>
      <c r="P115" s="2630"/>
      <c r="Q115" s="504"/>
    </row>
    <row r="116" spans="1:17" ht="15" thickTop="1">
      <c r="A116" s="599"/>
      <c r="B116" s="538" t="s">
        <v>2681</v>
      </c>
      <c r="C116" s="2958" t="s">
        <v>3430</v>
      </c>
      <c r="D116" s="2958" t="s">
        <v>3431</v>
      </c>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2682</v>
      </c>
      <c r="C118" s="626">
        <f>'数据-汇总表'!F19</f>
        <v>168.91</v>
      </c>
      <c r="D118" s="626">
        <v>143</v>
      </c>
      <c r="E118" s="626">
        <v>150</v>
      </c>
      <c r="F118" s="626">
        <v>122</v>
      </c>
      <c r="G118" s="626"/>
      <c r="H118" s="555"/>
      <c r="I118" s="555"/>
      <c r="J118" s="555"/>
      <c r="K118" s="555"/>
      <c r="L118" s="556"/>
      <c r="M118" s="557"/>
      <c r="N118" s="1154"/>
      <c r="O118" s="1154"/>
      <c r="P118" s="2630"/>
      <c r="Q118" s="504"/>
    </row>
    <row r="119" spans="1:17" ht="15.75" thickBot="1">
      <c r="A119" s="534"/>
      <c r="B119" s="543"/>
      <c r="C119" s="560">
        <v>100</v>
      </c>
      <c r="D119" s="536">
        <v>100</v>
      </c>
      <c r="E119" s="536">
        <v>100</v>
      </c>
      <c r="F119" s="536">
        <v>100</v>
      </c>
      <c r="G119" s="536"/>
      <c r="H119" s="536"/>
      <c r="I119" s="536"/>
      <c r="J119" s="536"/>
      <c r="K119" s="536"/>
      <c r="L119" s="536"/>
      <c r="M119" s="537"/>
      <c r="N119" s="1155"/>
      <c r="O119" s="1155"/>
      <c r="P119" s="2630"/>
      <c r="Q119" s="504"/>
    </row>
    <row r="120" spans="1:17" s="471" customFormat="1" ht="15" thickTop="1">
      <c r="A120" s="593"/>
      <c r="B120" s="538" t="s">
        <v>2683</v>
      </c>
      <c r="C120" s="2958" t="s">
        <v>3392</v>
      </c>
      <c r="D120" s="2958" t="s">
        <v>3393</v>
      </c>
      <c r="E120" s="2958" t="s">
        <v>3394</v>
      </c>
      <c r="F120" s="2959" t="s">
        <v>3395</v>
      </c>
      <c r="G120" s="2958" t="s">
        <v>3396</v>
      </c>
      <c r="H120" s="555"/>
      <c r="I120" s="555"/>
      <c r="J120" s="555"/>
      <c r="K120" s="555"/>
      <c r="L120" s="556"/>
      <c r="M120" s="557"/>
      <c r="N120" s="1156"/>
      <c r="O120" s="1156"/>
      <c r="P120" s="2631"/>
      <c r="Q120" s="559"/>
    </row>
    <row r="121" spans="1:17" s="471" customFormat="1" ht="15.75" thickBot="1">
      <c r="A121" s="553"/>
      <c r="B121" s="535"/>
      <c r="C121" s="582">
        <v>100</v>
      </c>
      <c r="D121" s="544">
        <f>C121-$K41</f>
        <v>97</v>
      </c>
      <c r="E121" s="544">
        <f t="shared" ref="E121:M121" si="29">D121-$K41</f>
        <v>94</v>
      </c>
      <c r="F121" s="544">
        <f t="shared" si="29"/>
        <v>91</v>
      </c>
      <c r="G121" s="544">
        <f t="shared" si="29"/>
        <v>88</v>
      </c>
      <c r="H121" s="544">
        <f t="shared" si="29"/>
        <v>85</v>
      </c>
      <c r="I121" s="544">
        <f t="shared" si="29"/>
        <v>82</v>
      </c>
      <c r="J121" s="544">
        <f t="shared" si="29"/>
        <v>79</v>
      </c>
      <c r="K121" s="544">
        <f t="shared" si="29"/>
        <v>76</v>
      </c>
      <c r="L121" s="544">
        <f t="shared" si="29"/>
        <v>73</v>
      </c>
      <c r="M121" s="545">
        <f t="shared" si="29"/>
        <v>70</v>
      </c>
      <c r="N121" s="1156"/>
      <c r="O121" s="1156"/>
      <c r="P121" s="2631"/>
      <c r="Q121" s="559"/>
    </row>
    <row r="122" spans="1:17" ht="15" thickTop="1">
      <c r="A122" s="599"/>
      <c r="B122" s="538" t="s">
        <v>2618</v>
      </c>
      <c r="C122" s="2958" t="s">
        <v>3413</v>
      </c>
      <c r="D122" s="2958" t="s">
        <v>3415</v>
      </c>
      <c r="E122" s="2958" t="s">
        <v>3417</v>
      </c>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97</v>
      </c>
      <c r="E123" s="544">
        <f t="shared" si="30"/>
        <v>94</v>
      </c>
      <c r="F123" s="544">
        <f t="shared" si="30"/>
        <v>91</v>
      </c>
      <c r="G123" s="544">
        <f t="shared" si="30"/>
        <v>88</v>
      </c>
      <c r="H123" s="544">
        <f t="shared" si="30"/>
        <v>85</v>
      </c>
      <c r="I123" s="544">
        <f t="shared" si="30"/>
        <v>82</v>
      </c>
      <c r="J123" s="544">
        <f t="shared" si="30"/>
        <v>79</v>
      </c>
      <c r="K123" s="544">
        <f t="shared" si="30"/>
        <v>76</v>
      </c>
      <c r="L123" s="544">
        <f t="shared" si="30"/>
        <v>73</v>
      </c>
      <c r="M123" s="545">
        <f t="shared" si="30"/>
        <v>70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hidden="1"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hidden="1" thickBot="1">
      <c r="A127" s="553"/>
      <c r="B127" s="543"/>
      <c r="C127" s="560"/>
      <c r="D127" s="536"/>
      <c r="E127" s="536"/>
      <c r="F127" s="536"/>
      <c r="G127" s="560"/>
      <c r="H127" s="562"/>
      <c r="I127" s="562"/>
      <c r="J127" s="562"/>
      <c r="K127" s="562"/>
      <c r="L127" s="562"/>
      <c r="M127" s="563"/>
      <c r="N127" s="1156"/>
      <c r="O127" s="1156"/>
      <c r="P127" s="2631"/>
      <c r="Q127" s="559"/>
    </row>
    <row r="128" spans="1:17" ht="15" hidden="1" thickTop="1">
      <c r="A128" s="599"/>
      <c r="B128" s="538">
        <f>B45</f>
        <v>111</v>
      </c>
      <c r="C128" s="554"/>
      <c r="D128" s="554"/>
      <c r="E128" s="554"/>
      <c r="F128" s="554"/>
      <c r="G128" s="583"/>
      <c r="H128" s="583"/>
      <c r="I128" s="583"/>
      <c r="J128" s="583"/>
      <c r="K128" s="584"/>
      <c r="L128" s="585"/>
      <c r="M128" s="586"/>
      <c r="N128" s="1154"/>
      <c r="O128" s="1154"/>
      <c r="P128" s="2630"/>
      <c r="Q128" s="504"/>
    </row>
    <row r="129" spans="1:17" ht="15.75" hidden="1" thickBot="1">
      <c r="A129" s="534"/>
      <c r="B129" s="543"/>
      <c r="C129" s="560"/>
      <c r="D129" s="536"/>
      <c r="E129" s="536"/>
      <c r="F129" s="536"/>
      <c r="G129" s="536"/>
      <c r="H129" s="536"/>
      <c r="I129" s="536"/>
      <c r="J129" s="536"/>
      <c r="K129" s="536"/>
      <c r="L129" s="536"/>
      <c r="M129" s="537"/>
      <c r="N129" s="1155"/>
      <c r="O129" s="1155"/>
      <c r="P129" s="2630"/>
      <c r="Q129" s="504"/>
    </row>
    <row r="130" spans="1:17" ht="15" hidden="1" thickTop="1">
      <c r="A130" s="599"/>
      <c r="B130" s="546">
        <f>B46</f>
        <v>111</v>
      </c>
      <c r="C130" s="554"/>
      <c r="D130" s="554"/>
      <c r="E130" s="554"/>
      <c r="F130" s="554"/>
      <c r="G130" s="587"/>
      <c r="H130" s="587"/>
      <c r="I130" s="587"/>
      <c r="J130" s="587"/>
      <c r="K130" s="523"/>
      <c r="L130" s="524"/>
      <c r="M130" s="590"/>
      <c r="N130" s="1154"/>
      <c r="O130" s="1154"/>
      <c r="P130" s="2630"/>
      <c r="Q130" s="504"/>
    </row>
    <row r="131" spans="1:17" ht="15.75" hidden="1" thickBot="1">
      <c r="A131" s="2636"/>
      <c r="B131" s="569"/>
      <c r="C131" s="570"/>
      <c r="D131" s="570"/>
      <c r="E131" s="570"/>
      <c r="F131" s="570"/>
      <c r="G131" s="591"/>
      <c r="H131" s="591"/>
      <c r="I131" s="591"/>
      <c r="J131" s="591"/>
      <c r="K131" s="591"/>
      <c r="L131" s="591"/>
      <c r="M131" s="592"/>
      <c r="N131" s="1155"/>
      <c r="O131" s="1155"/>
      <c r="P131" s="2630"/>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disablePrompts="1"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1588</v>
      </c>
      <c r="B1" s="781"/>
      <c r="C1" s="1839"/>
      <c r="D1" s="1822"/>
      <c r="E1" s="1823" t="s">
        <v>1387</v>
      </c>
      <c r="F1" s="1285" t="b">
        <f>J53</f>
        <v>0</v>
      </c>
      <c r="G1" s="1838">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40" t="s">
        <v>1594</v>
      </c>
      <c r="B4" s="341" t="s">
        <v>1595</v>
      </c>
      <c r="C4" s="341" t="s">
        <v>1596</v>
      </c>
      <c r="D4" s="341" t="s">
        <v>1597</v>
      </c>
      <c r="E4" s="342" t="s">
        <v>1598</v>
      </c>
      <c r="F4" s="343"/>
      <c r="G4" s="1853"/>
      <c r="H4" s="340" t="s">
        <v>1594</v>
      </c>
      <c r="I4" s="341" t="s">
        <v>1595</v>
      </c>
      <c r="J4" s="341" t="s">
        <v>1596</v>
      </c>
      <c r="K4" s="341" t="s">
        <v>1597</v>
      </c>
      <c r="L4" s="342" t="s">
        <v>1598</v>
      </c>
      <c r="M4" s="343"/>
    </row>
    <row r="5" spans="1:37" ht="18" customHeight="1">
      <c r="A5" s="344">
        <v>1</v>
      </c>
      <c r="B5" s="345" t="s">
        <v>1599</v>
      </c>
      <c r="C5" s="1294">
        <f ca="1">C6+C10+C12</f>
        <v>0</v>
      </c>
      <c r="D5" s="1824" t="s">
        <v>1600</v>
      </c>
      <c r="E5" s="1295"/>
      <c r="F5" s="1296"/>
      <c r="G5" s="1853"/>
      <c r="H5" s="344">
        <v>1</v>
      </c>
      <c r="I5" s="345" t="s">
        <v>1599</v>
      </c>
      <c r="J5" s="1294">
        <f ca="1">J6+J10+J12</f>
        <v>0</v>
      </c>
      <c r="K5" s="1824" t="s">
        <v>1600</v>
      </c>
      <c r="L5" s="1295"/>
      <c r="M5" s="1296"/>
    </row>
    <row r="6" spans="1:37" ht="18" customHeight="1">
      <c r="A6" s="1293" t="s">
        <v>1035</v>
      </c>
      <c r="B6" s="3231" t="s">
        <v>1403</v>
      </c>
      <c r="C6" s="1298">
        <f ca="1">ROUND(F6*F8*F7*(1-F9),0)</f>
        <v>0</v>
      </c>
      <c r="D6" s="164" t="s">
        <v>3027</v>
      </c>
      <c r="E6" s="347" t="s">
        <v>1405</v>
      </c>
      <c r="F6" s="348">
        <f ca="1">INDIRECT("'数据-取费表'!u"&amp;$G$1)</f>
        <v>0</v>
      </c>
      <c r="G6" s="1853"/>
      <c r="H6" s="1293" t="s">
        <v>1035</v>
      </c>
      <c r="I6" s="3231" t="s">
        <v>1403</v>
      </c>
      <c r="J6" s="346">
        <f ca="1">ROUND(M6*M8*M7*(1-M9),0)</f>
        <v>0</v>
      </c>
      <c r="K6" s="1836" t="s">
        <v>3028</v>
      </c>
      <c r="L6" s="347" t="s">
        <v>1405</v>
      </c>
      <c r="M6" s="348">
        <f ca="1">INDIRECT("'数据-取费表'!z"&amp;$G$1)</f>
        <v>0</v>
      </c>
    </row>
    <row r="7" spans="1:37" ht="18" customHeight="1">
      <c r="A7" s="1297"/>
      <c r="B7" s="3232"/>
      <c r="C7" s="1299"/>
      <c r="D7" s="352"/>
      <c r="E7" s="1300" t="s">
        <v>1406</v>
      </c>
      <c r="F7" s="348">
        <f ca="1">IF(INDIRECT("'数据-取费表'!ah"&amp;$G$1)="",INDIRECT("'数据-取费表'!k"&amp;$G$1),INDIRECT("'数据-取费表'!ah"&amp;$G$1))</f>
        <v>0</v>
      </c>
      <c r="G7" s="1853"/>
      <c r="H7" s="349"/>
      <c r="I7" s="3232"/>
      <c r="J7" s="351"/>
      <c r="K7" s="352"/>
      <c r="L7" s="347" t="s">
        <v>1406</v>
      </c>
      <c r="M7" s="348">
        <f ca="1">F7</f>
        <v>0</v>
      </c>
    </row>
    <row r="8" spans="1:37" ht="18" customHeight="1">
      <c r="A8" s="349"/>
      <c r="B8" s="3232"/>
      <c r="C8" s="351"/>
      <c r="D8" s="352"/>
      <c r="E8" s="347" t="s">
        <v>1407</v>
      </c>
      <c r="F8" s="348">
        <f ca="1">INDIRECT("'数据-取费表'!ai"&amp;$G$1)</f>
        <v>0</v>
      </c>
      <c r="G8" s="1853"/>
      <c r="H8" s="349"/>
      <c r="I8" s="3232"/>
      <c r="J8" s="351"/>
      <c r="K8" s="352"/>
      <c r="L8" s="347" t="s">
        <v>1407</v>
      </c>
      <c r="M8" s="348">
        <f ca="1">INDIRECT("'数据-取费表'!ai"&amp;$G$1)</f>
        <v>0</v>
      </c>
    </row>
    <row r="9" spans="1:37" ht="18" customHeight="1">
      <c r="A9" s="349"/>
      <c r="B9" s="3233"/>
      <c r="C9" s="351"/>
      <c r="D9" s="352"/>
      <c r="E9" s="347" t="s">
        <v>1408</v>
      </c>
      <c r="F9" s="357">
        <f ca="1">INDIRECT("'数据-取费表'!w"&amp;$G$1)</f>
        <v>0</v>
      </c>
      <c r="G9" s="1853"/>
      <c r="H9" s="349"/>
      <c r="I9" s="3233"/>
      <c r="J9" s="351"/>
      <c r="K9" s="352"/>
      <c r="L9" s="358" t="s">
        <v>1408</v>
      </c>
      <c r="M9" s="359">
        <f ca="1">INDIRECT("'数据-取费表'!ab"&amp;$G$1)</f>
        <v>0</v>
      </c>
    </row>
    <row r="10" spans="1:37" ht="18" customHeight="1">
      <c r="A10" s="1293" t="s">
        <v>1039</v>
      </c>
      <c r="B10" s="1825" t="s">
        <v>1409</v>
      </c>
      <c r="C10" s="361">
        <f ca="1">ROUND(IF(F10="押一",C6/12*F11,IF(F10="押二",C6/12*2*F11,IF(F10="押三",C6/12*3*F11,C11*F11))),0)</f>
        <v>0</v>
      </c>
      <c r="D10" s="1826" t="s">
        <v>3038</v>
      </c>
      <c r="E10" s="358" t="s">
        <v>1410</v>
      </c>
      <c r="F10" s="1368"/>
      <c r="G10" s="1853"/>
      <c r="H10" s="1293" t="s">
        <v>1039</v>
      </c>
      <c r="I10" s="1825" t="s">
        <v>1409</v>
      </c>
      <c r="J10" s="346">
        <f ca="1">ROUND(IF(M10="押一",J6/12*M11,IF(M10="押二",J6/12*2*M11,IF(M10="押三",J6/12*3*M11,J11*M11))),0)</f>
        <v>0</v>
      </c>
      <c r="K10" s="1837" t="s">
        <v>3040</v>
      </c>
      <c r="L10" s="358" t="s">
        <v>1410</v>
      </c>
      <c r="M10" s="1368"/>
    </row>
    <row r="11" spans="1:37" ht="18" customHeight="1">
      <c r="A11" s="353"/>
      <c r="B11" s="1827" t="s">
        <v>1601</v>
      </c>
      <c r="C11" s="1180"/>
      <c r="D11" s="352"/>
      <c r="E11" s="358" t="s">
        <v>1412</v>
      </c>
      <c r="F11" s="359">
        <f ca="1">'数据-取费表'!B39</f>
        <v>1.4999999999999999E-2</v>
      </c>
      <c r="G11" s="1853"/>
      <c r="H11" s="1301"/>
      <c r="I11" s="1827" t="s">
        <v>1602</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0</v>
      </c>
      <c r="D14" s="1802" t="s">
        <v>1418</v>
      </c>
      <c r="E14" s="1796"/>
      <c r="F14" s="364"/>
      <c r="G14" s="1853"/>
      <c r="H14" s="1203" t="s">
        <v>1035</v>
      </c>
      <c r="I14" s="347" t="s">
        <v>1419</v>
      </c>
      <c r="J14" s="24">
        <f ca="1">C29</f>
        <v>0</v>
      </c>
      <c r="K14" s="15"/>
      <c r="L14" s="981"/>
      <c r="M14" s="982"/>
    </row>
    <row r="15" spans="1:37" s="1860" customFormat="1" ht="18" customHeight="1" thickBot="1">
      <c r="A15" s="1203" t="s">
        <v>1036</v>
      </c>
      <c r="B15" s="347" t="s">
        <v>1420</v>
      </c>
      <c r="C15" s="24">
        <f ca="1">ROUND(C14*F15,0)</f>
        <v>0</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0</v>
      </c>
      <c r="K16" s="1339" t="s">
        <v>1425</v>
      </c>
      <c r="L16" s="1340"/>
      <c r="M16" s="1296"/>
    </row>
    <row r="17" spans="1:37" s="1860" customFormat="1" ht="18" customHeight="1">
      <c r="A17" s="1203" t="s">
        <v>1390</v>
      </c>
      <c r="B17" s="347" t="s">
        <v>1426</v>
      </c>
      <c r="C17" s="24">
        <f ca="1">ROUND(F17*(F43+INDIRECT("'数据-取费表'!S"&amp;$G$1)),0)</f>
        <v>0</v>
      </c>
      <c r="D17" s="347" t="s">
        <v>1427</v>
      </c>
      <c r="E17" s="347" t="s">
        <v>1428</v>
      </c>
      <c r="F17" s="26">
        <f>'数据-取费表'!B35</f>
        <v>200</v>
      </c>
      <c r="G17" s="1856"/>
      <c r="H17" s="1203" t="s">
        <v>1035</v>
      </c>
      <c r="I17" s="347" t="s">
        <v>1429</v>
      </c>
      <c r="J17" s="24">
        <f ca="1">ROUND(IF(项目基本情况!B11="自然人",J5*M17,J18+J19+J20),0)</f>
        <v>0</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0</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0</v>
      </c>
      <c r="D19" s="140" t="s">
        <v>1436</v>
      </c>
      <c r="E19" s="1820"/>
      <c r="F19" s="26"/>
      <c r="G19" s="1853"/>
      <c r="H19" s="1203" t="s">
        <v>1036</v>
      </c>
      <c r="I19" s="347" t="s">
        <v>1437</v>
      </c>
      <c r="J19" s="24">
        <f ca="1">IF(K19="按租金收入计税",ROUND(J5*M19,0),ROUND(C29*M19*0.7,0))</f>
        <v>0</v>
      </c>
      <c r="K19" s="1830" t="s">
        <v>1438</v>
      </c>
      <c r="L19" s="347" t="s">
        <v>1422</v>
      </c>
      <c r="M19" s="367">
        <f>IF(K19="按租金收入计税",'数据-取费表'!B51,'数据-取费表'!B50)</f>
        <v>1.2E-2</v>
      </c>
    </row>
    <row r="20" spans="1:37" s="1860" customFormat="1" ht="18" customHeight="1">
      <c r="A20" s="1203" t="s">
        <v>1039</v>
      </c>
      <c r="B20" s="347" t="s">
        <v>1439</v>
      </c>
      <c r="C20" s="24">
        <f ca="1">ROUND(C19*F20,0)</f>
        <v>0</v>
      </c>
      <c r="D20" s="369" t="s">
        <v>1440</v>
      </c>
      <c r="E20" s="347" t="s">
        <v>1422</v>
      </c>
      <c r="F20" s="367">
        <f>'数据-取费表'!B37</f>
        <v>0.02</v>
      </c>
      <c r="G20" s="1856"/>
      <c r="H20" s="1203" t="s">
        <v>1389</v>
      </c>
      <c r="I20" s="164" t="s">
        <v>1441</v>
      </c>
      <c r="J20" s="25">
        <f ca="1">ROUND(M20*M21,0)</f>
        <v>0</v>
      </c>
      <c r="K20" s="370" t="s">
        <v>1442</v>
      </c>
      <c r="L20" s="347" t="s">
        <v>1443</v>
      </c>
      <c r="M20" s="371">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0.02</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0</v>
      </c>
      <c r="K22" s="1800" t="s">
        <v>1450</v>
      </c>
      <c r="L22" s="347" t="s">
        <v>1422</v>
      </c>
      <c r="M22" s="374">
        <f ca="1">INDIRECT("'数据-取费表'!Ak"&amp;$G$1)</f>
        <v>0</v>
      </c>
    </row>
    <row r="23" spans="1:37" s="1860"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6"/>
      <c r="H23" s="1203" t="s">
        <v>1075</v>
      </c>
      <c r="I23" s="347" t="s">
        <v>1453</v>
      </c>
      <c r="J23" s="24">
        <f ca="1">ROUND(J13*M23,0)</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0</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0</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0</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f ca="1">IF(项目基本情况!B11="自然人","——",ROUND(F34*F35,))</f>
        <v>0</v>
      </c>
      <c r="D34" s="370" t="s">
        <v>1442</v>
      </c>
      <c r="E34" s="347" t="s">
        <v>1443</v>
      </c>
      <c r="F34" s="371">
        <f>'数据-取费表'!B52</f>
        <v>16</v>
      </c>
      <c r="G34" s="1853"/>
      <c r="H34" s="744"/>
      <c r="I34" s="1862"/>
      <c r="J34" s="1863"/>
      <c r="K34" s="1865"/>
      <c r="L34" s="1866"/>
      <c r="M34" s="1866"/>
    </row>
    <row r="35" spans="1:18" ht="18" customHeight="1">
      <c r="A35" s="1355"/>
      <c r="B35" s="1353"/>
      <c r="C35" s="29"/>
      <c r="D35" s="373"/>
      <c r="E35" s="347" t="s">
        <v>1447</v>
      </c>
      <c r="F35" s="348">
        <f ca="1">INDIRECT("'数据-取费表'!r"&amp;$G$1)</f>
        <v>0</v>
      </c>
      <c r="G35" s="1853"/>
      <c r="H35" s="744"/>
      <c r="I35" s="1862"/>
      <c r="J35" s="1863"/>
      <c r="K35" s="1864"/>
      <c r="L35" s="1861"/>
      <c r="M35" s="1861"/>
    </row>
    <row r="36" spans="1:18" ht="18" customHeight="1">
      <c r="A36" s="1354" t="s">
        <v>1039</v>
      </c>
      <c r="B36" s="347" t="s">
        <v>1449</v>
      </c>
      <c r="C36" s="24">
        <f ca="1">ROUND(C29*F36,0)</f>
        <v>0</v>
      </c>
      <c r="D36" s="1800" t="s">
        <v>1482</v>
      </c>
      <c r="E36" s="347" t="s">
        <v>1422</v>
      </c>
      <c r="F36" s="374">
        <f ca="1">INDIRECT("'数据-取费表'!Ak"&amp;$G$1)</f>
        <v>0</v>
      </c>
      <c r="G36" s="1853"/>
      <c r="H36" s="1861"/>
      <c r="I36" s="1862"/>
      <c r="J36" s="1863"/>
      <c r="K36" s="750"/>
      <c r="L36" s="1861"/>
      <c r="M36" s="1861"/>
    </row>
    <row r="37" spans="1:18" ht="18" customHeight="1">
      <c r="A37" s="1203" t="s">
        <v>1075</v>
      </c>
      <c r="B37" s="347" t="s">
        <v>1453</v>
      </c>
      <c r="C37" s="24">
        <f ca="1">ROUND(C13*F37,0)</f>
        <v>0</v>
      </c>
      <c r="D37" s="1800" t="s">
        <v>1454</v>
      </c>
      <c r="E37" s="347" t="s">
        <v>1455</v>
      </c>
      <c r="F37" s="376">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5">
        <f ca="1">C5-C30</f>
        <v>0</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1477</v>
      </c>
      <c r="F42" s="357">
        <f ca="1">INDIRECT("'数据-取费表'!v"&amp;$G$1)</f>
        <v>0</v>
      </c>
      <c r="G42" s="1853"/>
      <c r="H42" s="731"/>
      <c r="I42" s="1862"/>
      <c r="J42" s="1863"/>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5"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9" t="s">
        <v>1409</v>
      </c>
      <c r="C53" s="361">
        <f ca="1">ROUND(IF(F53="押一",C49/12*F11,IF(F53="押二",C49/12*2*F11,IF(F53="押三",C49/12*3*F11,C54*F11))),0)</f>
        <v>0</v>
      </c>
      <c r="D53" s="1826" t="s">
        <v>3041</v>
      </c>
      <c r="E53" s="358" t="s">
        <v>1410</v>
      </c>
      <c r="F53" s="1368"/>
      <c r="I53" s="1907" t="s">
        <v>1547</v>
      </c>
      <c r="J53" s="1908" t="b">
        <f>IF(M47="住宅",J51,IF(D1="——",MIN(J51,L48),IF(D1="在建（套用方法）",MIN(J51,L48-'数据-取费表'!B24),IF(D1="土地（套用方法）",MIN(J51,L48-'数据-取费表'!B20)))))</f>
        <v>0</v>
      </c>
      <c r="K53" s="3229" t="s">
        <v>1548</v>
      </c>
      <c r="L53" s="3230"/>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2">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60" t="s">
        <v>1030</v>
      </c>
      <c r="B58" s="1179" t="s">
        <v>1424</v>
      </c>
      <c r="C58" s="361">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7">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1">
        <f t="shared" si="0"/>
        <v>16</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2"/>
      <c r="B63" s="1177"/>
      <c r="C63" s="29"/>
      <c r="D63" s="1187"/>
      <c r="E63" s="1171" t="s">
        <v>1499</v>
      </c>
      <c r="F63" s="348">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4">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6">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7">
        <f t="shared" ca="1" si="0"/>
        <v>0</v>
      </c>
      <c r="O66" s="1886" t="s">
        <v>1041</v>
      </c>
      <c r="P66" s="1887" t="s">
        <v>1557</v>
      </c>
      <c r="Q66" s="1888" t="e">
        <f ca="1">L60</f>
        <v>#DIV/0!</v>
      </c>
      <c r="R66" s="1888" t="s">
        <v>1580</v>
      </c>
    </row>
    <row r="67" spans="1:18" s="1844" customFormat="1" ht="16.5" thickBot="1">
      <c r="A67" s="1178" t="s">
        <v>1031</v>
      </c>
      <c r="B67" s="1188" t="s">
        <v>1463</v>
      </c>
      <c r="C67" s="361">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6" t="e">
        <f ca="1">ROUND(C67*(1-((1+F70)/(1+F68))^F69)/(F68-F70),0)</f>
        <v>#DIV/0!</v>
      </c>
      <c r="D68" s="1186" t="s">
        <v>1469</v>
      </c>
      <c r="E68" s="1171" t="s">
        <v>1470</v>
      </c>
      <c r="F68" s="357">
        <f ca="1">F40</f>
        <v>0</v>
      </c>
      <c r="O68" s="1896" t="s">
        <v>1043</v>
      </c>
      <c r="P68" s="1936" t="s">
        <v>1582</v>
      </c>
      <c r="Q68" s="1888">
        <f ca="1">ROUND(Q69-Q70*Q71,0)</f>
        <v>0</v>
      </c>
      <c r="R68" s="1888" t="s">
        <v>1051</v>
      </c>
    </row>
    <row r="69" spans="1:18" s="1844" customFormat="1" ht="13.5" thickBot="1">
      <c r="A69" s="1172"/>
      <c r="B69" s="1173"/>
      <c r="C69" s="351"/>
      <c r="D69" s="1191" t="s">
        <v>1473</v>
      </c>
      <c r="E69" s="1171" t="s">
        <v>1474</v>
      </c>
      <c r="F69" s="379">
        <f ca="1">F41</f>
        <v>0</v>
      </c>
      <c r="O69" s="1896" t="s">
        <v>1048</v>
      </c>
      <c r="P69" s="1936" t="s">
        <v>1583</v>
      </c>
      <c r="Q69" s="1888">
        <f ca="1">C39</f>
        <v>0</v>
      </c>
      <c r="R69" s="1888" t="s">
        <v>1529</v>
      </c>
    </row>
    <row r="70" spans="1:18" s="1844" customFormat="1" ht="13.5" thickBot="1">
      <c r="A70" s="1175"/>
      <c r="B70" s="1176"/>
      <c r="C70" s="355"/>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2" t="e">
        <f ca="1">ROUND(C68/F71,0)</f>
        <v>#DIV/0!</v>
      </c>
      <c r="D71" s="1194" t="s">
        <v>1488</v>
      </c>
      <c r="E71" s="1195" t="s">
        <v>1489</v>
      </c>
      <c r="F71" s="385">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7"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2524</v>
      </c>
      <c r="B1" s="2562"/>
      <c r="C1" s="2562"/>
      <c r="D1" s="2562"/>
      <c r="E1" s="2563"/>
    </row>
    <row r="2" spans="1:6" ht="15.75">
      <c r="A2" s="2564" t="s">
        <v>2325</v>
      </c>
      <c r="B2" s="2565">
        <f ca="1">SUMIF(B6:B13,"&lt;&gt;#ref!",B6:B13)</f>
        <v>342</v>
      </c>
      <c r="C2" s="2566" t="s">
        <v>2517</v>
      </c>
      <c r="D2" s="2567" t="s">
        <v>2518</v>
      </c>
      <c r="E2" s="2568">
        <f>SUM(E6:E13)</f>
        <v>168.91</v>
      </c>
    </row>
    <row r="3" spans="1:6" ht="15.75">
      <c r="A3" s="2564" t="s">
        <v>1395</v>
      </c>
      <c r="B3" s="2565">
        <f ca="1">ROUND(B2*10000/E2,0)</f>
        <v>20247</v>
      </c>
      <c r="C3" s="2566" t="s">
        <v>2525</v>
      </c>
      <c r="D3" s="2569"/>
      <c r="E3" s="2570"/>
    </row>
    <row r="4" spans="1:6" ht="15.75">
      <c r="A4" s="2571"/>
      <c r="B4" s="2569"/>
      <c r="C4" s="2569"/>
      <c r="D4" s="2569"/>
      <c r="E4" s="2570"/>
    </row>
    <row r="5" spans="1:6" ht="15">
      <c r="A5" s="2572" t="s">
        <v>2519</v>
      </c>
      <c r="B5" s="3281" t="s">
        <v>2520</v>
      </c>
      <c r="C5" s="3281"/>
      <c r="D5" s="2573"/>
      <c r="E5" s="2574" t="s">
        <v>2521</v>
      </c>
      <c r="F5" s="2575" t="s">
        <v>2522</v>
      </c>
    </row>
    <row r="6" spans="1:6">
      <c r="A6" s="2576" t="str">
        <f>'数据-取费表'!AN6</f>
        <v>收益法</v>
      </c>
      <c r="B6" s="2575">
        <f ca="1">IF(F6="是",'数据-取费表'!AO6,0)</f>
        <v>342</v>
      </c>
      <c r="C6" s="2566" t="s">
        <v>2517</v>
      </c>
      <c r="D6" s="2569"/>
      <c r="E6" s="2577">
        <f>IF(OR(A6=0,F6="否"),0,'数据-取费表'!K6+'数据-取费表'!S6)</f>
        <v>168.91</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8" t="s">
        <v>1076</v>
      </c>
      <c r="B1" s="3299"/>
      <c r="C1" s="3300"/>
      <c r="D1" s="3301">
        <f>SUM(I10,I15,I20,I21,I23)</f>
        <v>0</v>
      </c>
      <c r="E1" s="3301"/>
      <c r="F1" s="3301"/>
      <c r="G1" s="3301"/>
      <c r="H1" s="3301"/>
      <c r="I1" s="3302"/>
    </row>
    <row r="2" spans="1:9">
      <c r="A2" s="3288" t="s">
        <v>1077</v>
      </c>
      <c r="B2" s="3289" t="s">
        <v>1078</v>
      </c>
      <c r="C2" s="3289"/>
      <c r="D2" s="1303" t="s">
        <v>1079</v>
      </c>
      <c r="E2" s="1303" t="s">
        <v>1080</v>
      </c>
      <c r="F2" s="1303" t="s">
        <v>1081</v>
      </c>
      <c r="G2" s="1303" t="s">
        <v>1082</v>
      </c>
      <c r="H2" s="1303" t="s">
        <v>1083</v>
      </c>
      <c r="I2" s="1304" t="s">
        <v>1084</v>
      </c>
    </row>
    <row r="3" spans="1:9">
      <c r="A3" s="3288"/>
      <c r="B3" s="3289" t="s">
        <v>1085</v>
      </c>
      <c r="C3" s="3289"/>
      <c r="D3" s="1305"/>
      <c r="E3" s="1303"/>
      <c r="F3" s="1306"/>
      <c r="G3" s="1306"/>
      <c r="H3" s="1307"/>
      <c r="I3" s="1308">
        <f>ROUND(D3*E3*F3*G3*H3/10000,0)</f>
        <v>0</v>
      </c>
    </row>
    <row r="4" spans="1:9">
      <c r="A4" s="3288"/>
      <c r="B4" s="3289" t="s">
        <v>1086</v>
      </c>
      <c r="C4" s="3289"/>
      <c r="D4" s="1305"/>
      <c r="E4" s="1303"/>
      <c r="F4" s="1306"/>
      <c r="G4" s="1306"/>
      <c r="H4" s="1307"/>
      <c r="I4" s="1308">
        <f t="shared" ref="I4:I9" si="0">ROUND(D4*E4*F4*G4*H4/10000,0)</f>
        <v>0</v>
      </c>
    </row>
    <row r="5" spans="1:9">
      <c r="A5" s="3288"/>
      <c r="B5" s="3289" t="s">
        <v>1087</v>
      </c>
      <c r="C5" s="3289"/>
      <c r="D5" s="1305"/>
      <c r="E5" s="1303"/>
      <c r="F5" s="1306"/>
      <c r="G5" s="1306"/>
      <c r="H5" s="1307"/>
      <c r="I5" s="1308">
        <f t="shared" si="0"/>
        <v>0</v>
      </c>
    </row>
    <row r="6" spans="1:9">
      <c r="A6" s="3288"/>
      <c r="B6" s="3289" t="s">
        <v>1088</v>
      </c>
      <c r="C6" s="3289"/>
      <c r="D6" s="1305"/>
      <c r="E6" s="1303"/>
      <c r="F6" s="1306"/>
      <c r="G6" s="1306"/>
      <c r="H6" s="1307"/>
      <c r="I6" s="1308">
        <f t="shared" si="0"/>
        <v>0</v>
      </c>
    </row>
    <row r="7" spans="1:9">
      <c r="A7" s="3288"/>
      <c r="B7" s="3289" t="s">
        <v>1089</v>
      </c>
      <c r="C7" s="3289"/>
      <c r="D7" s="1305"/>
      <c r="E7" s="1303"/>
      <c r="F7" s="1306"/>
      <c r="G7" s="1306"/>
      <c r="H7" s="1307"/>
      <c r="I7" s="1308">
        <f t="shared" si="0"/>
        <v>0</v>
      </c>
    </row>
    <row r="8" spans="1:9">
      <c r="A8" s="3288"/>
      <c r="B8" s="3289" t="s">
        <v>1090</v>
      </c>
      <c r="C8" s="3289"/>
      <c r="D8" s="1305"/>
      <c r="E8" s="1303"/>
      <c r="F8" s="1306"/>
      <c r="G8" s="1306"/>
      <c r="H8" s="1307"/>
      <c r="I8" s="1308">
        <f t="shared" si="0"/>
        <v>0</v>
      </c>
    </row>
    <row r="9" spans="1:9">
      <c r="A9" s="3288"/>
      <c r="B9" s="3289" t="s">
        <v>1091</v>
      </c>
      <c r="C9" s="3289"/>
      <c r="D9" s="1305"/>
      <c r="E9" s="1303"/>
      <c r="F9" s="1306"/>
      <c r="G9" s="1306"/>
      <c r="H9" s="1307"/>
      <c r="I9" s="1308">
        <f t="shared" si="0"/>
        <v>0</v>
      </c>
    </row>
    <row r="10" spans="1:9">
      <c r="A10" s="3288"/>
      <c r="B10" s="3290" t="s">
        <v>1092</v>
      </c>
      <c r="C10" s="3290"/>
      <c r="D10" s="1309"/>
      <c r="E10" s="1309" t="e">
        <f>ROUND(D1*10000/D10/H9,0)</f>
        <v>#DIV/0!</v>
      </c>
      <c r="F10" s="1310"/>
      <c r="G10" s="1310"/>
      <c r="H10" s="1311"/>
      <c r="I10" s="1312">
        <f>SUM(I3:I9)</f>
        <v>0</v>
      </c>
    </row>
    <row r="11" spans="1:9" ht="14.25">
      <c r="A11" s="3288" t="s">
        <v>1093</v>
      </c>
      <c r="B11" s="3289" t="s">
        <v>1094</v>
      </c>
      <c r="C11" s="3289"/>
      <c r="D11" s="1305" t="s">
        <v>1095</v>
      </c>
      <c r="E11" s="1305" t="s">
        <v>1096</v>
      </c>
      <c r="F11" s="1306" t="s">
        <v>1097</v>
      </c>
      <c r="G11" s="1306" t="s">
        <v>1083</v>
      </c>
      <c r="H11" s="1313" t="s">
        <v>1098</v>
      </c>
      <c r="I11" s="1304" t="s">
        <v>1084</v>
      </c>
    </row>
    <row r="12" spans="1:9">
      <c r="A12" s="3288"/>
      <c r="B12" s="3289" t="s">
        <v>1099</v>
      </c>
      <c r="C12" s="3289"/>
      <c r="D12" s="1305"/>
      <c r="E12" s="1305"/>
      <c r="F12" s="1306"/>
      <c r="G12" s="1307"/>
      <c r="H12" s="1314"/>
      <c r="I12" s="1304">
        <f>ROUND(D12*E12*F12*G12/10000,0)</f>
        <v>0</v>
      </c>
    </row>
    <row r="13" spans="1:9">
      <c r="A13" s="3288"/>
      <c r="B13" s="3289" t="s">
        <v>1100</v>
      </c>
      <c r="C13" s="3289"/>
      <c r="D13" s="1305"/>
      <c r="E13" s="1305"/>
      <c r="F13" s="1306"/>
      <c r="G13" s="1307"/>
      <c r="H13" s="1314"/>
      <c r="I13" s="1304">
        <f>ROUND(D13*E13*F13*G13/10000,0)</f>
        <v>0</v>
      </c>
    </row>
    <row r="14" spans="1:9">
      <c r="A14" s="3288"/>
      <c r="B14" s="3289" t="s">
        <v>1101</v>
      </c>
      <c r="C14" s="3289"/>
      <c r="D14" s="1305"/>
      <c r="E14" s="1305"/>
      <c r="F14" s="1306"/>
      <c r="G14" s="1307"/>
      <c r="H14" s="1314"/>
      <c r="I14" s="1304">
        <f>ROUND(D14*E14*F14*G14/10000,0)</f>
        <v>0</v>
      </c>
    </row>
    <row r="15" spans="1:9">
      <c r="A15" s="3288"/>
      <c r="B15" s="3290" t="s">
        <v>1092</v>
      </c>
      <c r="C15" s="3290"/>
      <c r="D15" s="1309"/>
      <c r="E15" s="1309">
        <f>SUM(E12:E14)</f>
        <v>0</v>
      </c>
      <c r="F15" s="1310"/>
      <c r="G15" s="1307"/>
      <c r="H15" s="1314"/>
      <c r="I15" s="1315">
        <f>SUM(I12:I14)</f>
        <v>0</v>
      </c>
    </row>
    <row r="16" spans="1:9" ht="24">
      <c r="A16" s="3288" t="s">
        <v>1102</v>
      </c>
      <c r="B16" s="3289" t="s">
        <v>1103</v>
      </c>
      <c r="C16" s="3289"/>
      <c r="D16" s="1305" t="s">
        <v>1079</v>
      </c>
      <c r="E16" s="1316" t="s">
        <v>1104</v>
      </c>
      <c r="F16" s="1306" t="s">
        <v>1105</v>
      </c>
      <c r="G16" s="1307" t="s">
        <v>1083</v>
      </c>
      <c r="H16" s="1313" t="s">
        <v>1098</v>
      </c>
      <c r="I16" s="1304" t="s">
        <v>1084</v>
      </c>
    </row>
    <row r="17" spans="1:9" ht="14.25">
      <c r="A17" s="3288"/>
      <c r="B17" s="3289" t="s">
        <v>1106</v>
      </c>
      <c r="C17" s="3289"/>
      <c r="D17" s="1305"/>
      <c r="E17" s="1305"/>
      <c r="F17" s="1306"/>
      <c r="G17" s="1307"/>
      <c r="H17" s="1317"/>
      <c r="I17" s="1318">
        <f>ROUND(D17*E17*F17*G17/10000,0)</f>
        <v>0</v>
      </c>
    </row>
    <row r="18" spans="1:9" ht="14.25">
      <c r="A18" s="3288"/>
      <c r="B18" s="3289" t="s">
        <v>1107</v>
      </c>
      <c r="C18" s="3289"/>
      <c r="D18" s="1305"/>
      <c r="E18" s="1305"/>
      <c r="F18" s="1306"/>
      <c r="G18" s="1307"/>
      <c r="H18" s="1317"/>
      <c r="I18" s="1318">
        <f>ROUND(D18*E18*F18*G18/10000,0)</f>
        <v>0</v>
      </c>
    </row>
    <row r="19" spans="1:9" ht="14.25">
      <c r="A19" s="3288"/>
      <c r="B19" s="3289" t="s">
        <v>1108</v>
      </c>
      <c r="C19" s="3289"/>
      <c r="D19" s="1305"/>
      <c r="E19" s="1305"/>
      <c r="F19" s="1306"/>
      <c r="G19" s="1307"/>
      <c r="H19" s="1317"/>
      <c r="I19" s="1318">
        <f>ROUND(D19*E19*F19*G19/10000,0)</f>
        <v>0</v>
      </c>
    </row>
    <row r="20" spans="1:9">
      <c r="A20" s="3288"/>
      <c r="B20" s="3290" t="s">
        <v>1092</v>
      </c>
      <c r="C20" s="3290"/>
      <c r="D20" s="1309">
        <f>SUM(D17:D19)</f>
        <v>0</v>
      </c>
      <c r="E20" s="1309"/>
      <c r="F20" s="1310"/>
      <c r="G20" s="1307"/>
      <c r="H20" s="1314"/>
      <c r="I20" s="1315">
        <f>SUM(I17:I19)</f>
        <v>0</v>
      </c>
    </row>
    <row r="21" spans="1:9">
      <c r="A21" s="3288" t="s">
        <v>1109</v>
      </c>
      <c r="B21" s="3291"/>
      <c r="C21" s="3291"/>
      <c r="D21" s="3291"/>
      <c r="E21" s="3291"/>
      <c r="F21" s="3291"/>
      <c r="G21" s="3291"/>
      <c r="H21" s="1767">
        <v>0.1</v>
      </c>
      <c r="I21" s="1312">
        <f>ROUND(I10*H21,0)</f>
        <v>0</v>
      </c>
    </row>
    <row r="22" spans="1:9" ht="14.25">
      <c r="A22" s="3292" t="s">
        <v>1110</v>
      </c>
      <c r="B22" s="3293"/>
      <c r="C22" s="3294"/>
      <c r="D22" s="1319" t="s">
        <v>1111</v>
      </c>
      <c r="E22" s="1319" t="s">
        <v>1112</v>
      </c>
      <c r="F22" s="1320" t="s">
        <v>1113</v>
      </c>
      <c r="G22" s="1320" t="s">
        <v>1114</v>
      </c>
      <c r="H22" s="1313" t="s">
        <v>1115</v>
      </c>
      <c r="I22" s="1304" t="s">
        <v>1116</v>
      </c>
    </row>
    <row r="23" spans="1:9" ht="14.25" thickBot="1">
      <c r="A23" s="3295"/>
      <c r="B23" s="3296"/>
      <c r="C23" s="3297"/>
      <c r="D23" s="1321"/>
      <c r="E23" s="1321"/>
      <c r="F23" s="1321"/>
      <c r="G23" s="1322"/>
      <c r="H23" s="1323"/>
      <c r="I23" s="1324">
        <f>ROUND(E23*D23*F23*(1-G23)/10000,0)</f>
        <v>0</v>
      </c>
    </row>
    <row r="26" spans="1:9">
      <c r="A26" s="1325" t="s">
        <v>1117</v>
      </c>
      <c r="B26" s="1325"/>
      <c r="C26" s="1325"/>
      <c r="D26" s="1325"/>
      <c r="E26" s="3285">
        <f>C27-C30-C31-C32</f>
        <v>0</v>
      </c>
      <c r="F26" s="3285"/>
      <c r="G26" s="3285"/>
      <c r="H26" s="1739" t="s">
        <v>1340</v>
      </c>
    </row>
    <row r="27" spans="1:9">
      <c r="A27" s="1326">
        <v>1</v>
      </c>
      <c r="B27" s="1327" t="s">
        <v>1118</v>
      </c>
      <c r="C27" s="1327">
        <f>C28+C29</f>
        <v>0</v>
      </c>
      <c r="D27" s="1327"/>
      <c r="E27" s="3286"/>
      <c r="F27" s="3286"/>
      <c r="G27" s="3286"/>
    </row>
    <row r="28" spans="1:9">
      <c r="A28" s="1328" t="s">
        <v>1119</v>
      </c>
      <c r="B28" s="1327" t="s">
        <v>1120</v>
      </c>
      <c r="C28" s="1327"/>
      <c r="D28" s="1327"/>
      <c r="E28" s="3286"/>
      <c r="F28" s="3286"/>
      <c r="G28" s="328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7"/>
      <c r="F32" s="3287"/>
      <c r="G32" s="3287"/>
    </row>
    <row r="33" spans="1:7" hidden="1">
      <c r="A33" s="3282" t="s">
        <v>1129</v>
      </c>
      <c r="B33" s="3283"/>
      <c r="C33" s="3283"/>
      <c r="D33" s="3284"/>
      <c r="E33" s="3285"/>
      <c r="F33" s="3285"/>
      <c r="G33" s="3285"/>
    </row>
    <row r="34" spans="1:7" hidden="1">
      <c r="A34" s="1330">
        <v>1</v>
      </c>
      <c r="B34" s="1327" t="s">
        <v>1130</v>
      </c>
      <c r="C34" s="1327"/>
      <c r="D34" s="1327"/>
      <c r="E34" s="3286"/>
      <c r="F34" s="3286"/>
      <c r="G34" s="3286"/>
    </row>
    <row r="35" spans="1:7" hidden="1">
      <c r="A35" s="1330">
        <v>2</v>
      </c>
      <c r="B35" s="1327" t="s">
        <v>1131</v>
      </c>
      <c r="C35" s="1327"/>
      <c r="D35" s="1327"/>
      <c r="E35" s="3286"/>
      <c r="F35" s="3286"/>
      <c r="G35" s="3286"/>
    </row>
    <row r="36" spans="1:7" hidden="1">
      <c r="A36" s="1330">
        <v>3</v>
      </c>
      <c r="B36" s="1327" t="s">
        <v>1132</v>
      </c>
      <c r="C36" s="1327"/>
      <c r="D36" s="1327"/>
      <c r="E36" s="3286"/>
      <c r="F36" s="3286"/>
      <c r="G36" s="3286"/>
    </row>
    <row r="37" spans="1:7" hidden="1">
      <c r="A37" s="1330">
        <v>4</v>
      </c>
      <c r="B37" s="1327" t="s">
        <v>1133</v>
      </c>
      <c r="C37" s="1327"/>
      <c r="D37" s="1327"/>
      <c r="E37" s="3286"/>
      <c r="F37" s="3286"/>
      <c r="G37" s="3286"/>
    </row>
    <row r="38" spans="1:7" hidden="1">
      <c r="A38" s="3282" t="s">
        <v>1134</v>
      </c>
      <c r="B38" s="3283"/>
      <c r="C38" s="3283"/>
      <c r="D38" s="3284"/>
      <c r="E38" s="3285"/>
      <c r="F38" s="3285"/>
      <c r="G38" s="32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2" t="s">
        <v>2527</v>
      </c>
      <c r="C1" s="1636" t="s">
        <v>2528</v>
      </c>
      <c r="D1" s="1623"/>
      <c r="E1" s="2583"/>
      <c r="F1" s="2584" t="s">
        <v>2529</v>
      </c>
      <c r="G1" s="1633" t="s">
        <v>2530</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2531</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2532</v>
      </c>
      <c r="D3" s="399">
        <f>IF(D1="",'数据-汇总表'!E3,SUMIF('数据-汇总表'!$C19:$C33,D1,'数据-汇总表'!$E19:$E33))</f>
        <v>4833.9999999999973</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2533</v>
      </c>
      <c r="B4" s="402"/>
      <c r="C4" s="3253" t="s">
        <v>2534</v>
      </c>
      <c r="D4" s="3254"/>
      <c r="E4" s="3255" t="s">
        <v>2535</v>
      </c>
      <c r="F4" s="3256"/>
      <c r="G4" s="3253" t="s">
        <v>2536</v>
      </c>
      <c r="H4" s="3254"/>
      <c r="I4" s="3253" t="s">
        <v>2537</v>
      </c>
      <c r="J4" s="3254"/>
      <c r="K4" s="2596" t="s">
        <v>2538</v>
      </c>
      <c r="L4" s="1132"/>
      <c r="M4" s="1133"/>
      <c r="N4" s="1133"/>
      <c r="O4" s="1133"/>
      <c r="P4" s="3257" t="s">
        <v>2539</v>
      </c>
      <c r="Q4" s="3258"/>
      <c r="R4" s="3263" t="s">
        <v>2535</v>
      </c>
      <c r="S4" s="3264"/>
      <c r="T4" s="3263" t="s">
        <v>2536</v>
      </c>
      <c r="U4" s="3264"/>
      <c r="V4" s="3248" t="s">
        <v>2537</v>
      </c>
      <c r="W4" s="3248"/>
      <c r="X4" s="1815"/>
      <c r="Y4" s="3263" t="s">
        <v>2539</v>
      </c>
      <c r="Z4" s="3264"/>
      <c r="AA4" s="3250" t="s">
        <v>2535</v>
      </c>
      <c r="AB4" s="3250" t="s">
        <v>2536</v>
      </c>
      <c r="AC4" s="3250" t="s">
        <v>2537</v>
      </c>
    </row>
    <row r="5" spans="1:29" ht="15">
      <c r="A5" s="404"/>
      <c r="B5" s="405"/>
      <c r="C5" s="3303" t="s">
        <v>2540</v>
      </c>
      <c r="D5" s="3272"/>
      <c r="E5" s="3305" t="s">
        <v>2541</v>
      </c>
      <c r="F5" s="3280"/>
      <c r="G5" s="3303" t="s">
        <v>2542</v>
      </c>
      <c r="H5" s="3272"/>
      <c r="I5" s="3303" t="s">
        <v>2543</v>
      </c>
      <c r="J5" s="3272"/>
      <c r="K5" s="2597"/>
      <c r="L5" s="1132"/>
      <c r="M5" s="1133"/>
      <c r="N5" s="1133"/>
      <c r="O5" s="1133"/>
      <c r="P5" s="3259"/>
      <c r="Q5" s="3260"/>
      <c r="R5" s="3265"/>
      <c r="S5" s="3266"/>
      <c r="T5" s="3265"/>
      <c r="U5" s="3266"/>
      <c r="V5" s="3248"/>
      <c r="W5" s="3248"/>
      <c r="X5" s="1815"/>
      <c r="Y5" s="3265"/>
      <c r="Z5" s="3266"/>
      <c r="AA5" s="3251"/>
      <c r="AB5" s="3251"/>
      <c r="AC5" s="3251"/>
    </row>
    <row r="6" spans="1:29" ht="15.75" thickBot="1">
      <c r="A6" s="406"/>
      <c r="B6" s="407"/>
      <c r="C6" s="3276" t="s">
        <v>2544</v>
      </c>
      <c r="D6" s="3270"/>
      <c r="E6" s="3304" t="s">
        <v>2544</v>
      </c>
      <c r="F6" s="3278"/>
      <c r="G6" s="3276" t="s">
        <v>2544</v>
      </c>
      <c r="H6" s="3270"/>
      <c r="I6" s="3276" t="s">
        <v>2544</v>
      </c>
      <c r="J6" s="3270"/>
      <c r="K6" s="2597" t="s">
        <v>2545</v>
      </c>
      <c r="L6" s="1132"/>
      <c r="M6" s="1133"/>
      <c r="N6" s="1133"/>
      <c r="O6" s="1133"/>
      <c r="P6" s="3261"/>
      <c r="Q6" s="3262"/>
      <c r="R6" s="3265"/>
      <c r="S6" s="3266"/>
      <c r="T6" s="3267"/>
      <c r="U6" s="3268"/>
      <c r="V6" s="3248"/>
      <c r="W6" s="3248"/>
      <c r="X6" s="1815"/>
      <c r="Y6" s="3267"/>
      <c r="Z6" s="3268"/>
      <c r="AA6" s="3252"/>
      <c r="AB6" s="3252"/>
      <c r="AC6" s="3252"/>
    </row>
    <row r="7" spans="1:29" s="117" customFormat="1" ht="15.75" thickBot="1">
      <c r="A7" s="408" t="s">
        <v>2546</v>
      </c>
      <c r="B7" s="409"/>
      <c r="C7" s="410">
        <f>'数据-取费表'!B2</f>
        <v>43202</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273" t="s">
        <v>2547</v>
      </c>
      <c r="Q7" s="3275"/>
      <c r="R7" s="769" t="s">
        <v>23</v>
      </c>
      <c r="S7" s="770">
        <f t="shared" ref="S7:S15" si="0">F7</f>
        <v>0</v>
      </c>
      <c r="T7" s="769" t="s">
        <v>23</v>
      </c>
      <c r="U7" s="770">
        <f t="shared" ref="U7:U15" si="1">H7</f>
        <v>0</v>
      </c>
      <c r="V7" s="769" t="s">
        <v>23</v>
      </c>
      <c r="W7" s="770">
        <f t="shared" ref="W7:W15" si="2">J7</f>
        <v>0</v>
      </c>
      <c r="X7" s="771"/>
      <c r="Y7" s="3273" t="s">
        <v>2547</v>
      </c>
      <c r="Z7" s="3274"/>
      <c r="AA7" s="772" t="e">
        <f>D7/F7</f>
        <v>#DIV/0!</v>
      </c>
      <c r="AB7" s="772" t="e">
        <f>D7/H7</f>
        <v>#DIV/0!</v>
      </c>
      <c r="AC7" s="772"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273" t="s">
        <v>2550</v>
      </c>
      <c r="Q8" s="3274"/>
      <c r="R8" s="769" t="s">
        <v>23</v>
      </c>
      <c r="S8" s="770">
        <f t="shared" si="0"/>
        <v>0</v>
      </c>
      <c r="T8" s="769" t="s">
        <v>23</v>
      </c>
      <c r="U8" s="770">
        <f t="shared" si="1"/>
        <v>0</v>
      </c>
      <c r="V8" s="769" t="s">
        <v>23</v>
      </c>
      <c r="W8" s="770">
        <f t="shared" si="2"/>
        <v>0</v>
      </c>
      <c r="X8" s="771"/>
      <c r="Y8" s="3273" t="s">
        <v>2550</v>
      </c>
      <c r="Z8" s="3274"/>
      <c r="AA8" s="772" t="e">
        <f t="shared" ref="AA8:AA19" si="3">D8/F8</f>
        <v>#DIV/0!</v>
      </c>
      <c r="AB8" s="772" t="e">
        <f t="shared" ref="AB8:AB19" si="4">D8/H8</f>
        <v>#DIV/0!</v>
      </c>
      <c r="AC8" s="772"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49"/>
      <c r="Q11" s="1797" t="str">
        <f t="shared" si="6"/>
        <v>容积率</v>
      </c>
      <c r="R11" s="769" t="s">
        <v>21</v>
      </c>
      <c r="S11" s="770" t="e">
        <f t="shared" si="0"/>
        <v>#N/A</v>
      </c>
      <c r="T11" s="769" t="s">
        <v>21</v>
      </c>
      <c r="U11" s="770" t="e">
        <f t="shared" si="1"/>
        <v>#N/A</v>
      </c>
      <c r="V11" s="769" t="s">
        <v>21</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249"/>
      <c r="Q12" s="1797">
        <f t="shared" si="6"/>
        <v>111</v>
      </c>
      <c r="R12" s="769" t="s">
        <v>21</v>
      </c>
      <c r="S12" s="770">
        <f t="shared" si="0"/>
        <v>100</v>
      </c>
      <c r="T12" s="769" t="s">
        <v>21</v>
      </c>
      <c r="U12" s="770">
        <f t="shared" si="1"/>
        <v>100</v>
      </c>
      <c r="V12" s="769" t="s">
        <v>21</v>
      </c>
      <c r="W12" s="770">
        <f t="shared" si="2"/>
        <v>100</v>
      </c>
      <c r="X12" s="771"/>
      <c r="Y12" s="3084"/>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249"/>
      <c r="Q13" s="1797">
        <f t="shared" si="6"/>
        <v>111</v>
      </c>
      <c r="R13" s="769" t="s">
        <v>21</v>
      </c>
      <c r="S13" s="770">
        <f t="shared" si="0"/>
        <v>100</v>
      </c>
      <c r="T13" s="769" t="s">
        <v>21</v>
      </c>
      <c r="U13" s="770">
        <f t="shared" si="1"/>
        <v>100</v>
      </c>
      <c r="V13" s="769" t="s">
        <v>21</v>
      </c>
      <c r="W13" s="770">
        <f t="shared" si="2"/>
        <v>100</v>
      </c>
      <c r="X13" s="771"/>
      <c r="Y13" s="3084"/>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249"/>
      <c r="Q14" s="1797">
        <f t="shared" si="6"/>
        <v>111</v>
      </c>
      <c r="R14" s="769" t="s">
        <v>21</v>
      </c>
      <c r="S14" s="770">
        <f t="shared" si="0"/>
        <v>100</v>
      </c>
      <c r="T14" s="769" t="s">
        <v>21</v>
      </c>
      <c r="U14" s="770">
        <f t="shared" si="1"/>
        <v>100</v>
      </c>
      <c r="V14" s="769" t="s">
        <v>21</v>
      </c>
      <c r="W14" s="770">
        <f t="shared" si="2"/>
        <v>100</v>
      </c>
      <c r="X14" s="771"/>
      <c r="Y14" s="3084"/>
      <c r="Z14" s="55">
        <f t="shared" si="7"/>
        <v>111</v>
      </c>
      <c r="AA14" s="772">
        <f t="shared" si="3"/>
        <v>1</v>
      </c>
      <c r="AB14" s="772">
        <f t="shared" si="4"/>
        <v>1</v>
      </c>
      <c r="AC14" s="772">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9" t="s">
        <v>2558</v>
      </c>
      <c r="Q15" s="1812" t="str">
        <f t="shared" si="6"/>
        <v>居住社区成熟度</v>
      </c>
      <c r="R15" s="773" t="s">
        <v>21</v>
      </c>
      <c r="S15" s="774">
        <f t="shared" si="0"/>
        <v>100</v>
      </c>
      <c r="T15" s="773" t="s">
        <v>21</v>
      </c>
      <c r="U15" s="774">
        <f t="shared" si="1"/>
        <v>100</v>
      </c>
      <c r="V15" s="773" t="s">
        <v>21</v>
      </c>
      <c r="W15" s="774">
        <f t="shared" si="2"/>
        <v>100</v>
      </c>
      <c r="X15" s="1815"/>
      <c r="Y15" s="3241" t="s">
        <v>2558</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240"/>
      <c r="Q16" s="1812"/>
      <c r="R16" s="773"/>
      <c r="S16" s="774"/>
      <c r="T16" s="773"/>
      <c r="U16" s="774"/>
      <c r="V16" s="773"/>
      <c r="W16" s="774"/>
      <c r="X16" s="1815"/>
      <c r="Y16" s="3242"/>
      <c r="Z16" s="1816"/>
      <c r="AA16" s="1813">
        <v>1</v>
      </c>
      <c r="AB16" s="1813">
        <v>1</v>
      </c>
      <c r="AC16" s="1813">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40"/>
      <c r="Q17" s="1812" t="str">
        <f>B17</f>
        <v>交通便捷度</v>
      </c>
      <c r="R17" s="773" t="s">
        <v>21</v>
      </c>
      <c r="S17" s="774">
        <f>F17</f>
        <v>100</v>
      </c>
      <c r="T17" s="773" t="s">
        <v>21</v>
      </c>
      <c r="U17" s="774">
        <f>H17</f>
        <v>100</v>
      </c>
      <c r="V17" s="773" t="s">
        <v>21</v>
      </c>
      <c r="W17" s="774">
        <f>J17</f>
        <v>100</v>
      </c>
      <c r="X17" s="1815"/>
      <c r="Y17" s="3242"/>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240"/>
      <c r="Q18" s="1812"/>
      <c r="R18" s="773"/>
      <c r="S18" s="774"/>
      <c r="T18" s="773"/>
      <c r="U18" s="774"/>
      <c r="V18" s="773"/>
      <c r="W18" s="774"/>
      <c r="X18" s="1815"/>
      <c r="Y18" s="3242"/>
      <c r="Z18" s="1816"/>
      <c r="AA18" s="1813">
        <v>1</v>
      </c>
      <c r="AB18" s="1813">
        <v>1</v>
      </c>
      <c r="AC18" s="1813">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40"/>
      <c r="Q19" s="1812" t="str">
        <f>B19</f>
        <v>公共配套设施</v>
      </c>
      <c r="R19" s="773" t="s">
        <v>21</v>
      </c>
      <c r="S19" s="774">
        <f>F19</f>
        <v>100</v>
      </c>
      <c r="T19" s="773" t="s">
        <v>21</v>
      </c>
      <c r="U19" s="774">
        <f>H19</f>
        <v>100</v>
      </c>
      <c r="V19" s="773" t="s">
        <v>21</v>
      </c>
      <c r="W19" s="774">
        <f>J19</f>
        <v>100</v>
      </c>
      <c r="X19" s="1815"/>
      <c r="Y19" s="3242"/>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240"/>
      <c r="Q20" s="1812"/>
      <c r="R20" s="773"/>
      <c r="S20" s="774"/>
      <c r="T20" s="773"/>
      <c r="U20" s="774"/>
      <c r="V20" s="773"/>
      <c r="W20" s="774"/>
      <c r="X20" s="1815"/>
      <c r="Y20" s="3242"/>
      <c r="Z20" s="1816"/>
      <c r="AA20" s="1813">
        <v>1</v>
      </c>
      <c r="AB20" s="1813">
        <v>1</v>
      </c>
      <c r="AC20" s="1813">
        <v>1</v>
      </c>
    </row>
    <row r="21" spans="1:29" ht="28.5">
      <c r="A21" s="428"/>
      <c r="B21" s="1386"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40"/>
      <c r="Q21" s="1812" t="str">
        <f>B21</f>
        <v>基础设施水平</v>
      </c>
      <c r="R21" s="773" t="s">
        <v>17</v>
      </c>
      <c r="S21" s="774">
        <f>F21</f>
        <v>100</v>
      </c>
      <c r="T21" s="773" t="s">
        <v>17</v>
      </c>
      <c r="U21" s="774">
        <f>H21</f>
        <v>100</v>
      </c>
      <c r="V21" s="773" t="s">
        <v>17</v>
      </c>
      <c r="W21" s="774">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240"/>
      <c r="Q22" s="1812"/>
      <c r="R22" s="773"/>
      <c r="S22" s="774"/>
      <c r="T22" s="773"/>
      <c r="U22" s="774"/>
      <c r="V22" s="773"/>
      <c r="W22" s="774"/>
      <c r="X22" s="1815"/>
      <c r="Y22" s="3242"/>
      <c r="Z22" s="1816"/>
      <c r="AA22" s="1813">
        <v>1</v>
      </c>
      <c r="AB22" s="1813">
        <v>1</v>
      </c>
      <c r="AC22" s="1813">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40"/>
      <c r="Q23" s="1812" t="str">
        <f>B23</f>
        <v>自然及人文环境</v>
      </c>
      <c r="R23" s="773" t="s">
        <v>21</v>
      </c>
      <c r="S23" s="774">
        <f>F23</f>
        <v>100</v>
      </c>
      <c r="T23" s="773" t="s">
        <v>21</v>
      </c>
      <c r="U23" s="774">
        <f>H23</f>
        <v>100</v>
      </c>
      <c r="V23" s="773" t="s">
        <v>21</v>
      </c>
      <c r="W23" s="774">
        <f>J23</f>
        <v>100</v>
      </c>
      <c r="X23" s="1815"/>
      <c r="Y23" s="3242"/>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240"/>
      <c r="Q24" s="1812"/>
      <c r="R24" s="773"/>
      <c r="S24" s="774"/>
      <c r="T24" s="773"/>
      <c r="U24" s="774"/>
      <c r="V24" s="773"/>
      <c r="W24" s="774"/>
      <c r="X24" s="1815"/>
      <c r="Y24" s="3242"/>
      <c r="Z24" s="1816"/>
      <c r="AA24" s="1813">
        <v>1</v>
      </c>
      <c r="AB24" s="1813">
        <v>1</v>
      </c>
      <c r="AC24" s="1813">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240"/>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2"/>
      <c r="Z25" s="1816" t="str">
        <f>Q25</f>
        <v>楼层-1</v>
      </c>
      <c r="AA25" s="1813">
        <f t="shared" ref="AA25:AA46" si="15">D25/F25</f>
        <v>1</v>
      </c>
      <c r="AB25" s="1813">
        <f t="shared" ref="AB25:AB46" si="16">D25/H25</f>
        <v>1</v>
      </c>
      <c r="AC25" s="1813">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240"/>
      <c r="Q26" s="1812" t="str">
        <f t="shared" si="11"/>
        <v>朝向</v>
      </c>
      <c r="R26" s="773" t="s">
        <v>21</v>
      </c>
      <c r="S26" s="774">
        <f t="shared" si="12"/>
        <v>100</v>
      </c>
      <c r="T26" s="773" t="s">
        <v>21</v>
      </c>
      <c r="U26" s="774">
        <f t="shared" si="13"/>
        <v>100</v>
      </c>
      <c r="V26" s="773" t="s">
        <v>21</v>
      </c>
      <c r="W26" s="774">
        <f t="shared" si="14"/>
        <v>100</v>
      </c>
      <c r="X26" s="1815"/>
      <c r="Y26" s="3242"/>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240"/>
      <c r="Q27" s="1797">
        <f t="shared" si="11"/>
        <v>111</v>
      </c>
      <c r="R27" s="769" t="s">
        <v>21</v>
      </c>
      <c r="S27" s="770">
        <f t="shared" si="12"/>
        <v>100</v>
      </c>
      <c r="T27" s="769" t="s">
        <v>21</v>
      </c>
      <c r="U27" s="770">
        <f t="shared" si="13"/>
        <v>100</v>
      </c>
      <c r="V27" s="769" t="s">
        <v>21</v>
      </c>
      <c r="W27" s="770">
        <f t="shared" si="14"/>
        <v>100</v>
      </c>
      <c r="X27" s="771"/>
      <c r="Y27" s="3242"/>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240"/>
      <c r="Q28" s="1812">
        <f t="shared" si="11"/>
        <v>111</v>
      </c>
      <c r="R28" s="773" t="s">
        <v>21</v>
      </c>
      <c r="S28" s="774">
        <f t="shared" si="12"/>
        <v>100</v>
      </c>
      <c r="T28" s="773" t="s">
        <v>21</v>
      </c>
      <c r="U28" s="774">
        <f t="shared" si="13"/>
        <v>100</v>
      </c>
      <c r="V28" s="773" t="s">
        <v>21</v>
      </c>
      <c r="W28" s="774">
        <f t="shared" si="14"/>
        <v>100</v>
      </c>
      <c r="X28" s="1815"/>
      <c r="Y28" s="3242"/>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240"/>
      <c r="Q29" s="1812">
        <f t="shared" si="11"/>
        <v>111</v>
      </c>
      <c r="R29" s="773" t="s">
        <v>21</v>
      </c>
      <c r="S29" s="774">
        <f t="shared" si="12"/>
        <v>100</v>
      </c>
      <c r="T29" s="773" t="s">
        <v>21</v>
      </c>
      <c r="U29" s="774">
        <f t="shared" si="13"/>
        <v>100</v>
      </c>
      <c r="V29" s="773" t="s">
        <v>21</v>
      </c>
      <c r="W29" s="774">
        <f t="shared" si="14"/>
        <v>100</v>
      </c>
      <c r="X29" s="1815"/>
      <c r="Y29" s="3242"/>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240"/>
      <c r="Q30" s="1812">
        <f t="shared" si="11"/>
        <v>111</v>
      </c>
      <c r="R30" s="773" t="s">
        <v>21</v>
      </c>
      <c r="S30" s="774">
        <f t="shared" si="12"/>
        <v>100</v>
      </c>
      <c r="T30" s="773" t="s">
        <v>21</v>
      </c>
      <c r="U30" s="774">
        <f t="shared" si="13"/>
        <v>100</v>
      </c>
      <c r="V30" s="773" t="s">
        <v>21</v>
      </c>
      <c r="W30" s="774">
        <f t="shared" si="14"/>
        <v>100</v>
      </c>
      <c r="X30" s="1815"/>
      <c r="Y30" s="3242"/>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240"/>
      <c r="Q31" s="1812">
        <f t="shared" si="11"/>
        <v>111</v>
      </c>
      <c r="R31" s="773" t="s">
        <v>21</v>
      </c>
      <c r="S31" s="774">
        <f t="shared" si="12"/>
        <v>100</v>
      </c>
      <c r="T31" s="773" t="s">
        <v>21</v>
      </c>
      <c r="U31" s="774">
        <f t="shared" si="13"/>
        <v>100</v>
      </c>
      <c r="V31" s="773" t="s">
        <v>21</v>
      </c>
      <c r="W31" s="774">
        <f t="shared" si="14"/>
        <v>100</v>
      </c>
      <c r="X31" s="1815"/>
      <c r="Y31" s="3242"/>
      <c r="Z31" s="1816">
        <f t="shared" si="18"/>
        <v>111</v>
      </c>
      <c r="AA31" s="1813">
        <f t="shared" si="15"/>
        <v>1</v>
      </c>
      <c r="AB31" s="1813">
        <f t="shared" si="16"/>
        <v>1</v>
      </c>
      <c r="AC31" s="1813">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243" t="s">
        <v>2563</v>
      </c>
      <c r="Q32" s="1812" t="str">
        <f t="shared" si="11"/>
        <v>建筑类型</v>
      </c>
      <c r="R32" s="773" t="s">
        <v>21</v>
      </c>
      <c r="S32" s="774">
        <f t="shared" si="12"/>
        <v>100</v>
      </c>
      <c r="T32" s="773" t="s">
        <v>21</v>
      </c>
      <c r="U32" s="774">
        <f t="shared" si="13"/>
        <v>100</v>
      </c>
      <c r="V32" s="773" t="s">
        <v>21</v>
      </c>
      <c r="W32" s="774">
        <f t="shared" si="14"/>
        <v>100</v>
      </c>
      <c r="X32" s="1815"/>
      <c r="Y32" s="3246" t="s">
        <v>2563</v>
      </c>
      <c r="Z32" s="1816" t="str">
        <f t="shared" si="18"/>
        <v>建筑类型</v>
      </c>
      <c r="AA32" s="1813">
        <f t="shared" si="15"/>
        <v>1</v>
      </c>
      <c r="AB32" s="1813">
        <f t="shared" si="16"/>
        <v>1</v>
      </c>
      <c r="AC32" s="1813">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244"/>
      <c r="Q33" s="775" t="str">
        <f t="shared" si="11"/>
        <v>项目建筑规模</v>
      </c>
      <c r="R33" s="776" t="s">
        <v>21</v>
      </c>
      <c r="S33" s="777" t="e">
        <f t="shared" si="12"/>
        <v>#N/A</v>
      </c>
      <c r="T33" s="776" t="s">
        <v>21</v>
      </c>
      <c r="U33" s="777" t="e">
        <f t="shared" si="13"/>
        <v>#N/A</v>
      </c>
      <c r="V33" s="776" t="s">
        <v>21</v>
      </c>
      <c r="W33" s="777" t="e">
        <f t="shared" si="14"/>
        <v>#N/A</v>
      </c>
      <c r="X33" s="778"/>
      <c r="Y33" s="3246"/>
      <c r="Z33" s="779" t="str">
        <f t="shared" si="18"/>
        <v>项目建筑规模</v>
      </c>
      <c r="AA33" s="1813" t="e">
        <f t="shared" si="15"/>
        <v>#N/A</v>
      </c>
      <c r="AB33" s="1813" t="e">
        <f t="shared" si="16"/>
        <v>#N/A</v>
      </c>
      <c r="AC33" s="1813"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244"/>
      <c r="Q34" s="1812" t="str">
        <f t="shared" si="11"/>
        <v>建筑结构</v>
      </c>
      <c r="R34" s="773" t="s">
        <v>21</v>
      </c>
      <c r="S34" s="774">
        <f t="shared" si="12"/>
        <v>100</v>
      </c>
      <c r="T34" s="773" t="s">
        <v>21</v>
      </c>
      <c r="U34" s="774">
        <f t="shared" si="13"/>
        <v>100</v>
      </c>
      <c r="V34" s="773" t="s">
        <v>21</v>
      </c>
      <c r="W34" s="774">
        <f t="shared" si="14"/>
        <v>100</v>
      </c>
      <c r="X34" s="1815"/>
      <c r="Y34" s="3246"/>
      <c r="Z34" s="1816" t="str">
        <f t="shared" si="18"/>
        <v>建筑结构</v>
      </c>
      <c r="AA34" s="1813">
        <f t="shared" si="15"/>
        <v>1</v>
      </c>
      <c r="AB34" s="1813">
        <f t="shared" si="16"/>
        <v>1</v>
      </c>
      <c r="AC34" s="1813">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244"/>
      <c r="Q35" s="1812" t="str">
        <f t="shared" si="11"/>
        <v>建筑品质</v>
      </c>
      <c r="R35" s="773" t="s">
        <v>21</v>
      </c>
      <c r="S35" s="774">
        <f t="shared" si="12"/>
        <v>100</v>
      </c>
      <c r="T35" s="773" t="s">
        <v>21</v>
      </c>
      <c r="U35" s="774">
        <f t="shared" si="13"/>
        <v>100</v>
      </c>
      <c r="V35" s="773" t="s">
        <v>21</v>
      </c>
      <c r="W35" s="774">
        <f t="shared" si="14"/>
        <v>100</v>
      </c>
      <c r="X35" s="1815"/>
      <c r="Y35" s="3246"/>
      <c r="Z35" s="1816" t="str">
        <f t="shared" si="18"/>
        <v>建筑品质</v>
      </c>
      <c r="AA35" s="1813">
        <f t="shared" si="15"/>
        <v>1</v>
      </c>
      <c r="AB35" s="1813">
        <f t="shared" si="16"/>
        <v>1</v>
      </c>
      <c r="AC35" s="1813">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244"/>
      <c r="Q36" s="1812" t="str">
        <f t="shared" si="11"/>
        <v>公共部分装修</v>
      </c>
      <c r="R36" s="773" t="s">
        <v>21</v>
      </c>
      <c r="S36" s="774">
        <f t="shared" si="12"/>
        <v>100</v>
      </c>
      <c r="T36" s="773" t="s">
        <v>21</v>
      </c>
      <c r="U36" s="774">
        <f t="shared" si="13"/>
        <v>100</v>
      </c>
      <c r="V36" s="773" t="s">
        <v>21</v>
      </c>
      <c r="W36" s="774">
        <f t="shared" si="14"/>
        <v>100</v>
      </c>
      <c r="X36" s="1815"/>
      <c r="Y36" s="3246"/>
      <c r="Z36" s="1816" t="str">
        <f t="shared" si="18"/>
        <v>公共部分装修</v>
      </c>
      <c r="AA36" s="1813">
        <f t="shared" si="15"/>
        <v>1</v>
      </c>
      <c r="AB36" s="1813">
        <f t="shared" si="16"/>
        <v>1</v>
      </c>
      <c r="AC36" s="1813">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44"/>
      <c r="Q37" s="1797" t="str">
        <f t="shared" si="11"/>
        <v>成新度</v>
      </c>
      <c r="R37" s="769" t="s">
        <v>21</v>
      </c>
      <c r="S37" s="770" t="e">
        <f t="shared" si="12"/>
        <v>#N/A</v>
      </c>
      <c r="T37" s="769" t="s">
        <v>21</v>
      </c>
      <c r="U37" s="770" t="e">
        <f t="shared" si="13"/>
        <v>#N/A</v>
      </c>
      <c r="V37" s="769" t="s">
        <v>21</v>
      </c>
      <c r="W37" s="770" t="e">
        <f t="shared" si="14"/>
        <v>#N/A</v>
      </c>
      <c r="X37" s="771"/>
      <c r="Y37" s="3246"/>
      <c r="Z37" s="55" t="str">
        <f t="shared" si="18"/>
        <v>成新度</v>
      </c>
      <c r="AA37" s="772" t="e">
        <f t="shared" si="15"/>
        <v>#N/A</v>
      </c>
      <c r="AB37" s="772" t="e">
        <f t="shared" si="16"/>
        <v>#N/A</v>
      </c>
      <c r="AC37" s="772"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244" t="s">
        <v>2563</v>
      </c>
      <c r="Q38" s="1812" t="str">
        <f t="shared" si="11"/>
        <v>物业管理</v>
      </c>
      <c r="R38" s="773" t="s">
        <v>21</v>
      </c>
      <c r="S38" s="774">
        <f t="shared" si="12"/>
        <v>100</v>
      </c>
      <c r="T38" s="773" t="s">
        <v>21</v>
      </c>
      <c r="U38" s="774">
        <f t="shared" si="13"/>
        <v>100</v>
      </c>
      <c r="V38" s="773" t="s">
        <v>21</v>
      </c>
      <c r="W38" s="774">
        <f t="shared" si="14"/>
        <v>100</v>
      </c>
      <c r="X38" s="1815"/>
      <c r="Y38" s="3246" t="s">
        <v>2563</v>
      </c>
      <c r="Z38" s="1816" t="str">
        <f t="shared" si="18"/>
        <v>物业管理</v>
      </c>
      <c r="AA38" s="1813">
        <f t="shared" si="15"/>
        <v>1</v>
      </c>
      <c r="AB38" s="1813">
        <f t="shared" si="16"/>
        <v>1</v>
      </c>
      <c r="AC38" s="1813">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244"/>
      <c r="Q39" s="1812" t="str">
        <f t="shared" si="11"/>
        <v>市政基础设施</v>
      </c>
      <c r="R39" s="773" t="s">
        <v>21</v>
      </c>
      <c r="S39" s="774">
        <f t="shared" si="12"/>
        <v>100</v>
      </c>
      <c r="T39" s="773" t="s">
        <v>21</v>
      </c>
      <c r="U39" s="774">
        <f t="shared" si="13"/>
        <v>100</v>
      </c>
      <c r="V39" s="773" t="s">
        <v>21</v>
      </c>
      <c r="W39" s="774">
        <f t="shared" si="14"/>
        <v>100</v>
      </c>
      <c r="X39" s="1815"/>
      <c r="Y39" s="3246"/>
      <c r="Z39" s="1816" t="str">
        <f t="shared" si="18"/>
        <v>市政基础设施</v>
      </c>
      <c r="AA39" s="1813">
        <f t="shared" si="15"/>
        <v>1</v>
      </c>
      <c r="AB39" s="1813">
        <f t="shared" si="16"/>
        <v>1</v>
      </c>
      <c r="AC39" s="1813">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244"/>
      <c r="Q40" s="1812" t="str">
        <f t="shared" si="11"/>
        <v>房型</v>
      </c>
      <c r="R40" s="773" t="s">
        <v>21</v>
      </c>
      <c r="S40" s="774">
        <f t="shared" si="12"/>
        <v>100</v>
      </c>
      <c r="T40" s="773" t="s">
        <v>21</v>
      </c>
      <c r="U40" s="774">
        <f t="shared" si="13"/>
        <v>100</v>
      </c>
      <c r="V40" s="773" t="s">
        <v>21</v>
      </c>
      <c r="W40" s="774">
        <f t="shared" si="14"/>
        <v>100</v>
      </c>
      <c r="X40" s="1815"/>
      <c r="Y40" s="3246"/>
      <c r="Z40" s="1816" t="str">
        <f t="shared" si="18"/>
        <v>房型</v>
      </c>
      <c r="AA40" s="1813">
        <f t="shared" si="15"/>
        <v>1</v>
      </c>
      <c r="AB40" s="1813">
        <f t="shared" si="16"/>
        <v>1</v>
      </c>
      <c r="AC40" s="1813">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244"/>
      <c r="Q41" s="775" t="str">
        <f t="shared" si="11"/>
        <v>单套/主力户型建筑面积</v>
      </c>
      <c r="R41" s="776" t="s">
        <v>21</v>
      </c>
      <c r="S41" s="777">
        <f t="shared" si="12"/>
        <v>100</v>
      </c>
      <c r="T41" s="776" t="s">
        <v>21</v>
      </c>
      <c r="U41" s="777">
        <f t="shared" si="13"/>
        <v>100</v>
      </c>
      <c r="V41" s="776" t="s">
        <v>21</v>
      </c>
      <c r="W41" s="777">
        <f t="shared" si="14"/>
        <v>100</v>
      </c>
      <c r="X41" s="778"/>
      <c r="Y41" s="3246"/>
      <c r="Z41" s="779" t="str">
        <f t="shared" si="18"/>
        <v>单套/主力户型建筑面积</v>
      </c>
      <c r="AA41" s="1813">
        <f t="shared" si="15"/>
        <v>1</v>
      </c>
      <c r="AB41" s="1813">
        <f t="shared" si="16"/>
        <v>1</v>
      </c>
      <c r="AC41" s="1813">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244"/>
      <c r="Q42" s="1812" t="str">
        <f t="shared" si="11"/>
        <v>内部装修</v>
      </c>
      <c r="R42" s="773" t="s">
        <v>21</v>
      </c>
      <c r="S42" s="774">
        <f t="shared" si="12"/>
        <v>100</v>
      </c>
      <c r="T42" s="773" t="s">
        <v>21</v>
      </c>
      <c r="U42" s="774">
        <f t="shared" si="13"/>
        <v>100</v>
      </c>
      <c r="V42" s="773" t="s">
        <v>21</v>
      </c>
      <c r="W42" s="774">
        <f t="shared" si="14"/>
        <v>100</v>
      </c>
      <c r="X42" s="1815"/>
      <c r="Y42" s="3246"/>
      <c r="Z42" s="1816" t="str">
        <f t="shared" si="18"/>
        <v>内部装修</v>
      </c>
      <c r="AA42" s="1813">
        <f t="shared" si="15"/>
        <v>1</v>
      </c>
      <c r="AB42" s="1813">
        <f t="shared" si="16"/>
        <v>1</v>
      </c>
      <c r="AC42" s="1813">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244"/>
      <c r="Q43" s="1812" t="str">
        <f t="shared" si="11"/>
        <v>内部装修维护情况</v>
      </c>
      <c r="R43" s="773" t="s">
        <v>21</v>
      </c>
      <c r="S43" s="774">
        <f t="shared" si="12"/>
        <v>100</v>
      </c>
      <c r="T43" s="773" t="s">
        <v>21</v>
      </c>
      <c r="U43" s="774">
        <f t="shared" si="13"/>
        <v>100</v>
      </c>
      <c r="V43" s="773" t="s">
        <v>21</v>
      </c>
      <c r="W43" s="774">
        <f t="shared" si="14"/>
        <v>100</v>
      </c>
      <c r="X43" s="1815"/>
      <c r="Y43" s="3246"/>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244"/>
      <c r="Q44" s="1797">
        <f t="shared" si="11"/>
        <v>111</v>
      </c>
      <c r="R44" s="769" t="s">
        <v>21</v>
      </c>
      <c r="S44" s="770">
        <f t="shared" si="12"/>
        <v>100</v>
      </c>
      <c r="T44" s="769" t="s">
        <v>21</v>
      </c>
      <c r="U44" s="770">
        <f t="shared" si="13"/>
        <v>100</v>
      </c>
      <c r="V44" s="769" t="s">
        <v>21</v>
      </c>
      <c r="W44" s="770">
        <f t="shared" si="14"/>
        <v>100</v>
      </c>
      <c r="X44" s="771"/>
      <c r="Y44" s="3246"/>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244"/>
      <c r="Q45" s="1812">
        <f t="shared" si="11"/>
        <v>111</v>
      </c>
      <c r="R45" s="773" t="s">
        <v>21</v>
      </c>
      <c r="S45" s="774">
        <f t="shared" si="12"/>
        <v>100</v>
      </c>
      <c r="T45" s="773" t="s">
        <v>21</v>
      </c>
      <c r="U45" s="774">
        <f t="shared" si="13"/>
        <v>100</v>
      </c>
      <c r="V45" s="773" t="s">
        <v>21</v>
      </c>
      <c r="W45" s="774">
        <f t="shared" si="14"/>
        <v>100</v>
      </c>
      <c r="X45" s="1815"/>
      <c r="Y45" s="3246"/>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245"/>
      <c r="Q46" s="1812">
        <f t="shared" si="11"/>
        <v>111</v>
      </c>
      <c r="R46" s="773" t="s">
        <v>20</v>
      </c>
      <c r="S46" s="774">
        <f t="shared" si="12"/>
        <v>100</v>
      </c>
      <c r="T46" s="773" t="s">
        <v>20</v>
      </c>
      <c r="U46" s="774">
        <f t="shared" si="13"/>
        <v>100</v>
      </c>
      <c r="V46" s="773" t="s">
        <v>20</v>
      </c>
      <c r="W46" s="774">
        <f t="shared" si="14"/>
        <v>100</v>
      </c>
      <c r="X46" s="1815"/>
      <c r="Y46" s="3247"/>
      <c r="Z46" s="1816">
        <f t="shared" si="18"/>
        <v>111</v>
      </c>
      <c r="AA46" s="1813">
        <f t="shared" si="15"/>
        <v>1</v>
      </c>
      <c r="AB46" s="1813">
        <f t="shared" si="16"/>
        <v>1</v>
      </c>
      <c r="AC46" s="1813">
        <f t="shared" si="17"/>
        <v>1</v>
      </c>
    </row>
    <row r="47" spans="1:29" ht="15">
      <c r="A47" s="479" t="s">
        <v>2575</v>
      </c>
      <c r="B47" s="480"/>
      <c r="C47" s="1409" t="s">
        <v>19</v>
      </c>
      <c r="D47" s="1410"/>
      <c r="E47" s="1411"/>
      <c r="F47" s="1412"/>
      <c r="G47" s="1413"/>
      <c r="H47" s="1414"/>
      <c r="I47" s="1411"/>
      <c r="J47" s="1414"/>
      <c r="K47" s="2621"/>
      <c r="L47" s="1145"/>
      <c r="M47" s="1146"/>
      <c r="N47" s="1133"/>
      <c r="O47" s="1146"/>
      <c r="P47" s="3234" t="str">
        <f>A47</f>
        <v>成交单价（元/平方米）</v>
      </c>
      <c r="Q47" s="3234"/>
      <c r="R47" s="3235">
        <f>E47</f>
        <v>0</v>
      </c>
      <c r="S47" s="3235"/>
      <c r="T47" s="3235">
        <f>G47</f>
        <v>0</v>
      </c>
      <c r="U47" s="3235"/>
      <c r="V47" s="3235">
        <f>I47</f>
        <v>0</v>
      </c>
      <c r="W47" s="3235"/>
      <c r="X47" s="758"/>
      <c r="Y47" s="780"/>
      <c r="Z47" s="758"/>
      <c r="AA47" s="758"/>
      <c r="AB47" s="758"/>
      <c r="AC47" s="758"/>
    </row>
    <row r="48" spans="1:29" ht="15.75" thickBot="1">
      <c r="A48" s="486" t="s">
        <v>2576</v>
      </c>
      <c r="B48" s="487"/>
      <c r="C48" s="1415" t="e">
        <f>R49</f>
        <v>#DIV/0!</v>
      </c>
      <c r="D48" s="1416"/>
      <c r="E48" s="1417" t="e">
        <f>R48</f>
        <v>#DIV/0!</v>
      </c>
      <c r="F48" s="1417"/>
      <c r="G48" s="1415" t="e">
        <f>T48</f>
        <v>#DIV/0!</v>
      </c>
      <c r="H48" s="1416"/>
      <c r="I48" s="1417" t="e">
        <f>V48</f>
        <v>#DIV/0!</v>
      </c>
      <c r="J48" s="1416"/>
      <c r="K48" s="2622"/>
      <c r="L48" s="1145"/>
      <c r="M48" s="1146"/>
      <c r="N48" s="1146"/>
      <c r="O48" s="1146"/>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8"/>
      <c r="Y48" s="758"/>
      <c r="Z48" s="758"/>
      <c r="AA48" s="758"/>
      <c r="AB48" s="758"/>
      <c r="AC48" s="758"/>
    </row>
    <row r="49" spans="1:29" ht="15.75" thickBot="1">
      <c r="A49" s="492" t="s">
        <v>2577</v>
      </c>
      <c r="B49" s="493"/>
      <c r="C49" s="1418" t="e">
        <f>R49</f>
        <v>#DIV/0!</v>
      </c>
      <c r="D49" s="1419"/>
      <c r="E49" s="1419"/>
      <c r="F49" s="1419"/>
      <c r="G49" s="1419"/>
      <c r="H49" s="1419"/>
      <c r="I49" s="1419"/>
      <c r="J49" s="1419"/>
      <c r="K49" s="2623"/>
      <c r="L49" s="1145"/>
      <c r="M49" s="1146"/>
      <c r="N49" s="1146"/>
      <c r="O49" s="1146"/>
      <c r="P49" s="3236" t="str">
        <f>A49</f>
        <v>估价对象XX用房的比较价值（楼面单价，元/平方米）</v>
      </c>
      <c r="Q49" s="3237"/>
      <c r="R49" s="3238" t="e">
        <f>IF(F1="售价",ROUND(AVERAGE(R48:V48),0),ROUND(AVERAGE(R48:V48),1))</f>
        <v>#DIV/0!</v>
      </c>
      <c r="S49" s="3238"/>
      <c r="T49" s="3238"/>
      <c r="U49" s="3238"/>
      <c r="V49" s="3238"/>
      <c r="W49" s="323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2581</v>
      </c>
      <c r="B57" s="758"/>
      <c r="C57" s="763"/>
      <c r="D57" s="763"/>
      <c r="E57" s="763"/>
      <c r="F57" s="764"/>
      <c r="G57" s="764"/>
      <c r="H57" s="763"/>
      <c r="I57" s="763"/>
      <c r="J57" s="763"/>
      <c r="K57" s="1162"/>
      <c r="L57" s="1163"/>
      <c r="M57" s="1161"/>
      <c r="N57" s="1161"/>
      <c r="O57" s="1161"/>
      <c r="P57" s="2626"/>
      <c r="Q57" s="504"/>
    </row>
    <row r="58" spans="1:29" s="508" customFormat="1" ht="15">
      <c r="A58" s="505" t="s">
        <v>2582</v>
      </c>
      <c r="B58" s="506"/>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2586</v>
      </c>
      <c r="B63" s="528" t="s">
        <v>2552</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4"/>
      <c r="N82" s="1155"/>
      <c r="O82" s="1155"/>
      <c r="P82" s="2630"/>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5"/>
      <c r="O83" s="1155"/>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2608</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2609</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2561</v>
      </c>
      <c r="B100" s="528" t="s">
        <v>2610</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2612</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2613</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2614</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2615</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2616</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2617</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2572</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2618</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6">
        <v>6</v>
      </c>
      <c r="C139" s="1087">
        <v>96</v>
      </c>
      <c r="D139" s="2648" t="s">
        <v>2629</v>
      </c>
      <c r="E139" s="1088">
        <v>100</v>
      </c>
      <c r="F139" s="1089">
        <v>102.5</v>
      </c>
      <c r="G139" s="2648" t="s">
        <v>2629</v>
      </c>
      <c r="H139" s="1090">
        <v>105</v>
      </c>
      <c r="I139" s="2649" t="s">
        <v>2630</v>
      </c>
      <c r="J139" s="1087">
        <v>20</v>
      </c>
      <c r="K139" s="1091">
        <f>C145/(J139-2)</f>
        <v>4.0555555555555553E-3</v>
      </c>
    </row>
    <row r="140" spans="1:17" ht="15">
      <c r="B140" s="1092">
        <v>5</v>
      </c>
      <c r="C140" s="1093">
        <v>100</v>
      </c>
      <c r="D140" s="1093"/>
      <c r="E140" s="1094"/>
      <c r="F140" s="1095">
        <v>102</v>
      </c>
      <c r="G140" s="1093"/>
      <c r="H140" s="1096"/>
      <c r="I140" s="2650" t="s">
        <v>2631</v>
      </c>
      <c r="J140" s="315">
        <f>ROUNDUP((J139-1)/2,0)</f>
        <v>10</v>
      </c>
      <c r="K140" s="1097">
        <v>100</v>
      </c>
    </row>
    <row r="141" spans="1:17" ht="15">
      <c r="B141" s="1092">
        <v>4</v>
      </c>
      <c r="C141" s="1093">
        <v>102</v>
      </c>
      <c r="D141" s="1093"/>
      <c r="E141" s="1094"/>
      <c r="F141" s="1095">
        <v>101.5</v>
      </c>
      <c r="G141" s="1093"/>
      <c r="H141" s="1096"/>
      <c r="I141" s="2650" t="s">
        <v>2632</v>
      </c>
      <c r="J141" s="315">
        <v>1</v>
      </c>
      <c r="K141" s="1098">
        <f>ROUND(100+(J141-J140)*K139*100,1)</f>
        <v>96.4</v>
      </c>
    </row>
    <row r="142" spans="1:17" ht="15">
      <c r="B142" s="1092">
        <v>3</v>
      </c>
      <c r="C142" s="1093">
        <v>103</v>
      </c>
      <c r="D142" s="1093"/>
      <c r="E142" s="1094"/>
      <c r="F142" s="1095">
        <v>101</v>
      </c>
      <c r="G142" s="1093"/>
      <c r="H142" s="1096"/>
      <c r="I142" s="2650" t="s">
        <v>2633</v>
      </c>
      <c r="J142" s="315">
        <f>J139</f>
        <v>20</v>
      </c>
      <c r="K142" s="1099">
        <v>95</v>
      </c>
    </row>
    <row r="143" spans="1:17" ht="15">
      <c r="B143" s="1092">
        <v>2</v>
      </c>
      <c r="C143" s="1093">
        <v>100</v>
      </c>
      <c r="D143" s="1093"/>
      <c r="E143" s="1094"/>
      <c r="F143" s="1095">
        <v>100.5</v>
      </c>
      <c r="G143" s="1093"/>
      <c r="H143" s="1096"/>
      <c r="I143" s="2650" t="s">
        <v>2634</v>
      </c>
      <c r="J143" s="1093">
        <v>15</v>
      </c>
      <c r="K143" s="1098">
        <f>ROUND(100+(J143-J140)*K139*100,1)</f>
        <v>102</v>
      </c>
    </row>
    <row r="144" spans="1:17" ht="15">
      <c r="B144" s="1092">
        <v>1</v>
      </c>
      <c r="C144" s="1093">
        <v>98</v>
      </c>
      <c r="D144" s="2651" t="s">
        <v>2635</v>
      </c>
      <c r="E144" s="1094">
        <v>102</v>
      </c>
      <c r="F144" s="1100">
        <v>100</v>
      </c>
      <c r="G144" s="2651" t="s">
        <v>2635</v>
      </c>
      <c r="H144" s="1096">
        <v>105</v>
      </c>
      <c r="I144" s="2650" t="s">
        <v>2634</v>
      </c>
      <c r="J144" s="1093">
        <v>18</v>
      </c>
      <c r="K144" s="1098">
        <f>ROUND(100+(J144-J140)*K139*100,1)</f>
        <v>103.2</v>
      </c>
    </row>
    <row r="145" spans="2:11" ht="15.75" thickBot="1">
      <c r="B145" s="2652" t="s">
        <v>2636</v>
      </c>
      <c r="C145" s="1101">
        <f>ROUND(MAX(C139:C144)/MIN(C139:C144)-1,3)</f>
        <v>7.2999999999999995E-2</v>
      </c>
      <c r="D145" s="1102"/>
      <c r="E145" s="1102"/>
      <c r="F145" s="2653" t="s">
        <v>2637</v>
      </c>
      <c r="G145" s="2654"/>
      <c r="H145" s="2655"/>
      <c r="I145" s="2656" t="s">
        <v>2634</v>
      </c>
      <c r="J145" s="1103">
        <v>8</v>
      </c>
      <c r="K145" s="1104">
        <f>ROUND(100+(J145-J140)*K139*100,1)</f>
        <v>99.2</v>
      </c>
    </row>
    <row r="147" spans="2:11">
      <c r="B147" s="2637" t="s">
        <v>2638</v>
      </c>
    </row>
    <row r="148" spans="2:11">
      <c r="B148" s="2637"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2684</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IF(C2="——",ROUND(C50*D3/10000,0),ROUND(C50*D3/10000,0)-D2)</f>
        <v>#DIV/0!</v>
      </c>
      <c r="C2" s="2586"/>
      <c r="D2" s="1367"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IF(C2="——",C50,ROUND(B2*10000/D3,0))</f>
        <v>#DIV/0!</v>
      </c>
      <c r="C3" s="400" t="s">
        <v>2642</v>
      </c>
      <c r="D3" s="399">
        <f>IF(D1="",'数据-汇总表'!E3,SUMIF('数据-汇总表'!$C19:$C33,D1,'数据-汇总表'!$E19:$E33))</f>
        <v>4833.9999999999973</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312" t="s">
        <v>2649</v>
      </c>
      <c r="Q4" s="3313"/>
      <c r="R4" s="3316" t="s">
        <v>2645</v>
      </c>
      <c r="S4" s="3317"/>
      <c r="T4" s="3316" t="s">
        <v>2646</v>
      </c>
      <c r="U4" s="3317"/>
      <c r="V4" s="3318" t="s">
        <v>2647</v>
      </c>
      <c r="W4" s="3318"/>
      <c r="X4" s="2670"/>
      <c r="Y4" s="3316" t="s">
        <v>2649</v>
      </c>
      <c r="Z4" s="3317"/>
      <c r="AA4" s="3320" t="s">
        <v>2645</v>
      </c>
      <c r="AB4" s="3320" t="s">
        <v>2646</v>
      </c>
      <c r="AC4" s="3309" t="s">
        <v>2647</v>
      </c>
    </row>
    <row r="5" spans="1:29" ht="15">
      <c r="A5" s="404"/>
      <c r="B5" s="405"/>
      <c r="C5" s="3303" t="s">
        <v>2540</v>
      </c>
      <c r="D5" s="3272"/>
      <c r="E5" s="3305" t="s">
        <v>2541</v>
      </c>
      <c r="F5" s="3280"/>
      <c r="G5" s="3303" t="s">
        <v>2542</v>
      </c>
      <c r="H5" s="3272"/>
      <c r="I5" s="3303" t="s">
        <v>2543</v>
      </c>
      <c r="J5" s="3272"/>
      <c r="K5" s="610"/>
      <c r="L5" s="1132"/>
      <c r="M5" s="1133"/>
      <c r="N5" s="1133"/>
      <c r="O5" s="1133"/>
      <c r="P5" s="3314"/>
      <c r="Q5" s="3260"/>
      <c r="R5" s="3265"/>
      <c r="S5" s="3266"/>
      <c r="T5" s="3265"/>
      <c r="U5" s="3266"/>
      <c r="V5" s="3248"/>
      <c r="W5" s="3248"/>
      <c r="X5" s="1815"/>
      <c r="Y5" s="3265"/>
      <c r="Z5" s="3266"/>
      <c r="AA5" s="3251"/>
      <c r="AB5" s="3251"/>
      <c r="AC5" s="3310"/>
    </row>
    <row r="6" spans="1:29" ht="15.75" thickBot="1">
      <c r="A6" s="406"/>
      <c r="B6" s="407"/>
      <c r="C6" s="3276" t="s">
        <v>2544</v>
      </c>
      <c r="D6" s="3270"/>
      <c r="E6" s="3304" t="s">
        <v>2544</v>
      </c>
      <c r="F6" s="3278"/>
      <c r="G6" s="3276" t="s">
        <v>2544</v>
      </c>
      <c r="H6" s="3270"/>
      <c r="I6" s="3276" t="s">
        <v>2544</v>
      </c>
      <c r="J6" s="3270"/>
      <c r="K6" s="610" t="s">
        <v>2545</v>
      </c>
      <c r="L6" s="1132"/>
      <c r="M6" s="1133"/>
      <c r="N6" s="1133"/>
      <c r="O6" s="1133"/>
      <c r="P6" s="3315"/>
      <c r="Q6" s="3262"/>
      <c r="R6" s="3265"/>
      <c r="S6" s="3266"/>
      <c r="T6" s="3267"/>
      <c r="U6" s="3268"/>
      <c r="V6" s="3248"/>
      <c r="W6" s="3248"/>
      <c r="X6" s="1815"/>
      <c r="Y6" s="3267"/>
      <c r="Z6" s="3268"/>
      <c r="AA6" s="3252"/>
      <c r="AB6" s="3252"/>
      <c r="AC6" s="3311"/>
    </row>
    <row r="7" spans="1:29" s="117" customFormat="1" ht="15.75" thickBot="1">
      <c r="A7" s="408" t="s">
        <v>2546</v>
      </c>
      <c r="B7" s="409"/>
      <c r="C7" s="410">
        <f>'数据-取费表'!B2</f>
        <v>43202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19" t="s">
        <v>2547</v>
      </c>
      <c r="Q7" s="3275"/>
      <c r="R7" s="769" t="s">
        <v>17</v>
      </c>
      <c r="S7" s="770">
        <f t="shared" ref="S7:S15" si="0">F7</f>
        <v>0</v>
      </c>
      <c r="T7" s="769" t="s">
        <v>17</v>
      </c>
      <c r="U7" s="770">
        <f t="shared" ref="U7:U15" si="1">H7</f>
        <v>0</v>
      </c>
      <c r="V7" s="769" t="s">
        <v>17</v>
      </c>
      <c r="W7" s="770">
        <f t="shared" ref="W7:W15" si="2">J7</f>
        <v>0</v>
      </c>
      <c r="X7" s="771"/>
      <c r="Y7" s="3273" t="s">
        <v>2547</v>
      </c>
      <c r="Z7" s="3274"/>
      <c r="AA7" s="772" t="e">
        <f>D7/F7</f>
        <v>#DIV/0!</v>
      </c>
      <c r="AB7" s="772"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19" t="s">
        <v>2550</v>
      </c>
      <c r="Q8" s="3274"/>
      <c r="R8" s="769" t="s">
        <v>17</v>
      </c>
      <c r="S8" s="770">
        <f t="shared" si="0"/>
        <v>0</v>
      </c>
      <c r="T8" s="769" t="s">
        <v>17</v>
      </c>
      <c r="U8" s="770">
        <f t="shared" si="1"/>
        <v>0</v>
      </c>
      <c r="V8" s="769" t="s">
        <v>17</v>
      </c>
      <c r="W8" s="770">
        <f t="shared" si="2"/>
        <v>0</v>
      </c>
      <c r="X8" s="771"/>
      <c r="Y8" s="3273" t="s">
        <v>2550</v>
      </c>
      <c r="Z8" s="3274"/>
      <c r="AA8" s="772" t="e">
        <f t="shared" ref="AA8:AA47" si="3">D8/F8</f>
        <v>#DIV/0!</v>
      </c>
      <c r="AB8" s="772"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49"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49"/>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49"/>
      <c r="Q11" s="1797"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249"/>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249"/>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2671">
        <f t="shared" si="5"/>
        <v>1</v>
      </c>
    </row>
    <row r="14" spans="1:29" ht="15.75" thickBot="1">
      <c r="A14" s="436"/>
      <c r="B14" s="2602">
        <v>111</v>
      </c>
      <c r="C14" s="437"/>
      <c r="D14" s="438">
        <v>100</v>
      </c>
      <c r="E14" s="627"/>
      <c r="F14" s="438">
        <f>SUMIF(75:75,E14,76:76)-SUMIF(75:75,C14,76:76)+100</f>
        <v>100</v>
      </c>
      <c r="G14" s="2672"/>
      <c r="H14" s="438">
        <f>SUMIF(75:75,G14,76:76)-SUMIF(75:75,C14,76:76)+100</f>
        <v>100</v>
      </c>
      <c r="I14" s="432"/>
      <c r="J14" s="438">
        <f>SUMIF(75:75,I14,76:76)-SUMIF(75:75,C14,76:76)+100</f>
        <v>100</v>
      </c>
      <c r="K14" s="613"/>
      <c r="L14" s="1142"/>
      <c r="M14" s="1133"/>
      <c r="N14" s="1133"/>
      <c r="O14" s="1133"/>
      <c r="P14" s="3249"/>
      <c r="Q14" s="1797">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2671">
        <f t="shared" si="5"/>
        <v>1</v>
      </c>
    </row>
    <row r="15" spans="1:29" ht="71.25">
      <c r="A15" s="440" t="s">
        <v>2557</v>
      </c>
      <c r="B15" s="628"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9" t="s">
        <v>2558</v>
      </c>
      <c r="Q15" s="1812" t="str">
        <f t="shared" si="6"/>
        <v>办公集聚程度</v>
      </c>
      <c r="R15" s="773" t="s">
        <v>17</v>
      </c>
      <c r="S15" s="774">
        <f t="shared" si="0"/>
        <v>100</v>
      </c>
      <c r="T15" s="773" t="s">
        <v>17</v>
      </c>
      <c r="U15" s="774">
        <f t="shared" si="1"/>
        <v>100</v>
      </c>
      <c r="V15" s="773" t="s">
        <v>17</v>
      </c>
      <c r="W15" s="774">
        <f t="shared" si="2"/>
        <v>100</v>
      </c>
      <c r="X15" s="1815"/>
      <c r="Y15" s="3241" t="s">
        <v>2558</v>
      </c>
      <c r="Z15" s="1816" t="str">
        <f t="shared" si="7"/>
        <v>办公集聚程度</v>
      </c>
      <c r="AA15" s="1813">
        <f t="shared" si="3"/>
        <v>1</v>
      </c>
      <c r="AB15" s="1813">
        <f t="shared" si="4"/>
        <v>1</v>
      </c>
      <c r="AC15" s="2674">
        <f t="shared" si="5"/>
        <v>1</v>
      </c>
    </row>
    <row r="16" spans="1:29" ht="15">
      <c r="A16" s="428"/>
      <c r="B16" s="629"/>
      <c r="C16" s="2611"/>
      <c r="D16" s="448"/>
      <c r="E16" s="447"/>
      <c r="F16" s="448"/>
      <c r="G16" s="2611"/>
      <c r="H16" s="450"/>
      <c r="I16" s="447"/>
      <c r="J16" s="448"/>
      <c r="K16" s="615"/>
      <c r="L16" s="1142"/>
      <c r="M16" s="1133"/>
      <c r="N16" s="1133"/>
      <c r="O16" s="1133"/>
      <c r="P16" s="3240"/>
      <c r="Q16" s="1812"/>
      <c r="R16" s="773"/>
      <c r="S16" s="774"/>
      <c r="T16" s="773"/>
      <c r="U16" s="774"/>
      <c r="V16" s="773"/>
      <c r="W16" s="774"/>
      <c r="X16" s="1815"/>
      <c r="Y16" s="3242"/>
      <c r="Z16" s="1816"/>
      <c r="AA16" s="1813">
        <v>1</v>
      </c>
      <c r="AB16" s="1813">
        <v>1</v>
      </c>
      <c r="AC16" s="2674">
        <v>1</v>
      </c>
    </row>
    <row r="17" spans="1:29" ht="71.25">
      <c r="A17" s="428"/>
      <c r="B17" s="630"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40"/>
      <c r="Q17" s="1812" t="str">
        <f>B17</f>
        <v>交通便捷度</v>
      </c>
      <c r="R17" s="773" t="s">
        <v>17</v>
      </c>
      <c r="S17" s="774">
        <f>F17</f>
        <v>100</v>
      </c>
      <c r="T17" s="773" t="s">
        <v>17</v>
      </c>
      <c r="U17" s="774">
        <f>H17</f>
        <v>100</v>
      </c>
      <c r="V17" s="773" t="s">
        <v>17</v>
      </c>
      <c r="W17" s="774">
        <f>J17</f>
        <v>100</v>
      </c>
      <c r="X17" s="1815"/>
      <c r="Y17" s="3242"/>
      <c r="Z17" s="1816" t="str">
        <f>Q17</f>
        <v>交通便捷度</v>
      </c>
      <c r="AA17" s="1813">
        <f t="shared" si="3"/>
        <v>1</v>
      </c>
      <c r="AB17" s="1813">
        <f t="shared" si="4"/>
        <v>1</v>
      </c>
      <c r="AC17" s="2674">
        <f t="shared" si="5"/>
        <v>1</v>
      </c>
    </row>
    <row r="18" spans="1:29" ht="15">
      <c r="A18" s="428"/>
      <c r="B18" s="631"/>
      <c r="C18" s="2676"/>
      <c r="D18" s="450"/>
      <c r="E18" s="2609"/>
      <c r="F18" s="450"/>
      <c r="G18" s="2610"/>
      <c r="H18" s="448"/>
      <c r="I18" s="2610"/>
      <c r="J18" s="448"/>
      <c r="K18" s="615"/>
      <c r="L18" s="1142"/>
      <c r="M18" s="1133"/>
      <c r="N18" s="1133"/>
      <c r="O18" s="1133"/>
      <c r="P18" s="3240"/>
      <c r="Q18" s="1812"/>
      <c r="R18" s="773"/>
      <c r="S18" s="774"/>
      <c r="T18" s="773"/>
      <c r="U18" s="774"/>
      <c r="V18" s="773"/>
      <c r="W18" s="774"/>
      <c r="X18" s="1815"/>
      <c r="Y18" s="3242"/>
      <c r="Z18" s="1816"/>
      <c r="AA18" s="1813">
        <v>1</v>
      </c>
      <c r="AB18" s="1813">
        <v>1</v>
      </c>
      <c r="AC18" s="2674">
        <v>1</v>
      </c>
    </row>
    <row r="19" spans="1:29" ht="42.75">
      <c r="A19" s="428"/>
      <c r="B19" s="630"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40"/>
      <c r="Q19" s="1812" t="str">
        <f>B19</f>
        <v>公共配套设施</v>
      </c>
      <c r="R19" s="773" t="s">
        <v>17</v>
      </c>
      <c r="S19" s="774">
        <f>F19</f>
        <v>100</v>
      </c>
      <c r="T19" s="773" t="s">
        <v>17</v>
      </c>
      <c r="U19" s="774">
        <f>H19</f>
        <v>100</v>
      </c>
      <c r="V19" s="773" t="s">
        <v>17</v>
      </c>
      <c r="W19" s="774">
        <f>J19</f>
        <v>100</v>
      </c>
      <c r="X19" s="1815"/>
      <c r="Y19" s="3242"/>
      <c r="Z19" s="1816" t="str">
        <f>Q19</f>
        <v>公共配套设施</v>
      </c>
      <c r="AA19" s="1813">
        <f t="shared" si="3"/>
        <v>1</v>
      </c>
      <c r="AB19" s="1813">
        <f t="shared" si="4"/>
        <v>1</v>
      </c>
      <c r="AC19" s="2674">
        <f t="shared" si="5"/>
        <v>1</v>
      </c>
    </row>
    <row r="20" spans="1:29" ht="15">
      <c r="A20" s="428"/>
      <c r="B20" s="631"/>
      <c r="C20" s="2611"/>
      <c r="D20" s="448"/>
      <c r="E20" s="2604"/>
      <c r="F20" s="448"/>
      <c r="G20" s="2605"/>
      <c r="H20" s="448"/>
      <c r="I20" s="2605"/>
      <c r="J20" s="448"/>
      <c r="K20" s="615"/>
      <c r="L20" s="1142"/>
      <c r="M20" s="1133"/>
      <c r="N20" s="1133"/>
      <c r="O20" s="1133"/>
      <c r="P20" s="3240"/>
      <c r="Q20" s="1812"/>
      <c r="R20" s="773"/>
      <c r="S20" s="774"/>
      <c r="T20" s="773"/>
      <c r="U20" s="774"/>
      <c r="V20" s="773"/>
      <c r="W20" s="774"/>
      <c r="X20" s="1815"/>
      <c r="Y20" s="3242"/>
      <c r="Z20" s="1816"/>
      <c r="AA20" s="1813">
        <v>1</v>
      </c>
      <c r="AB20" s="1813">
        <v>1</v>
      </c>
      <c r="AC20" s="2674">
        <v>1</v>
      </c>
    </row>
    <row r="21" spans="1:29" ht="28.5">
      <c r="A21" s="428"/>
      <c r="B21" s="632"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40"/>
      <c r="Q21" s="1812" t="str">
        <f>B21</f>
        <v>基础设施水平</v>
      </c>
      <c r="R21" s="773" t="s">
        <v>17</v>
      </c>
      <c r="S21" s="774">
        <f>F21</f>
        <v>100</v>
      </c>
      <c r="T21" s="773" t="s">
        <v>17</v>
      </c>
      <c r="U21" s="774">
        <f>H21</f>
        <v>100</v>
      </c>
      <c r="V21" s="773" t="s">
        <v>17</v>
      </c>
      <c r="W21" s="774">
        <f>J21</f>
        <v>100</v>
      </c>
      <c r="X21" s="1815"/>
      <c r="Y21" s="3242"/>
      <c r="Z21" s="1816" t="str">
        <f>Q21</f>
        <v>基础设施水平</v>
      </c>
      <c r="AA21" s="1813">
        <f t="shared" ref="AA21" si="8">D21/F21</f>
        <v>1</v>
      </c>
      <c r="AB21" s="1813">
        <f t="shared" ref="AB21" si="9">D21/H21</f>
        <v>1</v>
      </c>
      <c r="AC21" s="2674">
        <f t="shared" ref="AC21" si="10">D21/J21</f>
        <v>1</v>
      </c>
    </row>
    <row r="22" spans="1:29" ht="15">
      <c r="A22" s="428"/>
      <c r="B22" s="632"/>
      <c r="C22" s="2676"/>
      <c r="D22" s="448"/>
      <c r="E22" s="447"/>
      <c r="F22" s="448"/>
      <c r="G22" s="2611"/>
      <c r="H22" s="448"/>
      <c r="I22" s="2611"/>
      <c r="J22" s="448"/>
      <c r="K22" s="1385"/>
      <c r="L22" s="1142"/>
      <c r="M22" s="1133"/>
      <c r="N22" s="1133"/>
      <c r="O22" s="1133"/>
      <c r="P22" s="3240"/>
      <c r="Q22" s="1812"/>
      <c r="R22" s="773"/>
      <c r="S22" s="774"/>
      <c r="T22" s="773"/>
      <c r="U22" s="774"/>
      <c r="V22" s="773"/>
      <c r="W22" s="774"/>
      <c r="X22" s="1815"/>
      <c r="Y22" s="3242"/>
      <c r="Z22" s="1816"/>
      <c r="AA22" s="1813">
        <v>1</v>
      </c>
      <c r="AB22" s="1813">
        <v>1</v>
      </c>
      <c r="AC22" s="2674">
        <v>1</v>
      </c>
    </row>
    <row r="23" spans="1:29" ht="42.75">
      <c r="A23" s="428"/>
      <c r="B23" s="630"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40"/>
      <c r="Q23" s="1812" t="str">
        <f>B23</f>
        <v>环境质量</v>
      </c>
      <c r="R23" s="773" t="s">
        <v>17</v>
      </c>
      <c r="S23" s="774">
        <f>F23</f>
        <v>100</v>
      </c>
      <c r="T23" s="773" t="s">
        <v>17</v>
      </c>
      <c r="U23" s="774">
        <f>H23</f>
        <v>100</v>
      </c>
      <c r="V23" s="773" t="s">
        <v>17</v>
      </c>
      <c r="W23" s="774">
        <f>J23</f>
        <v>100</v>
      </c>
      <c r="X23" s="1815"/>
      <c r="Y23" s="3242"/>
      <c r="Z23" s="1816" t="str">
        <f>Q23</f>
        <v>环境质量</v>
      </c>
      <c r="AA23" s="1813">
        <f t="shared" si="3"/>
        <v>1</v>
      </c>
      <c r="AB23" s="1813">
        <f t="shared" si="4"/>
        <v>1</v>
      </c>
      <c r="AC23" s="2674">
        <f t="shared" si="5"/>
        <v>1</v>
      </c>
    </row>
    <row r="24" spans="1:29" ht="15">
      <c r="A24" s="428"/>
      <c r="B24" s="632"/>
      <c r="C24" s="2611"/>
      <c r="D24" s="448"/>
      <c r="E24" s="2604"/>
      <c r="F24" s="448"/>
      <c r="G24" s="2605"/>
      <c r="H24" s="448"/>
      <c r="I24" s="2605"/>
      <c r="J24" s="448"/>
      <c r="K24" s="615"/>
      <c r="L24" s="1142"/>
      <c r="M24" s="1133"/>
      <c r="N24" s="1133"/>
      <c r="O24" s="1133"/>
      <c r="P24" s="3240"/>
      <c r="Q24" s="1812"/>
      <c r="R24" s="773"/>
      <c r="S24" s="774"/>
      <c r="T24" s="773"/>
      <c r="U24" s="774"/>
      <c r="V24" s="773"/>
      <c r="W24" s="774"/>
      <c r="X24" s="1815"/>
      <c r="Y24" s="3242"/>
      <c r="Z24" s="1816"/>
      <c r="AA24" s="1813">
        <v>1</v>
      </c>
      <c r="AB24" s="1813">
        <v>1</v>
      </c>
      <c r="AC24" s="2674">
        <v>1</v>
      </c>
    </row>
    <row r="25" spans="1:29" ht="27">
      <c r="A25" s="404"/>
      <c r="B25" s="630"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240"/>
      <c r="Q25" s="1812" t="str">
        <f>B25</f>
        <v>毗邻道路的类型与等级</v>
      </c>
      <c r="R25" s="773" t="s">
        <v>17</v>
      </c>
      <c r="S25" s="774">
        <f>F25</f>
        <v>100</v>
      </c>
      <c r="T25" s="773" t="s">
        <v>17</v>
      </c>
      <c r="U25" s="774">
        <f>H25</f>
        <v>100</v>
      </c>
      <c r="V25" s="773" t="s">
        <v>17</v>
      </c>
      <c r="W25" s="774">
        <f>J25</f>
        <v>100</v>
      </c>
      <c r="X25" s="1815"/>
      <c r="Y25" s="3242"/>
      <c r="Z25" s="1816" t="str">
        <f>Q25</f>
        <v>毗邻道路的类型与等级</v>
      </c>
      <c r="AA25" s="1813">
        <f t="shared" si="3"/>
        <v>1</v>
      </c>
      <c r="AB25" s="1813">
        <f t="shared" si="4"/>
        <v>1</v>
      </c>
      <c r="AC25" s="2674">
        <f t="shared" si="5"/>
        <v>1</v>
      </c>
    </row>
    <row r="26" spans="1:29" ht="15">
      <c r="A26" s="404"/>
      <c r="B26" s="631"/>
      <c r="C26" s="633"/>
      <c r="D26" s="435"/>
      <c r="E26" s="616"/>
      <c r="F26" s="435"/>
      <c r="G26" s="633"/>
      <c r="H26" s="435"/>
      <c r="I26" s="616"/>
      <c r="J26" s="435"/>
      <c r="K26" s="615"/>
      <c r="L26" s="1142"/>
      <c r="M26" s="1133"/>
      <c r="N26" s="1133"/>
      <c r="O26" s="1133"/>
      <c r="P26" s="3240"/>
      <c r="Q26" s="1812"/>
      <c r="R26" s="773"/>
      <c r="S26" s="774"/>
      <c r="T26" s="773"/>
      <c r="U26" s="774"/>
      <c r="V26" s="773"/>
      <c r="W26" s="774"/>
      <c r="X26" s="1815"/>
      <c r="Y26" s="3242"/>
      <c r="Z26" s="1816"/>
      <c r="AA26" s="1813">
        <v>1</v>
      </c>
      <c r="AB26" s="1813">
        <v>1</v>
      </c>
      <c r="AC26" s="2674">
        <v>1</v>
      </c>
    </row>
    <row r="27" spans="1:29" ht="15">
      <c r="A27" s="428"/>
      <c r="B27" s="631" t="s">
        <v>2657</v>
      </c>
      <c r="C27" s="633"/>
      <c r="D27" s="435">
        <v>100</v>
      </c>
      <c r="E27" s="616"/>
      <c r="F27" s="435">
        <f>SUMIF(89:89,E27,90:90)-SUMIF(89:89,C27,90:90)+100</f>
        <v>100</v>
      </c>
      <c r="G27" s="633"/>
      <c r="H27" s="435">
        <f>SUMIF(89:89,G27,90:90)-SUMIF(89:89,C27,90:90)+100</f>
        <v>100</v>
      </c>
      <c r="I27" s="616"/>
      <c r="J27" s="435">
        <f>SUMIF(89:89,I27,90:90)-SUMIF(89:89,C27,90:90)+100</f>
        <v>100</v>
      </c>
      <c r="K27" s="612"/>
      <c r="L27" s="1142"/>
      <c r="M27" s="1133"/>
      <c r="N27" s="1133"/>
      <c r="O27" s="1133"/>
      <c r="P27" s="3240"/>
      <c r="Q27" s="1812" t="str">
        <f t="shared" ref="Q27:Q47" si="11">B27</f>
        <v>楼层</v>
      </c>
      <c r="R27" s="773" t="s">
        <v>17</v>
      </c>
      <c r="S27" s="774">
        <f>F27</f>
        <v>100</v>
      </c>
      <c r="T27" s="773" t="s">
        <v>17</v>
      </c>
      <c r="U27" s="774">
        <f>H27</f>
        <v>100</v>
      </c>
      <c r="V27" s="773" t="s">
        <v>17</v>
      </c>
      <c r="W27" s="774">
        <f>J27</f>
        <v>100</v>
      </c>
      <c r="X27" s="1815"/>
      <c r="Y27" s="3242"/>
      <c r="Z27" s="1816" t="str">
        <f>Q27</f>
        <v>楼层</v>
      </c>
      <c r="AA27" s="1813">
        <f t="shared" si="3"/>
        <v>1</v>
      </c>
      <c r="AB27" s="1813">
        <f t="shared" si="4"/>
        <v>1</v>
      </c>
      <c r="AC27" s="2674">
        <f t="shared" si="5"/>
        <v>1</v>
      </c>
    </row>
    <row r="28" spans="1:29" s="117" customFormat="1" ht="15">
      <c r="A28" s="431"/>
      <c r="B28" s="630"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240"/>
      <c r="Q28" s="1797" t="str">
        <f t="shared" si="11"/>
        <v>朝向</v>
      </c>
      <c r="R28" s="769" t="s">
        <v>17</v>
      </c>
      <c r="S28" s="770">
        <f>F28</f>
        <v>100</v>
      </c>
      <c r="T28" s="769" t="s">
        <v>17</v>
      </c>
      <c r="U28" s="770">
        <f>H28</f>
        <v>100</v>
      </c>
      <c r="V28" s="769" t="s">
        <v>17</v>
      </c>
      <c r="W28" s="770">
        <f>J28</f>
        <v>100</v>
      </c>
      <c r="X28" s="771"/>
      <c r="Y28" s="3242"/>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240"/>
      <c r="Q29" s="1812">
        <f t="shared" si="11"/>
        <v>111</v>
      </c>
      <c r="R29" s="773" t="s">
        <v>17</v>
      </c>
      <c r="S29" s="774">
        <f t="shared" ref="S29:S47" si="12">F29</f>
        <v>100</v>
      </c>
      <c r="T29" s="773" t="s">
        <v>17</v>
      </c>
      <c r="U29" s="774">
        <f t="shared" ref="U29:U47" si="13">H29</f>
        <v>100</v>
      </c>
      <c r="V29" s="773" t="s">
        <v>17</v>
      </c>
      <c r="W29" s="774">
        <f t="shared" ref="W29:W47" si="14">J29</f>
        <v>100</v>
      </c>
      <c r="X29" s="1815"/>
      <c r="Y29" s="3242"/>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240"/>
      <c r="Q30" s="1812">
        <f t="shared" si="11"/>
        <v>111</v>
      </c>
      <c r="R30" s="773" t="s">
        <v>17</v>
      </c>
      <c r="S30" s="774">
        <f t="shared" si="12"/>
        <v>100</v>
      </c>
      <c r="T30" s="773" t="s">
        <v>17</v>
      </c>
      <c r="U30" s="774">
        <f t="shared" si="13"/>
        <v>100</v>
      </c>
      <c r="V30" s="773" t="s">
        <v>17</v>
      </c>
      <c r="W30" s="774">
        <f t="shared" si="14"/>
        <v>100</v>
      </c>
      <c r="X30" s="1815"/>
      <c r="Y30" s="3242"/>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240"/>
      <c r="Q31" s="1812">
        <f t="shared" si="11"/>
        <v>111</v>
      </c>
      <c r="R31" s="773" t="s">
        <v>17</v>
      </c>
      <c r="S31" s="774">
        <f t="shared" si="12"/>
        <v>100</v>
      </c>
      <c r="T31" s="773" t="s">
        <v>17</v>
      </c>
      <c r="U31" s="774">
        <f t="shared" si="13"/>
        <v>100</v>
      </c>
      <c r="V31" s="773" t="s">
        <v>17</v>
      </c>
      <c r="W31" s="774">
        <f t="shared" si="14"/>
        <v>100</v>
      </c>
      <c r="X31" s="1815"/>
      <c r="Y31" s="3242"/>
      <c r="Z31" s="1816">
        <f t="shared" si="15"/>
        <v>111</v>
      </c>
      <c r="AA31" s="1813">
        <f t="shared" si="3"/>
        <v>1</v>
      </c>
      <c r="AB31" s="1813">
        <f t="shared" si="4"/>
        <v>1</v>
      </c>
      <c r="AC31" s="2674">
        <f t="shared" si="5"/>
        <v>1</v>
      </c>
    </row>
    <row r="32" spans="1:29" ht="15.75" thickBot="1">
      <c r="A32" s="436"/>
      <c r="B32" s="634">
        <v>111</v>
      </c>
      <c r="C32" s="2616"/>
      <c r="D32" s="438">
        <v>100</v>
      </c>
      <c r="E32" s="627"/>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240"/>
      <c r="Q32" s="1812">
        <f t="shared" si="11"/>
        <v>111</v>
      </c>
      <c r="R32" s="773" t="s">
        <v>17</v>
      </c>
      <c r="S32" s="774">
        <f t="shared" si="12"/>
        <v>100</v>
      </c>
      <c r="T32" s="773" t="s">
        <v>17</v>
      </c>
      <c r="U32" s="774">
        <f t="shared" si="13"/>
        <v>100</v>
      </c>
      <c r="V32" s="773" t="s">
        <v>17</v>
      </c>
      <c r="W32" s="774">
        <f t="shared" si="14"/>
        <v>100</v>
      </c>
      <c r="X32" s="1815"/>
      <c r="Y32" s="3242"/>
      <c r="Z32" s="1816">
        <f t="shared" si="15"/>
        <v>111</v>
      </c>
      <c r="AA32" s="1813">
        <f t="shared" si="3"/>
        <v>1</v>
      </c>
      <c r="AB32" s="1813">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243" t="s">
        <v>2563</v>
      </c>
      <c r="Q33" s="1812" t="str">
        <f t="shared" si="11"/>
        <v>建筑类型</v>
      </c>
      <c r="R33" s="773" t="s">
        <v>17</v>
      </c>
      <c r="S33" s="774">
        <f t="shared" si="12"/>
        <v>100</v>
      </c>
      <c r="T33" s="773" t="s">
        <v>17</v>
      </c>
      <c r="U33" s="774">
        <f t="shared" si="13"/>
        <v>100</v>
      </c>
      <c r="V33" s="773" t="s">
        <v>17</v>
      </c>
      <c r="W33" s="774">
        <f t="shared" si="14"/>
        <v>100</v>
      </c>
      <c r="X33" s="1815"/>
      <c r="Y33" s="3246" t="s">
        <v>2563</v>
      </c>
      <c r="Z33" s="1816" t="str">
        <f t="shared" si="15"/>
        <v>建筑类型</v>
      </c>
      <c r="AA33" s="1813">
        <f t="shared" si="3"/>
        <v>1</v>
      </c>
      <c r="AB33" s="1813">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44"/>
      <c r="Q34" s="775" t="str">
        <f t="shared" si="11"/>
        <v>项目建筑规模</v>
      </c>
      <c r="R34" s="776" t="s">
        <v>17</v>
      </c>
      <c r="S34" s="777" t="e">
        <f t="shared" si="12"/>
        <v>#N/A</v>
      </c>
      <c r="T34" s="776" t="s">
        <v>17</v>
      </c>
      <c r="U34" s="777" t="e">
        <f t="shared" si="13"/>
        <v>#N/A</v>
      </c>
      <c r="V34" s="776" t="s">
        <v>17</v>
      </c>
      <c r="W34" s="777" t="e">
        <f t="shared" si="14"/>
        <v>#N/A</v>
      </c>
      <c r="X34" s="778"/>
      <c r="Y34" s="3246"/>
      <c r="Z34" s="779" t="str">
        <f t="shared" si="15"/>
        <v>项目建筑规模</v>
      </c>
      <c r="AA34" s="1813" t="e">
        <f t="shared" si="3"/>
        <v>#N/A</v>
      </c>
      <c r="AB34" s="1813"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44"/>
      <c r="Q35" s="1812" t="str">
        <f t="shared" si="11"/>
        <v>建筑结构</v>
      </c>
      <c r="R35" s="773" t="s">
        <v>17</v>
      </c>
      <c r="S35" s="774">
        <f t="shared" si="12"/>
        <v>100</v>
      </c>
      <c r="T35" s="773" t="s">
        <v>17</v>
      </c>
      <c r="U35" s="774">
        <f t="shared" si="13"/>
        <v>100</v>
      </c>
      <c r="V35" s="773" t="s">
        <v>17</v>
      </c>
      <c r="W35" s="774">
        <f t="shared" si="14"/>
        <v>100</v>
      </c>
      <c r="X35" s="1815"/>
      <c r="Y35" s="3246"/>
      <c r="Z35" s="1816" t="str">
        <f t="shared" si="15"/>
        <v>建筑结构</v>
      </c>
      <c r="AA35" s="1813">
        <f t="shared" si="3"/>
        <v>1</v>
      </c>
      <c r="AB35" s="1813">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44"/>
      <c r="Q36" s="1812" t="str">
        <f t="shared" si="11"/>
        <v>公共部分装修</v>
      </c>
      <c r="R36" s="773" t="s">
        <v>17</v>
      </c>
      <c r="S36" s="774">
        <f t="shared" si="12"/>
        <v>100</v>
      </c>
      <c r="T36" s="773" t="s">
        <v>17</v>
      </c>
      <c r="U36" s="774">
        <f t="shared" si="13"/>
        <v>100</v>
      </c>
      <c r="V36" s="773" t="s">
        <v>17</v>
      </c>
      <c r="W36" s="774">
        <f t="shared" si="14"/>
        <v>100</v>
      </c>
      <c r="X36" s="1815"/>
      <c r="Y36" s="3246"/>
      <c r="Z36" s="1816" t="str">
        <f t="shared" si="15"/>
        <v>公共部分装修</v>
      </c>
      <c r="AA36" s="1813">
        <f t="shared" si="3"/>
        <v>1</v>
      </c>
      <c r="AB36" s="1813">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44"/>
      <c r="Q37" s="1812" t="str">
        <f t="shared" si="11"/>
        <v>成新度</v>
      </c>
      <c r="R37" s="773" t="s">
        <v>17</v>
      </c>
      <c r="S37" s="774" t="e">
        <f t="shared" si="12"/>
        <v>#N/A</v>
      </c>
      <c r="T37" s="773" t="s">
        <v>17</v>
      </c>
      <c r="U37" s="774" t="e">
        <f t="shared" si="13"/>
        <v>#N/A</v>
      </c>
      <c r="V37" s="773" t="s">
        <v>17</v>
      </c>
      <c r="W37" s="774" t="e">
        <f t="shared" si="14"/>
        <v>#N/A</v>
      </c>
      <c r="X37" s="1815"/>
      <c r="Y37" s="3246"/>
      <c r="Z37" s="1816" t="str">
        <f t="shared" si="15"/>
        <v>成新度</v>
      </c>
      <c r="AA37" s="1813" t="e">
        <f t="shared" si="3"/>
        <v>#N/A</v>
      </c>
      <c r="AB37" s="1813"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44"/>
      <c r="Q38" s="1797" t="str">
        <f t="shared" si="11"/>
        <v>写字楼等级</v>
      </c>
      <c r="R38" s="769" t="s">
        <v>17</v>
      </c>
      <c r="S38" s="770">
        <f t="shared" si="12"/>
        <v>100</v>
      </c>
      <c r="T38" s="769" t="s">
        <v>17</v>
      </c>
      <c r="U38" s="770">
        <f t="shared" si="13"/>
        <v>100</v>
      </c>
      <c r="V38" s="769" t="s">
        <v>17</v>
      </c>
      <c r="W38" s="770">
        <f t="shared" si="14"/>
        <v>100</v>
      </c>
      <c r="X38" s="771"/>
      <c r="Y38" s="3246"/>
      <c r="Z38" s="55" t="str">
        <f t="shared" si="15"/>
        <v>写字楼等级</v>
      </c>
      <c r="AA38" s="772">
        <f t="shared" si="3"/>
        <v>1</v>
      </c>
      <c r="AB38" s="772">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44" t="s">
        <v>2563</v>
      </c>
      <c r="Q39" s="1812" t="str">
        <f t="shared" si="11"/>
        <v>物业管理</v>
      </c>
      <c r="R39" s="773" t="s">
        <v>17</v>
      </c>
      <c r="S39" s="774">
        <f t="shared" si="12"/>
        <v>100</v>
      </c>
      <c r="T39" s="773" t="s">
        <v>17</v>
      </c>
      <c r="U39" s="774">
        <f t="shared" si="13"/>
        <v>100</v>
      </c>
      <c r="V39" s="773" t="s">
        <v>17</v>
      </c>
      <c r="W39" s="774">
        <f t="shared" si="14"/>
        <v>100</v>
      </c>
      <c r="X39" s="1815"/>
      <c r="Y39" s="3246" t="s">
        <v>2563</v>
      </c>
      <c r="Z39" s="1816" t="str">
        <f t="shared" si="15"/>
        <v>物业管理</v>
      </c>
      <c r="AA39" s="1813">
        <f t="shared" si="3"/>
        <v>1</v>
      </c>
      <c r="AB39" s="1813">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44"/>
      <c r="Q40" s="1812" t="str">
        <f t="shared" si="11"/>
        <v>市政基础设施</v>
      </c>
      <c r="R40" s="773" t="s">
        <v>17</v>
      </c>
      <c r="S40" s="774">
        <f t="shared" si="12"/>
        <v>100</v>
      </c>
      <c r="T40" s="773" t="s">
        <v>17</v>
      </c>
      <c r="U40" s="774">
        <f t="shared" si="13"/>
        <v>100</v>
      </c>
      <c r="V40" s="773" t="s">
        <v>17</v>
      </c>
      <c r="W40" s="774">
        <f t="shared" si="14"/>
        <v>100</v>
      </c>
      <c r="X40" s="1815"/>
      <c r="Y40" s="3246"/>
      <c r="Z40" s="1816" t="str">
        <f t="shared" si="15"/>
        <v>市政基础设施</v>
      </c>
      <c r="AA40" s="1813">
        <f t="shared" si="3"/>
        <v>1</v>
      </c>
      <c r="AB40" s="1813">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44"/>
      <c r="Q41" s="1812" t="str">
        <f t="shared" si="11"/>
        <v>层高</v>
      </c>
      <c r="R41" s="773" t="s">
        <v>17</v>
      </c>
      <c r="S41" s="774">
        <f t="shared" si="12"/>
        <v>100</v>
      </c>
      <c r="T41" s="773" t="s">
        <v>17</v>
      </c>
      <c r="U41" s="774">
        <f t="shared" si="13"/>
        <v>100</v>
      </c>
      <c r="V41" s="773" t="s">
        <v>17</v>
      </c>
      <c r="W41" s="774">
        <f t="shared" si="14"/>
        <v>100</v>
      </c>
      <c r="X41" s="1815"/>
      <c r="Y41" s="3246"/>
      <c r="Z41" s="1816" t="str">
        <f t="shared" si="15"/>
        <v>层高</v>
      </c>
      <c r="AA41" s="1813">
        <f t="shared" si="3"/>
        <v>1</v>
      </c>
      <c r="AB41" s="1813">
        <f t="shared" si="4"/>
        <v>1</v>
      </c>
      <c r="AC41" s="2674">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44"/>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1813">
        <f t="shared" si="3"/>
        <v>1</v>
      </c>
      <c r="AB42" s="1813">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44"/>
      <c r="Q43" s="1812" t="str">
        <f t="shared" si="11"/>
        <v>内部装修</v>
      </c>
      <c r="R43" s="773" t="s">
        <v>17</v>
      </c>
      <c r="S43" s="774">
        <f t="shared" si="12"/>
        <v>100</v>
      </c>
      <c r="T43" s="773" t="s">
        <v>17</v>
      </c>
      <c r="U43" s="774">
        <f t="shared" si="13"/>
        <v>100</v>
      </c>
      <c r="V43" s="773" t="s">
        <v>17</v>
      </c>
      <c r="W43" s="774">
        <f t="shared" si="14"/>
        <v>100</v>
      </c>
      <c r="X43" s="1815"/>
      <c r="Y43" s="3246"/>
      <c r="Z43" s="1816" t="str">
        <f t="shared" si="15"/>
        <v>内部装修</v>
      </c>
      <c r="AA43" s="1813">
        <f t="shared" si="3"/>
        <v>1</v>
      </c>
      <c r="AB43" s="1813">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244"/>
      <c r="Q44" s="1812" t="str">
        <f t="shared" si="11"/>
        <v>内部装修维护情况</v>
      </c>
      <c r="R44" s="773" t="s">
        <v>17</v>
      </c>
      <c r="S44" s="774">
        <f t="shared" si="12"/>
        <v>100</v>
      </c>
      <c r="T44" s="773" t="s">
        <v>17</v>
      </c>
      <c r="U44" s="774">
        <f t="shared" si="13"/>
        <v>100</v>
      </c>
      <c r="V44" s="773" t="s">
        <v>17</v>
      </c>
      <c r="W44" s="774">
        <f t="shared" si="14"/>
        <v>100</v>
      </c>
      <c r="X44" s="1815"/>
      <c r="Y44" s="3246"/>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44"/>
      <c r="Q45" s="1797">
        <f t="shared" si="11"/>
        <v>111</v>
      </c>
      <c r="R45" s="769" t="s">
        <v>17</v>
      </c>
      <c r="S45" s="770">
        <f t="shared" si="12"/>
        <v>100</v>
      </c>
      <c r="T45" s="769" t="s">
        <v>17</v>
      </c>
      <c r="U45" s="770">
        <f t="shared" si="13"/>
        <v>100</v>
      </c>
      <c r="V45" s="769" t="s">
        <v>17</v>
      </c>
      <c r="W45" s="770">
        <f t="shared" si="14"/>
        <v>100</v>
      </c>
      <c r="X45" s="771"/>
      <c r="Y45" s="3246"/>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44"/>
      <c r="Q46" s="1812">
        <f t="shared" si="11"/>
        <v>111</v>
      </c>
      <c r="R46" s="773" t="s">
        <v>17</v>
      </c>
      <c r="S46" s="774">
        <f t="shared" si="12"/>
        <v>100</v>
      </c>
      <c r="T46" s="773" t="s">
        <v>17</v>
      </c>
      <c r="U46" s="774">
        <f t="shared" si="13"/>
        <v>100</v>
      </c>
      <c r="V46" s="773" t="s">
        <v>17</v>
      </c>
      <c r="W46" s="774">
        <f t="shared" si="14"/>
        <v>100</v>
      </c>
      <c r="X46" s="1815"/>
      <c r="Y46" s="3246"/>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45"/>
      <c r="Q47" s="1812">
        <f t="shared" si="11"/>
        <v>111</v>
      </c>
      <c r="R47" s="773" t="s">
        <v>17</v>
      </c>
      <c r="S47" s="774">
        <f t="shared" si="12"/>
        <v>100</v>
      </c>
      <c r="T47" s="773" t="s">
        <v>17</v>
      </c>
      <c r="U47" s="774">
        <f t="shared" si="13"/>
        <v>100</v>
      </c>
      <c r="V47" s="773" t="s">
        <v>17</v>
      </c>
      <c r="W47" s="774">
        <f t="shared" si="14"/>
        <v>100</v>
      </c>
      <c r="X47" s="1815"/>
      <c r="Y47" s="3247"/>
      <c r="Z47" s="1816">
        <f t="shared" si="15"/>
        <v>111</v>
      </c>
      <c r="AA47" s="1813">
        <f t="shared" si="3"/>
        <v>1</v>
      </c>
      <c r="AB47" s="1813">
        <f t="shared" si="4"/>
        <v>1</v>
      </c>
      <c r="AC47" s="2674">
        <f t="shared" si="5"/>
        <v>1</v>
      </c>
    </row>
    <row r="48" spans="1:29" ht="15">
      <c r="A48" s="479" t="s">
        <v>2575</v>
      </c>
      <c r="B48" s="480"/>
      <c r="C48" s="1409" t="s">
        <v>1</v>
      </c>
      <c r="D48" s="1410"/>
      <c r="E48" s="1411"/>
      <c r="F48" s="1412"/>
      <c r="G48" s="1413"/>
      <c r="H48" s="1414"/>
      <c r="I48" s="1411"/>
      <c r="J48" s="485"/>
      <c r="K48" s="782"/>
      <c r="L48" s="1145"/>
      <c r="M48" s="1133"/>
      <c r="N48" s="1133"/>
      <c r="O48" s="1133"/>
      <c r="P48" s="3249" t="str">
        <f>A48</f>
        <v>成交单价（元/平方米）</v>
      </c>
      <c r="Q48" s="3234"/>
      <c r="R48" s="3235">
        <f>E48</f>
        <v>0</v>
      </c>
      <c r="S48" s="3235"/>
      <c r="T48" s="3235">
        <f>G48</f>
        <v>0</v>
      </c>
      <c r="U48" s="3235"/>
      <c r="V48" s="3235">
        <f>I48</f>
        <v>0</v>
      </c>
      <c r="W48" s="3235"/>
      <c r="X48" s="446"/>
      <c r="Y48" s="780"/>
      <c r="Z48" s="446"/>
      <c r="AA48" s="446"/>
      <c r="AB48" s="446"/>
      <c r="AC48" s="629"/>
    </row>
    <row r="49" spans="1:29" ht="15.75" thickBot="1">
      <c r="A49" s="486" t="s">
        <v>2667</v>
      </c>
      <c r="B49" s="487"/>
      <c r="C49" s="1415" t="e">
        <f>R50</f>
        <v>#DIV/0!</v>
      </c>
      <c r="D49" s="1416"/>
      <c r="E49" s="1417" t="e">
        <f>R49</f>
        <v>#DIV/0!</v>
      </c>
      <c r="F49" s="1417"/>
      <c r="G49" s="1415" t="e">
        <f>T49</f>
        <v>#DIV/0!</v>
      </c>
      <c r="H49" s="1416"/>
      <c r="I49" s="1417" t="e">
        <f>V49</f>
        <v>#DIV/0!</v>
      </c>
      <c r="J49" s="489"/>
      <c r="K49" s="783"/>
      <c r="L49" s="1145"/>
      <c r="M49" s="1133"/>
      <c r="N49" s="1133"/>
      <c r="O49" s="1133"/>
      <c r="P49" s="3249"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29"/>
    </row>
    <row r="50" spans="1:29" ht="15.75" thickBot="1">
      <c r="A50" s="492" t="s">
        <v>2668</v>
      </c>
      <c r="B50" s="493"/>
      <c r="C50" s="1419" t="e">
        <f>R50</f>
        <v>#DIV/0!</v>
      </c>
      <c r="D50" s="1419"/>
      <c r="E50" s="1419"/>
      <c r="F50" s="1419"/>
      <c r="G50" s="1419"/>
      <c r="H50" s="1419"/>
      <c r="I50" s="1419"/>
      <c r="J50" s="494"/>
      <c r="K50" s="784"/>
      <c r="L50" s="1145"/>
      <c r="M50" s="1133"/>
      <c r="N50" s="1133"/>
      <c r="O50" s="1133"/>
      <c r="P50" s="3306" t="str">
        <f>A50</f>
        <v>估价对象XX用房的比较价值（楼面单价，元/平方米）</v>
      </c>
      <c r="Q50" s="3307"/>
      <c r="R50" s="3308" t="e">
        <f>IF(F1="售价",ROUND(AVERAGE(R49:V49),0),ROUND(AVERAGE(R49:V49),1))</f>
        <v>#DIV/0!</v>
      </c>
      <c r="S50" s="3308"/>
      <c r="T50" s="3308"/>
      <c r="U50" s="3308"/>
      <c r="V50" s="3308"/>
      <c r="W50" s="3308"/>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2672</v>
      </c>
      <c r="B58" s="758"/>
      <c r="C58" s="763"/>
      <c r="D58" s="763"/>
      <c r="E58" s="763"/>
      <c r="F58" s="764"/>
      <c r="G58" s="764"/>
      <c r="H58" s="763"/>
      <c r="I58" s="763"/>
      <c r="J58" s="763"/>
      <c r="K58" s="765"/>
      <c r="L58" s="1163"/>
      <c r="M58" s="1161"/>
      <c r="N58" s="1161"/>
      <c r="O58" s="1161"/>
      <c r="P58" s="2681"/>
      <c r="Q58" s="504"/>
    </row>
    <row r="59" spans="1:29" s="508" customFormat="1" ht="15">
      <c r="A59" s="505" t="s">
        <v>2546</v>
      </c>
      <c r="B59" s="506"/>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2586</v>
      </c>
      <c r="B64" s="528" t="s">
        <v>2552</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2687</v>
      </c>
      <c r="C83" s="659" t="s">
        <v>2673</v>
      </c>
      <c r="D83" s="659" t="s">
        <v>2674</v>
      </c>
      <c r="E83" s="659" t="s">
        <v>2675</v>
      </c>
      <c r="F83" s="659" t="s">
        <v>2676</v>
      </c>
      <c r="G83" s="659" t="s">
        <v>2677</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55"/>
      <c r="O84" s="1155"/>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2697</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2561</v>
      </c>
      <c r="B101" s="528" t="s">
        <v>2610</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2612</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2614</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2"/>
      <c r="J111" s="622"/>
      <c r="K111" s="623"/>
      <c r="L111" s="624"/>
      <c r="M111" s="625"/>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2698</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2615</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2616</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5" t="s">
        <v>2699</v>
      </c>
      <c r="C119" s="583"/>
      <c r="D119" s="583"/>
      <c r="E119" s="583"/>
      <c r="F119" s="583"/>
      <c r="G119" s="583"/>
      <c r="H119" s="583"/>
      <c r="I119" s="583"/>
      <c r="J119" s="583"/>
      <c r="K119" s="583"/>
      <c r="L119" s="2689"/>
      <c r="M119" s="2690"/>
      <c r="N119" s="1155"/>
      <c r="O119" s="1155"/>
      <c r="P119" s="2691"/>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2682</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2618</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69" t="s">
        <v>2700</v>
      </c>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IF(C2="——",ROUND(C43*D3/10000,0),ROUND(C43*D3/10000,0)-D2)</f>
        <v>#DIV/0!</v>
      </c>
      <c r="C2" s="2586"/>
      <c r="D2" s="1126" t="e">
        <f ca="1">SUMIF(INDIRECT("'"&amp;F2&amp;"'"&amp;"!A:A"),"承租人权益价值",INDIRECT("'"&amp;F2&amp;"'"&amp;"!c:c"))</f>
        <v>#REF!</v>
      </c>
      <c r="E2" s="2587" t="s">
        <v>2326</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2327</v>
      </c>
      <c r="B3" s="609" t="e">
        <f ca="1">IF(C2="——",C43,ROUND(B2*10000/D3,0))</f>
        <v>#DIV/0!</v>
      </c>
      <c r="C3" s="400" t="s">
        <v>2642</v>
      </c>
      <c r="D3" s="399">
        <f>IF(D1="",'数据-汇总表'!E3,SUMIF('数据-汇总表'!$C19:$C33,D1,'数据-汇总表'!$E19:$E33))</f>
        <v>4833.9999999999973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51" t="s">
        <v>2646</v>
      </c>
      <c r="AC4" s="3250" t="s">
        <v>2647</v>
      </c>
    </row>
    <row r="5" spans="1:29" ht="15">
      <c r="A5" s="404"/>
      <c r="B5" s="405"/>
      <c r="C5" s="3303" t="s">
        <v>2540</v>
      </c>
      <c r="D5" s="3272"/>
      <c r="E5" s="3305" t="s">
        <v>2541</v>
      </c>
      <c r="F5" s="3280"/>
      <c r="G5" s="3303" t="s">
        <v>2542</v>
      </c>
      <c r="H5" s="3272"/>
      <c r="I5" s="3303" t="s">
        <v>2543</v>
      </c>
      <c r="J5" s="3272"/>
      <c r="K5" s="610"/>
      <c r="L5" s="1132"/>
      <c r="M5" s="1133"/>
      <c r="N5" s="1133"/>
      <c r="O5" s="1133"/>
      <c r="P5" s="3259"/>
      <c r="Q5" s="3260"/>
      <c r="R5" s="3265"/>
      <c r="S5" s="3266"/>
      <c r="T5" s="3265"/>
      <c r="U5" s="3266"/>
      <c r="V5" s="3248"/>
      <c r="W5" s="3248"/>
      <c r="X5" s="1815"/>
      <c r="Y5" s="3265"/>
      <c r="Z5" s="3266"/>
      <c r="AA5" s="3251"/>
      <c r="AB5" s="3251"/>
      <c r="AC5" s="3251"/>
    </row>
    <row r="6" spans="1:29" ht="15.75" thickBot="1">
      <c r="A6" s="406"/>
      <c r="B6" s="407"/>
      <c r="C6" s="3276" t="s">
        <v>2544</v>
      </c>
      <c r="D6" s="3270"/>
      <c r="E6" s="3304" t="s">
        <v>2544</v>
      </c>
      <c r="F6" s="3278"/>
      <c r="G6" s="3276" t="s">
        <v>2544</v>
      </c>
      <c r="H6" s="3270"/>
      <c r="I6" s="3276" t="s">
        <v>2544</v>
      </c>
      <c r="J6" s="3270"/>
      <c r="K6" s="610" t="s">
        <v>2545</v>
      </c>
      <c r="L6" s="1132"/>
      <c r="M6" s="1133"/>
      <c r="N6" s="1133"/>
      <c r="O6" s="1133"/>
      <c r="P6" s="3261"/>
      <c r="Q6" s="3262"/>
      <c r="R6" s="3265"/>
      <c r="S6" s="3266"/>
      <c r="T6" s="3267"/>
      <c r="U6" s="3268"/>
      <c r="V6" s="3248"/>
      <c r="W6" s="3248"/>
      <c r="X6" s="1815"/>
      <c r="Y6" s="3267"/>
      <c r="Z6" s="3268"/>
      <c r="AA6" s="3252"/>
      <c r="AB6" s="3252"/>
      <c r="AC6" s="3252"/>
    </row>
    <row r="7" spans="1:29" s="117" customFormat="1" ht="15.75" thickBot="1">
      <c r="A7" s="408" t="s">
        <v>2546</v>
      </c>
      <c r="B7" s="409"/>
      <c r="C7" s="410">
        <f>'数据-取费表'!B2</f>
        <v>43202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73" t="s">
        <v>2547</v>
      </c>
      <c r="Q7" s="3275"/>
      <c r="R7" s="769" t="s">
        <v>17</v>
      </c>
      <c r="S7" s="770">
        <f t="shared" ref="S7:S15" si="0">F7</f>
        <v>0</v>
      </c>
      <c r="T7" s="769" t="s">
        <v>17</v>
      </c>
      <c r="U7" s="770">
        <f t="shared" ref="U7:U15" si="1">H7</f>
        <v>0</v>
      </c>
      <c r="V7" s="769" t="s">
        <v>17</v>
      </c>
      <c r="W7" s="770">
        <f t="shared" ref="W7:W15" si="2">J7</f>
        <v>0</v>
      </c>
      <c r="X7" s="771"/>
      <c r="Y7" s="3273" t="s">
        <v>2547</v>
      </c>
      <c r="Z7" s="3274"/>
      <c r="AA7" s="772" t="e">
        <f>D7/F7</f>
        <v>#DIV/0!</v>
      </c>
      <c r="AB7" s="772" t="e">
        <f>D7/H7</f>
        <v>#DIV/0!</v>
      </c>
      <c r="AC7" s="772"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73" t="s">
        <v>2550</v>
      </c>
      <c r="Q8" s="3274"/>
      <c r="R8" s="769" t="s">
        <v>17</v>
      </c>
      <c r="S8" s="770">
        <f t="shared" si="0"/>
        <v>0</v>
      </c>
      <c r="T8" s="769" t="s">
        <v>17</v>
      </c>
      <c r="U8" s="770">
        <f t="shared" si="1"/>
        <v>0</v>
      </c>
      <c r="V8" s="769" t="s">
        <v>17</v>
      </c>
      <c r="W8" s="770">
        <f t="shared" si="2"/>
        <v>0</v>
      </c>
      <c r="X8" s="771"/>
      <c r="Y8" s="3273" t="s">
        <v>2550</v>
      </c>
      <c r="Z8" s="3274"/>
      <c r="AA8" s="772" t="e">
        <f t="shared" ref="AA8:AA40" si="3">D8/F8</f>
        <v>#DIV/0!</v>
      </c>
      <c r="AB8" s="772" t="e">
        <f t="shared" ref="AB8:AB40" si="4">D8/H8</f>
        <v>#DIV/0!</v>
      </c>
      <c r="AC8" s="772"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34"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772">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34"/>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1" t="s">
        <v>2558</v>
      </c>
      <c r="Q15" s="1812" t="str">
        <f t="shared" si="6"/>
        <v>产业集聚程度</v>
      </c>
      <c r="R15" s="773" t="s">
        <v>17</v>
      </c>
      <c r="S15" s="774">
        <f t="shared" si="0"/>
        <v>100</v>
      </c>
      <c r="T15" s="773" t="s">
        <v>17</v>
      </c>
      <c r="U15" s="774">
        <f t="shared" si="1"/>
        <v>100</v>
      </c>
      <c r="V15" s="773" t="s">
        <v>17</v>
      </c>
      <c r="W15" s="774">
        <f t="shared" si="2"/>
        <v>100</v>
      </c>
      <c r="X15" s="1815"/>
      <c r="Y15" s="3241"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242"/>
      <c r="Q16" s="1812"/>
      <c r="R16" s="773"/>
      <c r="S16" s="774"/>
      <c r="T16" s="773"/>
      <c r="U16" s="774"/>
      <c r="V16" s="773"/>
      <c r="W16" s="774"/>
      <c r="X16" s="1815"/>
      <c r="Y16" s="3242"/>
      <c r="Z16" s="1816"/>
      <c r="AA16" s="1813">
        <v>1</v>
      </c>
      <c r="AB16" s="1813">
        <v>1</v>
      </c>
      <c r="AC16" s="1813">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2"/>
      <c r="Q17" s="1812" t="str">
        <f>B17</f>
        <v>交通便捷度</v>
      </c>
      <c r="R17" s="773" t="s">
        <v>17</v>
      </c>
      <c r="S17" s="774">
        <f>F17</f>
        <v>100</v>
      </c>
      <c r="T17" s="773" t="s">
        <v>17</v>
      </c>
      <c r="U17" s="774">
        <f>H17</f>
        <v>100</v>
      </c>
      <c r="V17" s="773" t="s">
        <v>17</v>
      </c>
      <c r="W17" s="774">
        <f>J17</f>
        <v>100</v>
      </c>
      <c r="X17" s="1815"/>
      <c r="Y17" s="324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242"/>
      <c r="Q18" s="1812"/>
      <c r="R18" s="773"/>
      <c r="S18" s="774"/>
      <c r="T18" s="773"/>
      <c r="U18" s="774"/>
      <c r="V18" s="773"/>
      <c r="W18" s="774"/>
      <c r="X18" s="1815"/>
      <c r="Y18" s="3242"/>
      <c r="Z18" s="1816"/>
      <c r="AA18" s="1813">
        <v>1</v>
      </c>
      <c r="AB18" s="1813">
        <v>1</v>
      </c>
      <c r="AC18" s="1813">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2"/>
      <c r="Q19" s="1812" t="str">
        <f>B19</f>
        <v>公共配套设施</v>
      </c>
      <c r="R19" s="773" t="s">
        <v>17</v>
      </c>
      <c r="S19" s="774">
        <f>F19</f>
        <v>100</v>
      </c>
      <c r="T19" s="773" t="s">
        <v>17</v>
      </c>
      <c r="U19" s="774">
        <f>H19</f>
        <v>100</v>
      </c>
      <c r="V19" s="773" t="s">
        <v>17</v>
      </c>
      <c r="W19" s="774">
        <f>J19</f>
        <v>100</v>
      </c>
      <c r="X19" s="1815"/>
      <c r="Y19" s="324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242"/>
      <c r="Q20" s="1812"/>
      <c r="R20" s="773"/>
      <c r="S20" s="774"/>
      <c r="T20" s="773"/>
      <c r="U20" s="774"/>
      <c r="V20" s="773"/>
      <c r="W20" s="774"/>
      <c r="X20" s="1815"/>
      <c r="Y20" s="3242"/>
      <c r="Z20" s="1816"/>
      <c r="AA20" s="1813">
        <v>1</v>
      </c>
      <c r="AB20" s="1813">
        <v>1</v>
      </c>
      <c r="AC20" s="1813">
        <v>1</v>
      </c>
    </row>
    <row r="21" spans="1:29" ht="28.5">
      <c r="A21" s="428"/>
      <c r="B21" s="1386"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2"/>
      <c r="Q21" s="1812" t="str">
        <f>B21</f>
        <v>基础设施水平</v>
      </c>
      <c r="R21" s="773" t="s">
        <v>17</v>
      </c>
      <c r="S21" s="774">
        <f>F21</f>
        <v>100</v>
      </c>
      <c r="T21" s="773" t="s">
        <v>17</v>
      </c>
      <c r="U21" s="774">
        <f>H21</f>
        <v>100</v>
      </c>
      <c r="V21" s="773" t="s">
        <v>17</v>
      </c>
      <c r="W21" s="774">
        <f>J21</f>
        <v>100</v>
      </c>
      <c r="X21" s="1815"/>
      <c r="Y21" s="3242"/>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242"/>
      <c r="Q22" s="1812"/>
      <c r="R22" s="773"/>
      <c r="S22" s="774"/>
      <c r="T22" s="773"/>
      <c r="U22" s="774"/>
      <c r="V22" s="773"/>
      <c r="W22" s="774"/>
      <c r="X22" s="1815"/>
      <c r="Y22" s="3242"/>
      <c r="Z22" s="1816"/>
      <c r="AA22" s="1813">
        <v>1</v>
      </c>
      <c r="AB22" s="1813">
        <v>1</v>
      </c>
      <c r="AC22" s="1813">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2"/>
      <c r="Q23" s="1812" t="str">
        <f>B23</f>
        <v>环境质量</v>
      </c>
      <c r="R23" s="773" t="s">
        <v>17</v>
      </c>
      <c r="S23" s="774">
        <f>F23</f>
        <v>100</v>
      </c>
      <c r="T23" s="773" t="s">
        <v>17</v>
      </c>
      <c r="U23" s="774">
        <f>H23</f>
        <v>100</v>
      </c>
      <c r="V23" s="773" t="s">
        <v>17</v>
      </c>
      <c r="W23" s="774">
        <f>J23</f>
        <v>100</v>
      </c>
      <c r="X23" s="1815"/>
      <c r="Y23" s="3242"/>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242"/>
      <c r="Q24" s="1812"/>
      <c r="R24" s="773"/>
      <c r="S24" s="774"/>
      <c r="T24" s="773"/>
      <c r="U24" s="774"/>
      <c r="V24" s="773"/>
      <c r="W24" s="774"/>
      <c r="X24" s="1815"/>
      <c r="Y24" s="3242"/>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2"/>
      <c r="Q25" s="1812">
        <f>B25</f>
        <v>111</v>
      </c>
      <c r="R25" s="773" t="s">
        <v>17</v>
      </c>
      <c r="S25" s="774">
        <f>F25</f>
        <v>100</v>
      </c>
      <c r="T25" s="773" t="s">
        <v>17</v>
      </c>
      <c r="U25" s="774">
        <f>H25</f>
        <v>100</v>
      </c>
      <c r="V25" s="773" t="s">
        <v>17</v>
      </c>
      <c r="W25" s="774">
        <f>J25</f>
        <v>100</v>
      </c>
      <c r="X25" s="1815"/>
      <c r="Y25" s="3242"/>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2"/>
      <c r="Q26" s="1812">
        <f t="shared" ref="Q26:Q40" si="11">B26</f>
        <v>111</v>
      </c>
      <c r="R26" s="773" t="s">
        <v>17</v>
      </c>
      <c r="S26" s="774">
        <f>F26</f>
        <v>100</v>
      </c>
      <c r="T26" s="773" t="s">
        <v>17</v>
      </c>
      <c r="U26" s="774">
        <f>H26</f>
        <v>100</v>
      </c>
      <c r="V26" s="773" t="s">
        <v>17</v>
      </c>
      <c r="W26" s="774">
        <f>J26</f>
        <v>100</v>
      </c>
      <c r="X26" s="1815"/>
      <c r="Y26" s="3242"/>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2"/>
      <c r="Q27" s="1797">
        <f t="shared" si="11"/>
        <v>111</v>
      </c>
      <c r="R27" s="769" t="s">
        <v>17</v>
      </c>
      <c r="S27" s="770">
        <f>F27</f>
        <v>100</v>
      </c>
      <c r="T27" s="769" t="s">
        <v>17</v>
      </c>
      <c r="U27" s="770">
        <f>H27</f>
        <v>100</v>
      </c>
      <c r="V27" s="769" t="s">
        <v>17</v>
      </c>
      <c r="W27" s="770">
        <f>J27</f>
        <v>100</v>
      </c>
      <c r="X27" s="771"/>
      <c r="Y27" s="3242"/>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2"/>
      <c r="Q28" s="1812">
        <f t="shared" si="11"/>
        <v>111</v>
      </c>
      <c r="R28" s="773" t="s">
        <v>17</v>
      </c>
      <c r="S28" s="774">
        <f t="shared" ref="S28:S40" si="12">F28</f>
        <v>100</v>
      </c>
      <c r="T28" s="773" t="s">
        <v>17</v>
      </c>
      <c r="U28" s="774">
        <f t="shared" ref="U28:U40" si="13">H28</f>
        <v>100</v>
      </c>
      <c r="V28" s="773" t="s">
        <v>17</v>
      </c>
      <c r="W28" s="774">
        <f t="shared" ref="W28:W40" si="14">J28</f>
        <v>100</v>
      </c>
      <c r="X28" s="1815"/>
      <c r="Y28" s="3242"/>
      <c r="Z28" s="1816">
        <f t="shared" ref="Z28:Z40" si="15">Q28</f>
        <v>111</v>
      </c>
      <c r="AA28" s="1813">
        <f t="shared" si="3"/>
        <v>1</v>
      </c>
      <c r="AB28" s="1813">
        <f t="shared" si="4"/>
        <v>1</v>
      </c>
      <c r="AC28" s="1813">
        <f t="shared" si="5"/>
        <v>1</v>
      </c>
    </row>
    <row r="29" spans="1:29" ht="1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321" t="s">
        <v>2563</v>
      </c>
      <c r="Q29" s="1812" t="str">
        <f t="shared" si="11"/>
        <v>建筑类型</v>
      </c>
      <c r="R29" s="773" t="s">
        <v>17</v>
      </c>
      <c r="S29" s="774">
        <f t="shared" si="12"/>
        <v>100</v>
      </c>
      <c r="T29" s="773" t="s">
        <v>17</v>
      </c>
      <c r="U29" s="774">
        <f t="shared" si="13"/>
        <v>100</v>
      </c>
      <c r="V29" s="773" t="s">
        <v>17</v>
      </c>
      <c r="W29" s="774">
        <f t="shared" si="14"/>
        <v>100</v>
      </c>
      <c r="X29" s="1815"/>
      <c r="Y29" s="3246" t="s">
        <v>2563</v>
      </c>
      <c r="Z29" s="1816" t="str">
        <f t="shared" si="15"/>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6"/>
      <c r="Q30" s="775" t="str">
        <f t="shared" si="11"/>
        <v>项目建筑规模</v>
      </c>
      <c r="R30" s="776" t="s">
        <v>17</v>
      </c>
      <c r="S30" s="777" t="e">
        <f t="shared" si="12"/>
        <v>#N/A</v>
      </c>
      <c r="T30" s="776" t="s">
        <v>17</v>
      </c>
      <c r="U30" s="777" t="e">
        <f t="shared" si="13"/>
        <v>#N/A</v>
      </c>
      <c r="V30" s="776" t="s">
        <v>17</v>
      </c>
      <c r="W30" s="777" t="e">
        <f t="shared" si="14"/>
        <v>#N/A</v>
      </c>
      <c r="X30" s="778"/>
      <c r="Y30" s="3246"/>
      <c r="Z30" s="779" t="str">
        <f t="shared" si="15"/>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6"/>
      <c r="Q31" s="1812" t="str">
        <f t="shared" si="11"/>
        <v>建筑结构</v>
      </c>
      <c r="R31" s="773" t="s">
        <v>17</v>
      </c>
      <c r="S31" s="774">
        <f t="shared" si="12"/>
        <v>100</v>
      </c>
      <c r="T31" s="773" t="s">
        <v>17</v>
      </c>
      <c r="U31" s="774">
        <f t="shared" si="13"/>
        <v>100</v>
      </c>
      <c r="V31" s="773" t="s">
        <v>17</v>
      </c>
      <c r="W31" s="774">
        <f t="shared" si="14"/>
        <v>100</v>
      </c>
      <c r="X31" s="1815"/>
      <c r="Y31" s="3246"/>
      <c r="Z31" s="1816" t="str">
        <f t="shared" si="15"/>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6"/>
      <c r="Q32" s="1812" t="str">
        <f t="shared" si="11"/>
        <v>公共部分装修</v>
      </c>
      <c r="R32" s="773" t="s">
        <v>17</v>
      </c>
      <c r="S32" s="774">
        <f t="shared" si="12"/>
        <v>100</v>
      </c>
      <c r="T32" s="773" t="s">
        <v>17</v>
      </c>
      <c r="U32" s="774">
        <f t="shared" si="13"/>
        <v>100</v>
      </c>
      <c r="V32" s="773" t="s">
        <v>17</v>
      </c>
      <c r="W32" s="774">
        <f t="shared" si="14"/>
        <v>100</v>
      </c>
      <c r="X32" s="1815"/>
      <c r="Y32" s="3246"/>
      <c r="Z32" s="1816" t="str">
        <f t="shared" si="15"/>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6"/>
      <c r="Q33" s="1812" t="str">
        <f t="shared" si="11"/>
        <v>成新度</v>
      </c>
      <c r="R33" s="773" t="s">
        <v>17</v>
      </c>
      <c r="S33" s="774" t="e">
        <f t="shared" si="12"/>
        <v>#N/A</v>
      </c>
      <c r="T33" s="773" t="s">
        <v>17</v>
      </c>
      <c r="U33" s="774" t="e">
        <f t="shared" si="13"/>
        <v>#N/A</v>
      </c>
      <c r="V33" s="773" t="s">
        <v>17</v>
      </c>
      <c r="W33" s="774" t="e">
        <f t="shared" si="14"/>
        <v>#N/A</v>
      </c>
      <c r="X33" s="1815"/>
      <c r="Y33" s="3246"/>
      <c r="Z33" s="1816" t="str">
        <f t="shared" si="15"/>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6"/>
      <c r="Q34" s="1797" t="str">
        <f t="shared" si="11"/>
        <v>物业管理</v>
      </c>
      <c r="R34" s="769" t="s">
        <v>17</v>
      </c>
      <c r="S34" s="770">
        <f t="shared" si="12"/>
        <v>100</v>
      </c>
      <c r="T34" s="769" t="s">
        <v>17</v>
      </c>
      <c r="U34" s="770">
        <f t="shared" si="13"/>
        <v>100</v>
      </c>
      <c r="V34" s="769" t="s">
        <v>17</v>
      </c>
      <c r="W34" s="770">
        <f t="shared" si="14"/>
        <v>100</v>
      </c>
      <c r="X34" s="771"/>
      <c r="Y34" s="3246"/>
      <c r="Z34" s="55" t="str">
        <f t="shared" si="15"/>
        <v>物业管理</v>
      </c>
      <c r="AA34" s="772">
        <f t="shared" si="3"/>
        <v>1</v>
      </c>
      <c r="AB34" s="772">
        <f t="shared" si="4"/>
        <v>1</v>
      </c>
      <c r="AC34" s="772">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6" t="s">
        <v>2563</v>
      </c>
      <c r="Q35" s="1812" t="str">
        <f t="shared" si="11"/>
        <v>市政基础设施</v>
      </c>
      <c r="R35" s="773" t="s">
        <v>17</v>
      </c>
      <c r="S35" s="774">
        <f t="shared" si="12"/>
        <v>100</v>
      </c>
      <c r="T35" s="773" t="s">
        <v>17</v>
      </c>
      <c r="U35" s="774">
        <f t="shared" si="13"/>
        <v>100</v>
      </c>
      <c r="V35" s="773" t="s">
        <v>17</v>
      </c>
      <c r="W35" s="774">
        <f t="shared" si="14"/>
        <v>100</v>
      </c>
      <c r="X35" s="1815"/>
      <c r="Y35" s="3246" t="s">
        <v>2563</v>
      </c>
      <c r="Z35" s="1816" t="str">
        <f t="shared" si="15"/>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6"/>
      <c r="Q36" s="1812" t="str">
        <f t="shared" si="11"/>
        <v>内部装修</v>
      </c>
      <c r="R36" s="773" t="s">
        <v>17</v>
      </c>
      <c r="S36" s="774">
        <f t="shared" si="12"/>
        <v>100</v>
      </c>
      <c r="T36" s="773" t="s">
        <v>17</v>
      </c>
      <c r="U36" s="774">
        <f t="shared" si="13"/>
        <v>100</v>
      </c>
      <c r="V36" s="773" t="s">
        <v>17</v>
      </c>
      <c r="W36" s="774">
        <f t="shared" si="14"/>
        <v>100</v>
      </c>
      <c r="X36" s="1815"/>
      <c r="Y36" s="3246"/>
      <c r="Z36" s="1816" t="str">
        <f t="shared" si="15"/>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6"/>
      <c r="Q37" s="1812" t="str">
        <f t="shared" si="11"/>
        <v>内部装修状况</v>
      </c>
      <c r="R37" s="773" t="s">
        <v>17</v>
      </c>
      <c r="S37" s="774">
        <f t="shared" si="12"/>
        <v>100</v>
      </c>
      <c r="T37" s="773" t="s">
        <v>17</v>
      </c>
      <c r="U37" s="774">
        <f t="shared" si="13"/>
        <v>100</v>
      </c>
      <c r="V37" s="773" t="s">
        <v>17</v>
      </c>
      <c r="W37" s="774">
        <f t="shared" si="14"/>
        <v>100</v>
      </c>
      <c r="X37" s="1815"/>
      <c r="Y37" s="3246"/>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6"/>
      <c r="Q38" s="775">
        <f t="shared" si="11"/>
        <v>111</v>
      </c>
      <c r="R38" s="776" t="s">
        <v>17</v>
      </c>
      <c r="S38" s="777">
        <f t="shared" si="12"/>
        <v>100</v>
      </c>
      <c r="T38" s="776" t="s">
        <v>17</v>
      </c>
      <c r="U38" s="777">
        <f t="shared" si="13"/>
        <v>100</v>
      </c>
      <c r="V38" s="776" t="s">
        <v>17</v>
      </c>
      <c r="W38" s="777">
        <f t="shared" si="14"/>
        <v>100</v>
      </c>
      <c r="X38" s="778"/>
      <c r="Y38" s="3246"/>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6"/>
      <c r="Q39" s="1812">
        <f t="shared" si="11"/>
        <v>111</v>
      </c>
      <c r="R39" s="773" t="s">
        <v>17</v>
      </c>
      <c r="S39" s="774">
        <f t="shared" si="12"/>
        <v>100</v>
      </c>
      <c r="T39" s="773" t="s">
        <v>17</v>
      </c>
      <c r="U39" s="774">
        <f t="shared" si="13"/>
        <v>100</v>
      </c>
      <c r="V39" s="773" t="s">
        <v>17</v>
      </c>
      <c r="W39" s="774">
        <f t="shared" si="14"/>
        <v>100</v>
      </c>
      <c r="X39" s="1815"/>
      <c r="Y39" s="3246"/>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47"/>
      <c r="Q40" s="1812">
        <f t="shared" si="11"/>
        <v>111</v>
      </c>
      <c r="R40" s="773" t="s">
        <v>17</v>
      </c>
      <c r="S40" s="774">
        <f t="shared" si="12"/>
        <v>100</v>
      </c>
      <c r="T40" s="773" t="s">
        <v>17</v>
      </c>
      <c r="U40" s="774">
        <f t="shared" si="13"/>
        <v>100</v>
      </c>
      <c r="V40" s="773" t="s">
        <v>17</v>
      </c>
      <c r="W40" s="774">
        <f t="shared" si="14"/>
        <v>100</v>
      </c>
      <c r="X40" s="1815"/>
      <c r="Y40" s="3247"/>
      <c r="Z40" s="1816">
        <f t="shared" si="15"/>
        <v>111</v>
      </c>
      <c r="AA40" s="1813">
        <f t="shared" si="3"/>
        <v>1</v>
      </c>
      <c r="AB40" s="1813">
        <f t="shared" si="4"/>
        <v>1</v>
      </c>
      <c r="AC40" s="1813">
        <f t="shared" si="5"/>
        <v>1</v>
      </c>
    </row>
    <row r="41" spans="1:29" ht="15">
      <c r="A41" s="479" t="s">
        <v>2575</v>
      </c>
      <c r="B41" s="480"/>
      <c r="C41" s="1409" t="s">
        <v>1</v>
      </c>
      <c r="D41" s="1410"/>
      <c r="E41" s="1411"/>
      <c r="F41" s="1412"/>
      <c r="G41" s="1413"/>
      <c r="H41" s="1414"/>
      <c r="I41" s="1411"/>
      <c r="J41" s="1414"/>
      <c r="K41" s="782"/>
      <c r="L41" s="1145"/>
      <c r="M41" s="1146"/>
      <c r="N41" s="1133"/>
      <c r="O41" s="1146"/>
      <c r="P41" s="3234" t="str">
        <f>A41</f>
        <v>成交单价（元/平方米）</v>
      </c>
      <c r="Q41" s="3234"/>
      <c r="R41" s="3235">
        <f>E41</f>
        <v>0</v>
      </c>
      <c r="S41" s="3235"/>
      <c r="T41" s="3235">
        <f>G41</f>
        <v>0</v>
      </c>
      <c r="U41" s="3235"/>
      <c r="V41" s="3235">
        <f>I41</f>
        <v>0</v>
      </c>
      <c r="W41" s="3235"/>
      <c r="X41" s="758"/>
      <c r="Y41" s="780"/>
      <c r="Z41" s="758"/>
      <c r="AA41" s="758"/>
      <c r="AB41" s="758"/>
      <c r="AC41" s="758"/>
    </row>
    <row r="42" spans="1:29" ht="15.75" thickBot="1">
      <c r="A42" s="486" t="s">
        <v>2667</v>
      </c>
      <c r="B42" s="487"/>
      <c r="C42" s="1415" t="e">
        <f>R43</f>
        <v>#DIV/0!</v>
      </c>
      <c r="D42" s="1416"/>
      <c r="E42" s="1417" t="e">
        <f>R42</f>
        <v>#DIV/0!</v>
      </c>
      <c r="F42" s="1417"/>
      <c r="G42" s="1415" t="e">
        <f>T42</f>
        <v>#DIV/0!</v>
      </c>
      <c r="H42" s="1416"/>
      <c r="I42" s="1417" t="e">
        <f>V42</f>
        <v>#DIV/0!</v>
      </c>
      <c r="J42" s="1416"/>
      <c r="K42" s="783"/>
      <c r="L42" s="1145"/>
      <c r="M42" s="1146"/>
      <c r="N42" s="1133"/>
      <c r="O42" s="1146"/>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8"/>
      <c r="Y42" s="758"/>
      <c r="Z42" s="758"/>
      <c r="AA42" s="758"/>
      <c r="AB42" s="758"/>
      <c r="AC42" s="758"/>
    </row>
    <row r="43" spans="1:29" ht="15.75" thickBot="1">
      <c r="A43" s="492" t="s">
        <v>2668</v>
      </c>
      <c r="B43" s="493"/>
      <c r="C43" s="1419" t="e">
        <f>R43</f>
        <v>#DIV/0!</v>
      </c>
      <c r="D43" s="1419"/>
      <c r="E43" s="1419"/>
      <c r="F43" s="1419"/>
      <c r="G43" s="1419"/>
      <c r="H43" s="1419"/>
      <c r="I43" s="1419"/>
      <c r="J43" s="1419"/>
      <c r="K43" s="784"/>
      <c r="L43" s="1145"/>
      <c r="M43" s="1146"/>
      <c r="N43" s="1146"/>
      <c r="O43" s="1146"/>
      <c r="P43" s="3236" t="str">
        <f>A43</f>
        <v>估价对象XX用房的比较价值（楼面单价，元/平方米）</v>
      </c>
      <c r="Q43" s="3237"/>
      <c r="R43" s="3238" t="e">
        <f>IF(F1="售价",ROUND(AVERAGE(R42:V42),0),ROUND(AVERAGE(R42:V42),1))</f>
        <v>#DIV/0!</v>
      </c>
      <c r="S43" s="3238"/>
      <c r="T43" s="3238"/>
      <c r="U43" s="3238"/>
      <c r="V43" s="3238"/>
      <c r="W43" s="323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2672</v>
      </c>
      <c r="B51" s="758"/>
      <c r="C51" s="763"/>
      <c r="D51" s="763"/>
      <c r="E51" s="763"/>
      <c r="F51" s="764"/>
      <c r="G51" s="764"/>
      <c r="H51" s="763"/>
      <c r="I51" s="763"/>
      <c r="J51" s="763"/>
      <c r="K51" s="1162"/>
      <c r="L51" s="1163"/>
      <c r="M51" s="1161"/>
      <c r="N51" s="1161"/>
      <c r="O51" s="1161"/>
      <c r="P51" s="503"/>
      <c r="Q51" s="504"/>
    </row>
    <row r="52" spans="1:17" s="508" customFormat="1" ht="15">
      <c r="A52" s="505" t="s">
        <v>2546</v>
      </c>
      <c r="B52" s="506"/>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3"/>
      <c r="O55" s="1153"/>
      <c r="P55" s="526"/>
      <c r="Q55" s="504"/>
    </row>
    <row r="56" spans="1:17" s="117" customFormat="1" ht="15.75" thickBot="1">
      <c r="A56" s="521"/>
      <c r="B56" s="510"/>
      <c r="C56" s="638">
        <v>100</v>
      </c>
      <c r="D56" s="512"/>
      <c r="E56" s="512"/>
      <c r="F56" s="512"/>
      <c r="G56" s="512"/>
      <c r="H56" s="512"/>
      <c r="I56" s="512"/>
      <c r="J56" s="512"/>
      <c r="K56" s="512"/>
      <c r="L56" s="512"/>
      <c r="M56" s="514"/>
      <c r="N56" s="1153"/>
      <c r="O56" s="1153"/>
      <c r="P56" s="504"/>
      <c r="Q56" s="504"/>
    </row>
    <row r="57" spans="1:17">
      <c r="A57" s="527" t="s">
        <v>2586</v>
      </c>
      <c r="B57" s="528" t="s">
        <v>2552</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2687</v>
      </c>
      <c r="C76" s="659" t="s">
        <v>2673</v>
      </c>
      <c r="D76" s="659" t="s">
        <v>2674</v>
      </c>
      <c r="E76" s="659" t="s">
        <v>2675</v>
      </c>
      <c r="F76" s="659" t="s">
        <v>2676</v>
      </c>
      <c r="G76" s="659" t="s">
        <v>2677</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5"/>
      <c r="O77" s="1155"/>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2561</v>
      </c>
      <c r="B88" s="528" t="s">
        <v>2610</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2612</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2614</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2"/>
      <c r="J98" s="622"/>
      <c r="K98" s="623"/>
      <c r="L98" s="624"/>
      <c r="M98" s="625"/>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2615</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2616</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2618</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5" t="s">
        <v>2704</v>
      </c>
      <c r="C106" s="578" t="s">
        <v>2595</v>
      </c>
      <c r="D106" s="578" t="s">
        <v>2596</v>
      </c>
      <c r="E106" s="578" t="s">
        <v>2597</v>
      </c>
      <c r="F106" s="578" t="s">
        <v>2598</v>
      </c>
      <c r="G106" s="578" t="s">
        <v>2599</v>
      </c>
      <c r="H106" s="539"/>
      <c r="I106" s="539"/>
      <c r="J106" s="539"/>
      <c r="K106" s="540"/>
      <c r="L106" s="541"/>
      <c r="M106" s="542"/>
      <c r="N106" s="1155"/>
      <c r="O106" s="1155"/>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华融国际信托有限责任公司：</v>
      </c>
    </row>
    <row r="4" spans="1:1" ht="36">
      <c r="A4" s="1950" t="str">
        <f>"受贵公司委托，我公司对"&amp;项目基本情况!S1&amp;"进行了预评估。"</f>
        <v>受贵公司委托，我公司对江苏省宿迁市宿城区水韵城项目部分商业用途房地产抵押价值进行了预评估。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宿迁市宿城区水韵城项目部分商业用途房地产，为宿迁用世置业有限公司所有。根据《不动产权证书》[苏2016宿迁市不动产权第0028115号等41件]、《国有土地使用证》[宿国用2015第25472号等67件]，估价对象（分摊）出让国有建设用地使用权面积为909.82平方米，建筑面积为4834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宿迁市宿城区水韵城项目部分商业用途房地产,属宿迁用世置业有限公司开发建设的商业项目，该项目尚在开发建设中。根据《不动产权证书》[苏2016宿迁市不动产权第0028115号等41件]、《国有土地使用证》[宿国用2015第25472号等67件]，估价对象（分摊）出让国有建设用地使用权面积为909.82平方米，规划建筑面积为4834平方米。</v>
      </c>
    </row>
    <row r="11" spans="1:1" ht="76.5">
      <c r="A11" s="1953" t="s">
        <v>1615</v>
      </c>
    </row>
    <row r="12" spans="1:1" ht="18.75">
      <c r="A12" s="1951" t="s">
        <v>1616</v>
      </c>
    </row>
    <row r="13" spans="1:1" ht="38.25" customHeight="1">
      <c r="A13" s="1954" t="str">
        <f>IF(项目基本情况!B8="抵押",IF(项目基本情况!B5=项目基本情况!B6,定义!C51,定义!B51),定义!D51)</f>
        <v>中科建设开发总公司拟使用江苏省宿迁市宿城区水韵城项目部分商业用途房地产作为抵押担保物，向华融国际信托有限责任公司办理贷款手续。华融国际信托有限责任公司特委托北京康正宏基房地产评估有限公司对上述抵押物进行评估。本次评估为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2018年4月12日（评估专业人员实地查勘之日）</v>
      </c>
    </row>
    <row r="16" spans="1:1" ht="18.75">
      <c r="A16" s="1955" t="s">
        <v>1618</v>
      </c>
    </row>
    <row r="17" spans="1:1" ht="75">
      <c r="A17" s="1950" t="s">
        <v>1619</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12日，估价对象规划用途为商业，土地取得方式为出让，出让国有建设用地使用权剩余土地使用年限为商业34.26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商业34.26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1608</v>
      </c>
    </row>
    <row r="24" spans="1:1" ht="18">
      <c r="A24" s="1957" t="str">
        <f>"本次评估采用的主估价方法为"&amp;结果表!K4&amp;"和"&amp;结果表!L4&amp;"。"</f>
        <v>本次评估采用的主估价方法为收益法和比较法。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4"/>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0" t="e">
        <f ca="1">IF(C2="——",IF(B37="元/平方米",ROUND(C39*D3/10000,0),ROUND(F3*C39/10000,0)),IF(B37="元/平方米",ROUND(C39*D3/10000,0),ROUND(F3*C39/10000,0))-D2)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51" t="s">
        <v>2646</v>
      </c>
      <c r="AC4" s="3250" t="s">
        <v>2647</v>
      </c>
    </row>
    <row r="5" spans="1:29" ht="15">
      <c r="A5" s="404"/>
      <c r="B5" s="405"/>
      <c r="C5" s="3303" t="s">
        <v>2540</v>
      </c>
      <c r="D5" s="3272"/>
      <c r="E5" s="3305" t="s">
        <v>2541</v>
      </c>
      <c r="F5" s="3280"/>
      <c r="G5" s="3303" t="s">
        <v>2542</v>
      </c>
      <c r="H5" s="3272"/>
      <c r="I5" s="3303" t="s">
        <v>2543</v>
      </c>
      <c r="J5" s="3272"/>
      <c r="K5" s="610"/>
      <c r="L5" s="1132"/>
      <c r="M5" s="1133"/>
      <c r="N5" s="1133"/>
      <c r="O5" s="1133"/>
      <c r="P5" s="3259"/>
      <c r="Q5" s="3260"/>
      <c r="R5" s="3265"/>
      <c r="S5" s="3266"/>
      <c r="T5" s="3265"/>
      <c r="U5" s="3266"/>
      <c r="V5" s="3248"/>
      <c r="W5" s="3248"/>
      <c r="X5" s="1815"/>
      <c r="Y5" s="3265"/>
      <c r="Z5" s="3266"/>
      <c r="AA5" s="3251"/>
      <c r="AB5" s="3251"/>
      <c r="AC5" s="3251"/>
    </row>
    <row r="6" spans="1:29" ht="15.75" thickBot="1">
      <c r="A6" s="406"/>
      <c r="B6" s="407"/>
      <c r="C6" s="3276" t="s">
        <v>2544</v>
      </c>
      <c r="D6" s="3270"/>
      <c r="E6" s="3304" t="s">
        <v>2544</v>
      </c>
      <c r="F6" s="3278"/>
      <c r="G6" s="3276" t="s">
        <v>2544</v>
      </c>
      <c r="H6" s="3270"/>
      <c r="I6" s="3276" t="s">
        <v>2544</v>
      </c>
      <c r="J6" s="3270"/>
      <c r="K6" s="610" t="s">
        <v>2545</v>
      </c>
      <c r="L6" s="1132"/>
      <c r="M6" s="1133"/>
      <c r="N6" s="1133"/>
      <c r="O6" s="1133"/>
      <c r="P6" s="3261"/>
      <c r="Q6" s="3262"/>
      <c r="R6" s="3265"/>
      <c r="S6" s="3266"/>
      <c r="T6" s="3267"/>
      <c r="U6" s="3268"/>
      <c r="V6" s="3248"/>
      <c r="W6" s="3248"/>
      <c r="X6" s="1815"/>
      <c r="Y6" s="3267"/>
      <c r="Z6" s="3268"/>
      <c r="AA6" s="3252"/>
      <c r="AB6" s="3252"/>
      <c r="AC6" s="3252"/>
    </row>
    <row r="7" spans="1:29" s="117" customFormat="1" ht="15.75" thickBot="1">
      <c r="A7" s="408" t="s">
        <v>2546</v>
      </c>
      <c r="B7" s="409"/>
      <c r="C7" s="410">
        <f>'数据-取费表'!B2</f>
        <v>43202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73" t="s">
        <v>2547</v>
      </c>
      <c r="Q7" s="3275"/>
      <c r="R7" s="769" t="s">
        <v>17</v>
      </c>
      <c r="S7" s="770">
        <f t="shared" ref="S7:S14" si="0">F7</f>
        <v>0</v>
      </c>
      <c r="T7" s="769" t="s">
        <v>17</v>
      </c>
      <c r="U7" s="770">
        <f t="shared" ref="U7:U14" si="1">H7</f>
        <v>0</v>
      </c>
      <c r="V7" s="769" t="s">
        <v>17</v>
      </c>
      <c r="W7" s="770">
        <f t="shared" ref="W7:W14" si="2">J7</f>
        <v>0</v>
      </c>
      <c r="X7" s="771"/>
      <c r="Y7" s="3273" t="s">
        <v>2547</v>
      </c>
      <c r="Z7" s="3274"/>
      <c r="AA7" s="772" t="e">
        <f>D7/F7</f>
        <v>#DIV/0!</v>
      </c>
      <c r="AB7" s="772" t="e">
        <f>D7/H7</f>
        <v>#DIV/0!</v>
      </c>
      <c r="AC7" s="772"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73" t="s">
        <v>2550</v>
      </c>
      <c r="Q8" s="3274"/>
      <c r="R8" s="769" t="s">
        <v>17</v>
      </c>
      <c r="S8" s="770">
        <f t="shared" si="0"/>
        <v>0</v>
      </c>
      <c r="T8" s="769" t="s">
        <v>17</v>
      </c>
      <c r="U8" s="770">
        <f t="shared" si="1"/>
        <v>0</v>
      </c>
      <c r="V8" s="769" t="s">
        <v>17</v>
      </c>
      <c r="W8" s="770">
        <f t="shared" si="2"/>
        <v>0</v>
      </c>
      <c r="X8" s="771"/>
      <c r="Y8" s="3273" t="s">
        <v>2550</v>
      </c>
      <c r="Z8" s="3274"/>
      <c r="AA8" s="772" t="e">
        <f t="shared" ref="AA8:AA36" si="3">D8/F8</f>
        <v>#DIV/0!</v>
      </c>
      <c r="AB8" s="772" t="e">
        <f t="shared" ref="AB8:AB36" si="4">D8/H8</f>
        <v>#DIV/0!</v>
      </c>
      <c r="AC8" s="772" t="e">
        <f t="shared" ref="AC8:AC36" si="5">D8/J8</f>
        <v>#DIV/0!</v>
      </c>
    </row>
    <row r="9" spans="1:29" s="117" customFormat="1">
      <c r="A9" s="68" t="s">
        <v>2551</v>
      </c>
      <c r="B9" s="639" t="s">
        <v>2552</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34" t="s">
        <v>2553</v>
      </c>
      <c r="Q9" s="1797" t="str">
        <f t="shared" ref="Q9:Q14" si="6">B9</f>
        <v>用途</v>
      </c>
      <c r="R9" s="769" t="s">
        <v>17</v>
      </c>
      <c r="S9" s="770">
        <f t="shared" si="0"/>
        <v>100</v>
      </c>
      <c r="T9" s="769" t="s">
        <v>17</v>
      </c>
      <c r="U9" s="770">
        <f t="shared" si="1"/>
        <v>100</v>
      </c>
      <c r="V9" s="769" t="s">
        <v>17</v>
      </c>
      <c r="W9" s="770">
        <f t="shared" si="2"/>
        <v>100</v>
      </c>
      <c r="X9" s="771"/>
      <c r="Y9" s="3084" t="s">
        <v>2554</v>
      </c>
      <c r="Z9" s="55" t="str">
        <f t="shared" ref="Z9:Z14" si="7">Q9</f>
        <v>用途</v>
      </c>
      <c r="AA9" s="772">
        <f t="shared" si="3"/>
        <v>1</v>
      </c>
      <c r="AB9" s="772">
        <f t="shared" si="4"/>
        <v>1</v>
      </c>
      <c r="AC9" s="772">
        <f t="shared" si="5"/>
        <v>1</v>
      </c>
    </row>
    <row r="10" spans="1:29" s="427" customFormat="1" ht="27">
      <c r="A10" s="640"/>
      <c r="B10" s="641" t="s">
        <v>2555</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34"/>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34"/>
      <c r="Q11" s="1797">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34"/>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34"/>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85.5">
      <c r="A14" s="401" t="s">
        <v>2557</v>
      </c>
      <c r="B14" s="628"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1" t="s">
        <v>2558</v>
      </c>
      <c r="Q14" s="1812" t="str">
        <f t="shared" si="6"/>
        <v>交通便捷度</v>
      </c>
      <c r="R14" s="773" t="s">
        <v>17</v>
      </c>
      <c r="S14" s="774">
        <f t="shared" si="0"/>
        <v>100</v>
      </c>
      <c r="T14" s="773" t="s">
        <v>17</v>
      </c>
      <c r="U14" s="774">
        <f t="shared" si="1"/>
        <v>100</v>
      </c>
      <c r="V14" s="773" t="s">
        <v>17</v>
      </c>
      <c r="W14" s="774">
        <f t="shared" si="2"/>
        <v>100</v>
      </c>
      <c r="X14" s="1815"/>
      <c r="Y14" s="3241" t="s">
        <v>2558</v>
      </c>
      <c r="Z14" s="1816" t="str">
        <f t="shared" si="7"/>
        <v>交通便捷度</v>
      </c>
      <c r="AA14" s="1813">
        <f t="shared" si="3"/>
        <v>1</v>
      </c>
      <c r="AB14" s="1813">
        <f t="shared" si="4"/>
        <v>1</v>
      </c>
      <c r="AC14" s="1813">
        <f t="shared" si="5"/>
        <v>1</v>
      </c>
    </row>
    <row r="15" spans="1:29" ht="15">
      <c r="A15" s="404"/>
      <c r="B15" s="646"/>
      <c r="C15" s="447"/>
      <c r="D15" s="448"/>
      <c r="E15" s="447"/>
      <c r="F15" s="449"/>
      <c r="G15" s="447"/>
      <c r="H15" s="450"/>
      <c r="I15" s="447"/>
      <c r="J15" s="448"/>
      <c r="K15" s="615"/>
      <c r="L15" s="1142"/>
      <c r="M15" s="1133"/>
      <c r="N15" s="1133"/>
      <c r="O15" s="1133"/>
      <c r="P15" s="3242"/>
      <c r="Q15" s="1812"/>
      <c r="R15" s="773"/>
      <c r="S15" s="774"/>
      <c r="T15" s="773"/>
      <c r="U15" s="774"/>
      <c r="V15" s="773"/>
      <c r="W15" s="774"/>
      <c r="X15" s="1815"/>
      <c r="Y15" s="3242"/>
      <c r="Z15" s="1816"/>
      <c r="AA15" s="1813">
        <v>1</v>
      </c>
      <c r="AB15" s="1813">
        <v>1</v>
      </c>
      <c r="AC15" s="1813">
        <v>1</v>
      </c>
    </row>
    <row r="16" spans="1:29" ht="42.75">
      <c r="A16" s="404"/>
      <c r="B16" s="630"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2"/>
      <c r="Q16" s="1812" t="str">
        <f>B16</f>
        <v>公共配套设施</v>
      </c>
      <c r="R16" s="773" t="s">
        <v>17</v>
      </c>
      <c r="S16" s="774">
        <f>F16</f>
        <v>100</v>
      </c>
      <c r="T16" s="773" t="s">
        <v>17</v>
      </c>
      <c r="U16" s="774">
        <f>H16</f>
        <v>100</v>
      </c>
      <c r="V16" s="773" t="s">
        <v>17</v>
      </c>
      <c r="W16" s="774">
        <f>J16</f>
        <v>100</v>
      </c>
      <c r="X16" s="1815"/>
      <c r="Y16" s="3242"/>
      <c r="Z16" s="1816" t="str">
        <f>Q16</f>
        <v>公共配套设施</v>
      </c>
      <c r="AA16" s="1813">
        <f t="shared" si="3"/>
        <v>1</v>
      </c>
      <c r="AB16" s="1813">
        <f t="shared" si="4"/>
        <v>1</v>
      </c>
      <c r="AC16" s="1813">
        <f t="shared" si="5"/>
        <v>1</v>
      </c>
    </row>
    <row r="17" spans="1:29" ht="15">
      <c r="A17" s="404"/>
      <c r="B17" s="631"/>
      <c r="C17" s="2608"/>
      <c r="D17" s="448"/>
      <c r="E17" s="447"/>
      <c r="F17" s="449"/>
      <c r="G17" s="447"/>
      <c r="H17" s="448"/>
      <c r="I17" s="447"/>
      <c r="J17" s="448"/>
      <c r="K17" s="615"/>
      <c r="L17" s="1142"/>
      <c r="M17" s="1133"/>
      <c r="N17" s="1133"/>
      <c r="O17" s="1133"/>
      <c r="P17" s="3242"/>
      <c r="Q17" s="1812"/>
      <c r="R17" s="773"/>
      <c r="S17" s="774"/>
      <c r="T17" s="773"/>
      <c r="U17" s="774"/>
      <c r="V17" s="773"/>
      <c r="W17" s="774"/>
      <c r="X17" s="1815"/>
      <c r="Y17" s="3242"/>
      <c r="Z17" s="1816"/>
      <c r="AA17" s="1813">
        <v>1</v>
      </c>
      <c r="AB17" s="1813">
        <v>1</v>
      </c>
      <c r="AC17" s="1813">
        <v>1</v>
      </c>
    </row>
    <row r="18" spans="1:29" ht="28.5">
      <c r="A18" s="404"/>
      <c r="B18" s="632"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2"/>
      <c r="Q18" s="1812" t="str">
        <f>B18</f>
        <v>基础设施水平</v>
      </c>
      <c r="R18" s="773" t="s">
        <v>17</v>
      </c>
      <c r="S18" s="774">
        <f>F18</f>
        <v>100</v>
      </c>
      <c r="T18" s="773" t="s">
        <v>17</v>
      </c>
      <c r="U18" s="774">
        <f>H18</f>
        <v>100</v>
      </c>
      <c r="V18" s="773" t="s">
        <v>17</v>
      </c>
      <c r="W18" s="774">
        <f>J18</f>
        <v>100</v>
      </c>
      <c r="X18" s="1815"/>
      <c r="Y18" s="3242"/>
      <c r="Z18" s="1816" t="str">
        <f>Q18</f>
        <v>基础设施水平</v>
      </c>
      <c r="AA18" s="1813">
        <f t="shared" ref="AA18" si="8">D18/F18</f>
        <v>1</v>
      </c>
      <c r="AB18" s="1813">
        <f t="shared" ref="AB18" si="9">D18/H18</f>
        <v>1</v>
      </c>
      <c r="AC18" s="1813">
        <f t="shared" ref="AC18" si="10">D18/J18</f>
        <v>1</v>
      </c>
    </row>
    <row r="19" spans="1:29" ht="15">
      <c r="A19" s="404"/>
      <c r="B19" s="632"/>
      <c r="C19" s="2608"/>
      <c r="D19" s="450"/>
      <c r="E19" s="2608"/>
      <c r="F19" s="453"/>
      <c r="G19" s="2608"/>
      <c r="H19" s="448"/>
      <c r="I19" s="447"/>
      <c r="J19" s="448"/>
      <c r="K19" s="1385"/>
      <c r="L19" s="1142"/>
      <c r="M19" s="1133"/>
      <c r="N19" s="1133"/>
      <c r="O19" s="1133"/>
      <c r="P19" s="3242"/>
      <c r="Q19" s="1812"/>
      <c r="R19" s="773"/>
      <c r="S19" s="774"/>
      <c r="T19" s="773"/>
      <c r="U19" s="774"/>
      <c r="V19" s="773"/>
      <c r="W19" s="774"/>
      <c r="X19" s="1815"/>
      <c r="Y19" s="3242"/>
      <c r="Z19" s="1816"/>
      <c r="AA19" s="1813">
        <v>1</v>
      </c>
      <c r="AB19" s="1813">
        <v>1</v>
      </c>
      <c r="AC19" s="1813">
        <v>1</v>
      </c>
    </row>
    <row r="20" spans="1:29" ht="57">
      <c r="A20" s="404"/>
      <c r="B20" s="630"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2"/>
      <c r="Q20" s="1812" t="str">
        <f>B20</f>
        <v>自然及人文环境</v>
      </c>
      <c r="R20" s="773" t="s">
        <v>17</v>
      </c>
      <c r="S20" s="774">
        <f>F20</f>
        <v>100</v>
      </c>
      <c r="T20" s="773" t="s">
        <v>17</v>
      </c>
      <c r="U20" s="774">
        <f>H20</f>
        <v>100</v>
      </c>
      <c r="V20" s="773" t="s">
        <v>17</v>
      </c>
      <c r="W20" s="774">
        <f>J20</f>
        <v>100</v>
      </c>
      <c r="X20" s="1815"/>
      <c r="Y20" s="3242"/>
      <c r="Z20" s="1816" t="str">
        <f>Q20</f>
        <v>自然及人文环境</v>
      </c>
      <c r="AA20" s="1813">
        <f t="shared" si="3"/>
        <v>1</v>
      </c>
      <c r="AB20" s="1813">
        <f t="shared" si="4"/>
        <v>1</v>
      </c>
      <c r="AC20" s="1813">
        <f t="shared" si="5"/>
        <v>1</v>
      </c>
    </row>
    <row r="21" spans="1:29" ht="15">
      <c r="A21" s="404"/>
      <c r="B21" s="631"/>
      <c r="C21" s="447"/>
      <c r="D21" s="448"/>
      <c r="E21" s="447"/>
      <c r="F21" s="449"/>
      <c r="G21" s="447"/>
      <c r="H21" s="448"/>
      <c r="I21" s="447"/>
      <c r="J21" s="448"/>
      <c r="K21" s="615"/>
      <c r="L21" s="1142"/>
      <c r="M21" s="1133"/>
      <c r="N21" s="1133"/>
      <c r="O21" s="1133"/>
      <c r="P21" s="3242"/>
      <c r="Q21" s="1812"/>
      <c r="R21" s="773"/>
      <c r="S21" s="774"/>
      <c r="T21" s="773"/>
      <c r="U21" s="774"/>
      <c r="V21" s="773"/>
      <c r="W21" s="774"/>
      <c r="X21" s="1815"/>
      <c r="Y21" s="3242"/>
      <c r="Z21" s="1816"/>
      <c r="AA21" s="1813">
        <v>1</v>
      </c>
      <c r="AB21" s="1813">
        <v>1</v>
      </c>
      <c r="AC21" s="1813">
        <v>1</v>
      </c>
    </row>
    <row r="22" spans="1:29" ht="15">
      <c r="A22" s="404"/>
      <c r="B22" s="630" t="s">
        <v>2709</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2"/>
      <c r="Q22" s="1812" t="str">
        <f>B22</f>
        <v>楼层</v>
      </c>
      <c r="R22" s="773" t="s">
        <v>17</v>
      </c>
      <c r="S22" s="774">
        <f>F22</f>
        <v>100</v>
      </c>
      <c r="T22" s="773" t="s">
        <v>17</v>
      </c>
      <c r="U22" s="774">
        <f>H22</f>
        <v>100</v>
      </c>
      <c r="V22" s="773" t="s">
        <v>17</v>
      </c>
      <c r="W22" s="774">
        <f>J22</f>
        <v>100</v>
      </c>
      <c r="X22" s="1815"/>
      <c r="Y22" s="3242"/>
      <c r="Z22" s="1816" t="str">
        <f>Q22</f>
        <v>楼层</v>
      </c>
      <c r="AA22" s="1813">
        <f t="shared" si="3"/>
        <v>1</v>
      </c>
      <c r="AB22" s="1813">
        <f t="shared" si="4"/>
        <v>1</v>
      </c>
      <c r="AC22" s="1813">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2"/>
      <c r="Q23" s="1812">
        <f>B23</f>
        <v>111</v>
      </c>
      <c r="R23" s="773" t="s">
        <v>17</v>
      </c>
      <c r="S23" s="774">
        <f>F23</f>
        <v>100</v>
      </c>
      <c r="T23" s="773" t="s">
        <v>17</v>
      </c>
      <c r="U23" s="774">
        <f>H23</f>
        <v>100</v>
      </c>
      <c r="V23" s="773" t="s">
        <v>17</v>
      </c>
      <c r="W23" s="774">
        <f>J23</f>
        <v>100</v>
      </c>
      <c r="X23" s="1815"/>
      <c r="Y23" s="3242"/>
      <c r="Z23" s="1816">
        <f>Q23</f>
        <v>111</v>
      </c>
      <c r="AA23" s="1813">
        <f t="shared" si="3"/>
        <v>1</v>
      </c>
      <c r="AB23" s="1813">
        <f t="shared" si="4"/>
        <v>1</v>
      </c>
      <c r="AC23" s="1813">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2"/>
      <c r="Q24" s="1812">
        <f t="shared" ref="Q24:Q36" si="11">B24</f>
        <v>111</v>
      </c>
      <c r="R24" s="773" t="s">
        <v>17</v>
      </c>
      <c r="S24" s="774">
        <f>F24</f>
        <v>100</v>
      </c>
      <c r="T24" s="773" t="s">
        <v>17</v>
      </c>
      <c r="U24" s="774">
        <f>H24</f>
        <v>100</v>
      </c>
      <c r="V24" s="773" t="s">
        <v>17</v>
      </c>
      <c r="W24" s="774">
        <f>J24</f>
        <v>100</v>
      </c>
      <c r="X24" s="1815"/>
      <c r="Y24" s="3242"/>
      <c r="Z24" s="1816">
        <f>Q24</f>
        <v>111</v>
      </c>
      <c r="AA24" s="1813">
        <f t="shared" si="3"/>
        <v>1</v>
      </c>
      <c r="AB24" s="1813">
        <f t="shared" si="4"/>
        <v>1</v>
      </c>
      <c r="AC24" s="1813">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34"/>
      <c r="M25" s="1135"/>
      <c r="N25" s="1135"/>
      <c r="O25" s="1135"/>
      <c r="P25" s="3242"/>
      <c r="Q25" s="1797">
        <f t="shared" si="11"/>
        <v>111</v>
      </c>
      <c r="R25" s="769" t="s">
        <v>17</v>
      </c>
      <c r="S25" s="770">
        <f>F25</f>
        <v>100</v>
      </c>
      <c r="T25" s="769" t="s">
        <v>17</v>
      </c>
      <c r="U25" s="770">
        <f>H25</f>
        <v>100</v>
      </c>
      <c r="V25" s="769" t="s">
        <v>17</v>
      </c>
      <c r="W25" s="770">
        <f>J25</f>
        <v>100</v>
      </c>
      <c r="X25" s="771"/>
      <c r="Y25" s="3242"/>
      <c r="Z25" s="55">
        <f>Q25</f>
        <v>111</v>
      </c>
      <c r="AA25" s="1813">
        <f>D25/F25</f>
        <v>1</v>
      </c>
      <c r="AB25" s="1813">
        <f>D25/H25</f>
        <v>1</v>
      </c>
      <c r="AC25" s="1813">
        <f>D25/J25</f>
        <v>1</v>
      </c>
    </row>
    <row r="26" spans="1:29" ht="15">
      <c r="A26" s="651"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321" t="s">
        <v>2563</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46" t="s">
        <v>2563</v>
      </c>
      <c r="Z26" s="1816" t="str">
        <f t="shared" ref="Z26:Z36" si="15">Q26</f>
        <v>配套类型</v>
      </c>
      <c r="AA26" s="1813">
        <f t="shared" si="3"/>
        <v>1</v>
      </c>
      <c r="AB26" s="1813">
        <f t="shared" si="4"/>
        <v>1</v>
      </c>
      <c r="AC26" s="1813">
        <f t="shared" si="5"/>
        <v>1</v>
      </c>
    </row>
    <row r="27" spans="1:29" s="471" customFormat="1" ht="15">
      <c r="A27" s="652"/>
      <c r="B27" s="653" t="s">
        <v>2711</v>
      </c>
      <c r="C27" s="654"/>
      <c r="D27" s="136">
        <v>100</v>
      </c>
      <c r="E27" s="654"/>
      <c r="F27" s="461">
        <f>SUMIF(81:81,E27,82:82)-SUMIF(81:81,C27,82:82)+100</f>
        <v>100</v>
      </c>
      <c r="G27" s="654"/>
      <c r="H27" s="435">
        <f>SUMIF(81:81,G27,82:82)-SUMIF(81:81,C27,82:82)+100</f>
        <v>100</v>
      </c>
      <c r="I27" s="654"/>
      <c r="J27" s="435">
        <f>SUMIF(81:81,I27,82:82)-SUMIF(81:81,C27,82:82)+100</f>
        <v>100</v>
      </c>
      <c r="K27" s="613"/>
      <c r="L27" s="1140"/>
      <c r="M27" s="1143"/>
      <c r="N27" s="1143"/>
      <c r="O27" s="1143"/>
      <c r="P27" s="3246"/>
      <c r="Q27" s="775" t="str">
        <f t="shared" si="11"/>
        <v>项目停车位配比</v>
      </c>
      <c r="R27" s="776" t="s">
        <v>17</v>
      </c>
      <c r="S27" s="777">
        <f t="shared" si="12"/>
        <v>100</v>
      </c>
      <c r="T27" s="776" t="s">
        <v>17</v>
      </c>
      <c r="U27" s="777">
        <f t="shared" si="13"/>
        <v>100</v>
      </c>
      <c r="V27" s="776" t="s">
        <v>17</v>
      </c>
      <c r="W27" s="777">
        <f t="shared" si="14"/>
        <v>100</v>
      </c>
      <c r="X27" s="778"/>
      <c r="Y27" s="3246"/>
      <c r="Z27" s="779" t="str">
        <f t="shared" si="15"/>
        <v>项目停车位配比</v>
      </c>
      <c r="AA27" s="1813">
        <f t="shared" si="3"/>
        <v>1</v>
      </c>
      <c r="AB27" s="1813">
        <f t="shared" si="4"/>
        <v>1</v>
      </c>
      <c r="AC27" s="1813">
        <f t="shared" si="5"/>
        <v>1</v>
      </c>
    </row>
    <row r="28" spans="1:29" ht="15">
      <c r="A28" s="655"/>
      <c r="B28" s="653" t="s">
        <v>2712</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6"/>
      <c r="Q28" s="1812" t="str">
        <f t="shared" si="11"/>
        <v>公共部分装修</v>
      </c>
      <c r="R28" s="773" t="s">
        <v>17</v>
      </c>
      <c r="S28" s="774">
        <f t="shared" si="12"/>
        <v>100</v>
      </c>
      <c r="T28" s="773" t="s">
        <v>17</v>
      </c>
      <c r="U28" s="774">
        <f t="shared" si="13"/>
        <v>100</v>
      </c>
      <c r="V28" s="773" t="s">
        <v>17</v>
      </c>
      <c r="W28" s="774">
        <f t="shared" si="14"/>
        <v>100</v>
      </c>
      <c r="X28" s="1815"/>
      <c r="Y28" s="3246"/>
      <c r="Z28" s="1816" t="str">
        <f t="shared" si="15"/>
        <v>公共部分装修</v>
      </c>
      <c r="AA28" s="1813">
        <f t="shared" si="3"/>
        <v>1</v>
      </c>
      <c r="AB28" s="1813">
        <f t="shared" si="4"/>
        <v>1</v>
      </c>
      <c r="AC28" s="1813">
        <f t="shared" si="5"/>
        <v>1</v>
      </c>
    </row>
    <row r="29" spans="1:29" ht="15">
      <c r="A29" s="655"/>
      <c r="B29" s="653"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6"/>
      <c r="Q29" s="1812" t="str">
        <f t="shared" si="11"/>
        <v>成新率</v>
      </c>
      <c r="R29" s="773" t="s">
        <v>17</v>
      </c>
      <c r="S29" s="774" t="e">
        <f t="shared" si="12"/>
        <v>#N/A</v>
      </c>
      <c r="T29" s="773" t="s">
        <v>17</v>
      </c>
      <c r="U29" s="774" t="e">
        <f t="shared" si="13"/>
        <v>#N/A</v>
      </c>
      <c r="V29" s="773" t="s">
        <v>17</v>
      </c>
      <c r="W29" s="774" t="e">
        <f t="shared" si="14"/>
        <v>#N/A</v>
      </c>
      <c r="X29" s="1815"/>
      <c r="Y29" s="3246"/>
      <c r="Z29" s="1816" t="str">
        <f t="shared" si="15"/>
        <v>成新率</v>
      </c>
      <c r="AA29" s="1813" t="e">
        <f t="shared" si="3"/>
        <v>#N/A</v>
      </c>
      <c r="AB29" s="1813" t="e">
        <f t="shared" si="4"/>
        <v>#N/A</v>
      </c>
      <c r="AC29" s="1813" t="e">
        <f t="shared" si="5"/>
        <v>#N/A</v>
      </c>
    </row>
    <row r="30" spans="1:29" ht="15">
      <c r="A30" s="655"/>
      <c r="B30" s="653" t="s">
        <v>2714</v>
      </c>
      <c r="C30" s="656"/>
      <c r="D30" s="435">
        <v>100</v>
      </c>
      <c r="E30" s="656"/>
      <c r="F30" s="461">
        <f>SUMIF(88:88,E30,89:89)-SUMIF(88:88,C30,89:89)+100</f>
        <v>100</v>
      </c>
      <c r="G30" s="656"/>
      <c r="H30" s="435">
        <f>SUMIF(88:88,E30,89:89)-SUMIF(88:88,C30,89:89)+100</f>
        <v>100</v>
      </c>
      <c r="I30" s="656"/>
      <c r="J30" s="435">
        <f>SUMIF(88:88,E30,89:89)-SUMIF(88:88,C30,89:89)+100</f>
        <v>100</v>
      </c>
      <c r="K30" s="612"/>
      <c r="L30" s="1142"/>
      <c r="M30" s="1133"/>
      <c r="N30" s="1133"/>
      <c r="O30" s="1133"/>
      <c r="P30" s="3246"/>
      <c r="Q30" s="1812" t="str">
        <f t="shared" si="11"/>
        <v>物业等级</v>
      </c>
      <c r="R30" s="773" t="s">
        <v>17</v>
      </c>
      <c r="S30" s="774">
        <f t="shared" si="12"/>
        <v>100</v>
      </c>
      <c r="T30" s="773" t="s">
        <v>17</v>
      </c>
      <c r="U30" s="774">
        <f t="shared" si="13"/>
        <v>100</v>
      </c>
      <c r="V30" s="773" t="s">
        <v>17</v>
      </c>
      <c r="W30" s="774">
        <f t="shared" si="14"/>
        <v>100</v>
      </c>
      <c r="X30" s="1815"/>
      <c r="Y30" s="3246"/>
      <c r="Z30" s="1816" t="str">
        <f t="shared" si="15"/>
        <v>物业等级</v>
      </c>
      <c r="AA30" s="1813">
        <f t="shared" si="3"/>
        <v>1</v>
      </c>
      <c r="AB30" s="1813">
        <f t="shared" si="4"/>
        <v>1</v>
      </c>
      <c r="AC30" s="1813">
        <f t="shared" si="5"/>
        <v>1</v>
      </c>
    </row>
    <row r="31" spans="1:29" s="117" customFormat="1" ht="15">
      <c r="A31" s="657"/>
      <c r="B31" s="653"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6"/>
      <c r="Q31" s="1797" t="str">
        <f t="shared" si="11"/>
        <v>停车位面积</v>
      </c>
      <c r="R31" s="769" t="s">
        <v>17</v>
      </c>
      <c r="S31" s="770" t="e">
        <f t="shared" si="12"/>
        <v>#N/A</v>
      </c>
      <c r="T31" s="769" t="s">
        <v>17</v>
      </c>
      <c r="U31" s="770" t="e">
        <f t="shared" si="13"/>
        <v>#N/A</v>
      </c>
      <c r="V31" s="769" t="s">
        <v>17</v>
      </c>
      <c r="W31" s="770" t="e">
        <f t="shared" si="14"/>
        <v>#N/A</v>
      </c>
      <c r="X31" s="771"/>
      <c r="Y31" s="3246"/>
      <c r="Z31" s="55" t="str">
        <f t="shared" si="15"/>
        <v>停车位面积</v>
      </c>
      <c r="AA31" s="772" t="e">
        <f t="shared" si="3"/>
        <v>#N/A</v>
      </c>
      <c r="AB31" s="772" t="e">
        <f t="shared" si="4"/>
        <v>#N/A</v>
      </c>
      <c r="AC31" s="772" t="e">
        <f t="shared" si="5"/>
        <v>#N/A</v>
      </c>
    </row>
    <row r="32" spans="1:29" ht="15">
      <c r="A32" s="655"/>
      <c r="B32" s="653" t="s">
        <v>2716</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6" t="s">
        <v>2563</v>
      </c>
      <c r="Q32" s="1812" t="str">
        <f t="shared" si="11"/>
        <v>车位类型</v>
      </c>
      <c r="R32" s="773" t="s">
        <v>17</v>
      </c>
      <c r="S32" s="774">
        <f t="shared" si="12"/>
        <v>100</v>
      </c>
      <c r="T32" s="773" t="s">
        <v>17</v>
      </c>
      <c r="U32" s="774">
        <f t="shared" si="13"/>
        <v>100</v>
      </c>
      <c r="V32" s="773" t="s">
        <v>17</v>
      </c>
      <c r="W32" s="774">
        <f t="shared" si="14"/>
        <v>100</v>
      </c>
      <c r="X32" s="1815"/>
      <c r="Y32" s="3246" t="s">
        <v>2563</v>
      </c>
      <c r="Z32" s="1816" t="str">
        <f t="shared" si="15"/>
        <v>车位类型</v>
      </c>
      <c r="AA32" s="1813">
        <f t="shared" si="3"/>
        <v>1</v>
      </c>
      <c r="AB32" s="1813">
        <f t="shared" si="4"/>
        <v>1</v>
      </c>
      <c r="AC32" s="1813">
        <f t="shared" si="5"/>
        <v>1</v>
      </c>
    </row>
    <row r="33" spans="1:29" ht="15">
      <c r="A33" s="655"/>
      <c r="B33" s="653" t="s">
        <v>2717</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6"/>
      <c r="Q33" s="1812" t="str">
        <f t="shared" si="11"/>
        <v>是否直接入户</v>
      </c>
      <c r="R33" s="773" t="s">
        <v>17</v>
      </c>
      <c r="S33" s="774">
        <f t="shared" si="12"/>
        <v>100</v>
      </c>
      <c r="T33" s="773" t="s">
        <v>17</v>
      </c>
      <c r="U33" s="774">
        <f t="shared" si="13"/>
        <v>100</v>
      </c>
      <c r="V33" s="773" t="s">
        <v>17</v>
      </c>
      <c r="W33" s="774">
        <f t="shared" si="14"/>
        <v>100</v>
      </c>
      <c r="X33" s="1815"/>
      <c r="Y33" s="3246"/>
      <c r="Z33" s="1816" t="str">
        <f t="shared" si="15"/>
        <v>是否直接入户</v>
      </c>
      <c r="AA33" s="1813">
        <f t="shared" si="3"/>
        <v>1</v>
      </c>
      <c r="AB33" s="1813">
        <f t="shared" si="4"/>
        <v>1</v>
      </c>
      <c r="AC33" s="1813">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6"/>
      <c r="Q34" s="1812">
        <f t="shared" si="11"/>
        <v>111</v>
      </c>
      <c r="R34" s="773" t="s">
        <v>17</v>
      </c>
      <c r="S34" s="774">
        <f t="shared" si="12"/>
        <v>100</v>
      </c>
      <c r="T34" s="773" t="s">
        <v>17</v>
      </c>
      <c r="U34" s="774">
        <f t="shared" si="13"/>
        <v>100</v>
      </c>
      <c r="V34" s="773" t="s">
        <v>17</v>
      </c>
      <c r="W34" s="774">
        <f t="shared" si="14"/>
        <v>100</v>
      </c>
      <c r="X34" s="1815"/>
      <c r="Y34" s="3246"/>
      <c r="Z34" s="1816">
        <f t="shared" si="15"/>
        <v>111</v>
      </c>
      <c r="AA34" s="1813">
        <f t="shared" si="3"/>
        <v>1</v>
      </c>
      <c r="AB34" s="1813">
        <f t="shared" si="4"/>
        <v>1</v>
      </c>
      <c r="AC34" s="1813">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6"/>
      <c r="Q35" s="775">
        <f t="shared" si="11"/>
        <v>111</v>
      </c>
      <c r="R35" s="776" t="s">
        <v>17</v>
      </c>
      <c r="S35" s="777">
        <f t="shared" si="12"/>
        <v>100</v>
      </c>
      <c r="T35" s="776" t="s">
        <v>17</v>
      </c>
      <c r="U35" s="777">
        <f t="shared" si="13"/>
        <v>100</v>
      </c>
      <c r="V35" s="776" t="s">
        <v>17</v>
      </c>
      <c r="W35" s="777">
        <f t="shared" si="14"/>
        <v>100</v>
      </c>
      <c r="X35" s="778"/>
      <c r="Y35" s="3246"/>
      <c r="Z35" s="779">
        <f t="shared" si="15"/>
        <v>111</v>
      </c>
      <c r="AA35" s="1813">
        <f t="shared" si="3"/>
        <v>1</v>
      </c>
      <c r="AB35" s="1813">
        <f t="shared" si="4"/>
        <v>1</v>
      </c>
      <c r="AC35" s="1813">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6"/>
      <c r="Q36" s="1812">
        <f t="shared" si="11"/>
        <v>111</v>
      </c>
      <c r="R36" s="773" t="s">
        <v>17</v>
      </c>
      <c r="S36" s="774">
        <f t="shared" si="12"/>
        <v>100</v>
      </c>
      <c r="T36" s="773" t="s">
        <v>17</v>
      </c>
      <c r="U36" s="774">
        <f t="shared" si="13"/>
        <v>100</v>
      </c>
      <c r="V36" s="773" t="s">
        <v>17</v>
      </c>
      <c r="W36" s="774">
        <f t="shared" si="14"/>
        <v>100</v>
      </c>
      <c r="X36" s="1815"/>
      <c r="Y36" s="3246"/>
      <c r="Z36" s="1816">
        <f t="shared" si="15"/>
        <v>111</v>
      </c>
      <c r="AA36" s="1813">
        <f t="shared" si="3"/>
        <v>1</v>
      </c>
      <c r="AB36" s="1813">
        <f t="shared" si="4"/>
        <v>1</v>
      </c>
      <c r="AC36" s="1813">
        <f t="shared" si="5"/>
        <v>1</v>
      </c>
    </row>
    <row r="37" spans="1:29" ht="15">
      <c r="A37" s="479" t="s">
        <v>2718</v>
      </c>
      <c r="B37" s="2695" t="s">
        <v>2719</v>
      </c>
      <c r="C37" s="1409" t="s">
        <v>1</v>
      </c>
      <c r="D37" s="1410"/>
      <c r="E37" s="1411"/>
      <c r="F37" s="1412"/>
      <c r="G37" s="1413"/>
      <c r="H37" s="1414"/>
      <c r="I37" s="1411"/>
      <c r="J37" s="1414"/>
      <c r="K37" s="618"/>
      <c r="L37" s="1145"/>
      <c r="M37" s="1146"/>
      <c r="N37" s="1133"/>
      <c r="O37" s="1146"/>
      <c r="P37" s="3234" t="str">
        <f>A37</f>
        <v>成交单价</v>
      </c>
      <c r="Q37" s="3234"/>
      <c r="R37" s="3235">
        <f>E37</f>
        <v>0</v>
      </c>
      <c r="S37" s="3235"/>
      <c r="T37" s="3235">
        <f>G37</f>
        <v>0</v>
      </c>
      <c r="U37" s="3235"/>
      <c r="V37" s="3235">
        <f>I37</f>
        <v>0</v>
      </c>
      <c r="W37" s="3235"/>
      <c r="X37" s="758"/>
      <c r="Y37" s="780"/>
      <c r="Z37" s="758"/>
      <c r="AA37" s="758"/>
      <c r="AB37" s="758"/>
      <c r="AC37" s="758"/>
    </row>
    <row r="38" spans="1:29" ht="15.75" thickBot="1">
      <c r="A38" s="486" t="s">
        <v>2720</v>
      </c>
      <c r="B38" s="487" t="str">
        <f>B37</f>
        <v>元/车位</v>
      </c>
      <c r="C38" s="1415" t="e">
        <f>R39</f>
        <v>#DIV/0!</v>
      </c>
      <c r="D38" s="1416"/>
      <c r="E38" s="1417" t="e">
        <f>R38</f>
        <v>#DIV/0!</v>
      </c>
      <c r="F38" s="1417"/>
      <c r="G38" s="1415" t="e">
        <f>T38</f>
        <v>#DIV/0!</v>
      </c>
      <c r="H38" s="1416"/>
      <c r="I38" s="1417" t="e">
        <f>V38</f>
        <v>#DIV/0!</v>
      </c>
      <c r="J38" s="1416"/>
      <c r="K38" s="619"/>
      <c r="L38" s="1145"/>
      <c r="M38" s="1146"/>
      <c r="N38" s="1146"/>
      <c r="O38" s="1146"/>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8"/>
      <c r="Y38" s="758"/>
      <c r="Z38" s="758"/>
      <c r="AA38" s="758"/>
      <c r="AB38" s="758"/>
      <c r="AC38" s="758"/>
    </row>
    <row r="39" spans="1:29" ht="15.75" thickBot="1">
      <c r="A39" s="492" t="s">
        <v>2721</v>
      </c>
      <c r="B39" s="493"/>
      <c r="C39" s="1419" t="e">
        <f>R39</f>
        <v>#DIV/0!</v>
      </c>
      <c r="D39" s="1419"/>
      <c r="E39" s="1419"/>
      <c r="F39" s="1419"/>
      <c r="G39" s="1419"/>
      <c r="H39" s="1419"/>
      <c r="I39" s="1419"/>
      <c r="J39" s="1419"/>
      <c r="K39" s="620"/>
      <c r="L39" s="1145"/>
      <c r="M39" s="1146"/>
      <c r="N39" s="1146"/>
      <c r="O39" s="1146"/>
      <c r="P39" s="3236" t="str">
        <f>A39</f>
        <v>估价对象XX用房的比较价值（楼面单价，元/平方米）</v>
      </c>
      <c r="Q39" s="3237"/>
      <c r="R39" s="3238" t="e">
        <f>IF(F1="售价",ROUND(AVERAGE(R38:V38),0),ROUND(AVERAGE(R38:V38),1))</f>
        <v>#DIV/0!</v>
      </c>
      <c r="S39" s="3238"/>
      <c r="T39" s="3238"/>
      <c r="U39" s="3238"/>
      <c r="V39" s="3238"/>
      <c r="W39" s="323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2725</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2726</v>
      </c>
      <c r="B48" s="506"/>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2583</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2548</v>
      </c>
      <c r="B51" s="510"/>
      <c r="C51" s="522" t="s">
        <v>2650</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8">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2586</v>
      </c>
      <c r="B53" s="528" t="s">
        <v>2552</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59">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2601</v>
      </c>
      <c r="C65" s="578" t="s">
        <v>2595</v>
      </c>
      <c r="D65" s="578" t="s">
        <v>2596</v>
      </c>
      <c r="E65" s="578" t="s">
        <v>2597</v>
      </c>
      <c r="F65" s="578" t="s">
        <v>2598</v>
      </c>
      <c r="G65" s="578" t="s">
        <v>2599</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2687</v>
      </c>
      <c r="C67" s="659" t="s">
        <v>2673</v>
      </c>
      <c r="D67" s="659" t="s">
        <v>2674</v>
      </c>
      <c r="E67" s="659" t="s">
        <v>2675</v>
      </c>
      <c r="F67" s="659" t="s">
        <v>2676</v>
      </c>
      <c r="G67" s="659" t="s">
        <v>2677</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2607</v>
      </c>
      <c r="C69" s="578" t="s">
        <v>2595</v>
      </c>
      <c r="D69" s="578" t="s">
        <v>2596</v>
      </c>
      <c r="E69" s="578" t="s">
        <v>2597</v>
      </c>
      <c r="F69" s="578" t="s">
        <v>2598</v>
      </c>
      <c r="G69" s="578" t="s">
        <v>2599</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2727</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2561</v>
      </c>
      <c r="B79" s="528" t="s">
        <v>2728</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2729</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2614</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2731</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2733</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2734</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5">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4"/>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0" t="e">
        <f ca="1">IF(C2="——",ROUND(C37*D3/10000,0),ROUND(C37*D3/10000,0)-D2)</f>
        <v>#DIV/0!</v>
      </c>
      <c r="C2" s="2586"/>
      <c r="D2" s="1126" t="e">
        <f ca="1">SUMIF(INDIRECT("'"&amp;F2&amp;"'"&amp;"!A:A"),"承租人权益价值",INDIRECT("'"&amp;F2&amp;"'"&amp;"!c:c"))</f>
        <v>#REF!</v>
      </c>
      <c r="E2" s="2587" t="s">
        <v>2326</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 ca="1">IF(C2="——",C37,ROUND(B2*10000/D3,0))</f>
        <v>#DIV/0!</v>
      </c>
      <c r="C3" s="400" t="s">
        <v>2642</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51" t="s">
        <v>2646</v>
      </c>
      <c r="AC4" s="3250" t="s">
        <v>2647</v>
      </c>
    </row>
    <row r="5" spans="1:29" ht="15">
      <c r="A5" s="404"/>
      <c r="B5" s="405"/>
      <c r="C5" s="3303" t="s">
        <v>2540</v>
      </c>
      <c r="D5" s="3272"/>
      <c r="E5" s="3305" t="s">
        <v>2541</v>
      </c>
      <c r="F5" s="3280"/>
      <c r="G5" s="3303" t="s">
        <v>2542</v>
      </c>
      <c r="H5" s="3272"/>
      <c r="I5" s="3303" t="s">
        <v>2543</v>
      </c>
      <c r="J5" s="3272"/>
      <c r="K5" s="610"/>
      <c r="L5" s="1132"/>
      <c r="M5" s="1133"/>
      <c r="N5" s="1133"/>
      <c r="O5" s="1133"/>
      <c r="P5" s="3259"/>
      <c r="Q5" s="3260"/>
      <c r="R5" s="3265"/>
      <c r="S5" s="3266"/>
      <c r="T5" s="3265"/>
      <c r="U5" s="3266"/>
      <c r="V5" s="3248"/>
      <c r="W5" s="3248"/>
      <c r="X5" s="1815"/>
      <c r="Y5" s="3265"/>
      <c r="Z5" s="3266"/>
      <c r="AA5" s="3251"/>
      <c r="AB5" s="3251"/>
      <c r="AC5" s="3251"/>
    </row>
    <row r="6" spans="1:29" ht="15.75" thickBot="1">
      <c r="A6" s="406"/>
      <c r="B6" s="407"/>
      <c r="C6" s="3276" t="s">
        <v>2544</v>
      </c>
      <c r="D6" s="3270"/>
      <c r="E6" s="3304" t="s">
        <v>2544</v>
      </c>
      <c r="F6" s="3278"/>
      <c r="G6" s="3276" t="s">
        <v>2544</v>
      </c>
      <c r="H6" s="3270"/>
      <c r="I6" s="3276" t="s">
        <v>2544</v>
      </c>
      <c r="J6" s="3270"/>
      <c r="K6" s="610" t="s">
        <v>2545</v>
      </c>
      <c r="L6" s="1132"/>
      <c r="M6" s="1133"/>
      <c r="N6" s="1133"/>
      <c r="O6" s="1133"/>
      <c r="P6" s="3261"/>
      <c r="Q6" s="3262"/>
      <c r="R6" s="3265"/>
      <c r="S6" s="3266"/>
      <c r="T6" s="3267"/>
      <c r="U6" s="3268"/>
      <c r="V6" s="3248"/>
      <c r="W6" s="3248"/>
      <c r="X6" s="1815"/>
      <c r="Y6" s="3267"/>
      <c r="Z6" s="3268"/>
      <c r="AA6" s="3252"/>
      <c r="AB6" s="3252"/>
      <c r="AC6" s="3252"/>
    </row>
    <row r="7" spans="1:29" s="117" customFormat="1" ht="15.75" thickBot="1">
      <c r="A7" s="408" t="s">
        <v>2546</v>
      </c>
      <c r="B7" s="409"/>
      <c r="C7" s="410">
        <f>'数据-取费表'!B2</f>
        <v>43202</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273" t="s">
        <v>2547</v>
      </c>
      <c r="Q7" s="3275"/>
      <c r="R7" s="769" t="s">
        <v>17</v>
      </c>
      <c r="S7" s="770">
        <f t="shared" ref="S7:S14" si="0">F7</f>
        <v>0</v>
      </c>
      <c r="T7" s="769" t="s">
        <v>17</v>
      </c>
      <c r="U7" s="770">
        <f t="shared" ref="U7:U14" si="1">H7</f>
        <v>0</v>
      </c>
      <c r="V7" s="769" t="s">
        <v>17</v>
      </c>
      <c r="W7" s="770">
        <f t="shared" ref="W7:W14" si="2">J7</f>
        <v>0</v>
      </c>
      <c r="X7" s="771"/>
      <c r="Y7" s="3273" t="s">
        <v>2547</v>
      </c>
      <c r="Z7" s="3274"/>
      <c r="AA7" s="772" t="e">
        <f>D7/F7</f>
        <v>#DIV/0!</v>
      </c>
      <c r="AB7" s="772" t="e">
        <f>D7/H7</f>
        <v>#DIV/0!</v>
      </c>
      <c r="AC7" s="772"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73" t="s">
        <v>2550</v>
      </c>
      <c r="Q8" s="3274"/>
      <c r="R8" s="769" t="s">
        <v>17</v>
      </c>
      <c r="S8" s="770">
        <f t="shared" si="0"/>
        <v>0</v>
      </c>
      <c r="T8" s="769" t="s">
        <v>17</v>
      </c>
      <c r="U8" s="770">
        <f t="shared" si="1"/>
        <v>0</v>
      </c>
      <c r="V8" s="769" t="s">
        <v>17</v>
      </c>
      <c r="W8" s="770">
        <f t="shared" si="2"/>
        <v>0</v>
      </c>
      <c r="X8" s="771"/>
      <c r="Y8" s="3273" t="s">
        <v>2550</v>
      </c>
      <c r="Z8" s="3274"/>
      <c r="AA8" s="772" t="e">
        <f t="shared" ref="AA8:AA34" si="3">D8/F8</f>
        <v>#DIV/0!</v>
      </c>
      <c r="AB8" s="772" t="e">
        <f t="shared" ref="AB8:AB34" si="4">D8/H8</f>
        <v>#DIV/0!</v>
      </c>
      <c r="AC8" s="772"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34" t="s">
        <v>2553</v>
      </c>
      <c r="Q9" s="1797" t="str">
        <f t="shared" ref="Q9:Q14" si="6">B9</f>
        <v>用途</v>
      </c>
      <c r="R9" s="769" t="s">
        <v>17</v>
      </c>
      <c r="S9" s="770">
        <f t="shared" si="0"/>
        <v>100</v>
      </c>
      <c r="T9" s="769" t="s">
        <v>17</v>
      </c>
      <c r="U9" s="770">
        <f t="shared" si="1"/>
        <v>100</v>
      </c>
      <c r="V9" s="769" t="s">
        <v>17</v>
      </c>
      <c r="W9" s="770">
        <f t="shared" si="2"/>
        <v>100</v>
      </c>
      <c r="X9" s="771"/>
      <c r="Y9" s="3084" t="s">
        <v>2554</v>
      </c>
      <c r="Z9" s="55" t="str">
        <f t="shared" ref="Z9:Z14" si="7">Q9</f>
        <v>用途</v>
      </c>
      <c r="AA9" s="772">
        <f t="shared" si="3"/>
        <v>1</v>
      </c>
      <c r="AB9" s="772">
        <f t="shared" si="4"/>
        <v>1</v>
      </c>
      <c r="AC9" s="772">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34"/>
      <c r="Q10" s="1797" t="str">
        <f t="shared" si="6"/>
        <v>土地使用年限（年）</v>
      </c>
      <c r="R10" s="769" t="s">
        <v>17</v>
      </c>
      <c r="S10" s="770">
        <f t="shared" si="0"/>
        <v>100</v>
      </c>
      <c r="T10" s="769" t="s">
        <v>17</v>
      </c>
      <c r="U10" s="770">
        <f t="shared" si="1"/>
        <v>100</v>
      </c>
      <c r="V10" s="769" t="s">
        <v>17</v>
      </c>
      <c r="W10" s="770">
        <f t="shared" si="2"/>
        <v>100</v>
      </c>
      <c r="X10" s="771"/>
      <c r="Y10" s="3084"/>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34"/>
      <c r="Q11" s="1797">
        <f t="shared" si="6"/>
        <v>111</v>
      </c>
      <c r="R11" s="769" t="s">
        <v>17</v>
      </c>
      <c r="S11" s="770">
        <f t="shared" si="0"/>
        <v>100</v>
      </c>
      <c r="T11" s="769" t="s">
        <v>17</v>
      </c>
      <c r="U11" s="770">
        <f t="shared" si="1"/>
        <v>100</v>
      </c>
      <c r="V11" s="769" t="s">
        <v>17</v>
      </c>
      <c r="W11" s="770">
        <f t="shared" si="2"/>
        <v>100</v>
      </c>
      <c r="X11" s="771"/>
      <c r="Y11" s="3084"/>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1" t="s">
        <v>2558</v>
      </c>
      <c r="Q14" s="1812" t="str">
        <f t="shared" si="6"/>
        <v>交通便捷度</v>
      </c>
      <c r="R14" s="773" t="s">
        <v>17</v>
      </c>
      <c r="S14" s="774">
        <f t="shared" si="0"/>
        <v>100</v>
      </c>
      <c r="T14" s="773" t="s">
        <v>17</v>
      </c>
      <c r="U14" s="774">
        <f t="shared" si="1"/>
        <v>100</v>
      </c>
      <c r="V14" s="773" t="s">
        <v>17</v>
      </c>
      <c r="W14" s="774">
        <f t="shared" si="2"/>
        <v>100</v>
      </c>
      <c r="X14" s="1815"/>
      <c r="Y14" s="3241"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242"/>
      <c r="Q15" s="1812"/>
      <c r="R15" s="773"/>
      <c r="S15" s="774"/>
      <c r="T15" s="773"/>
      <c r="U15" s="774"/>
      <c r="V15" s="773"/>
      <c r="W15" s="774"/>
      <c r="X15" s="1815"/>
      <c r="Y15" s="3242"/>
      <c r="Z15" s="1816"/>
      <c r="AA15" s="1813">
        <v>1</v>
      </c>
      <c r="AB15" s="1813">
        <v>1</v>
      </c>
      <c r="AC15" s="1813">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2"/>
      <c r="Q16" s="1812" t="str">
        <f>B16</f>
        <v>公共配套设施</v>
      </c>
      <c r="R16" s="773" t="s">
        <v>17</v>
      </c>
      <c r="S16" s="774">
        <f>F16</f>
        <v>100</v>
      </c>
      <c r="T16" s="773" t="s">
        <v>17</v>
      </c>
      <c r="U16" s="774">
        <f>H16</f>
        <v>100</v>
      </c>
      <c r="V16" s="773" t="s">
        <v>17</v>
      </c>
      <c r="W16" s="774">
        <f>J16</f>
        <v>100</v>
      </c>
      <c r="X16" s="1815"/>
      <c r="Y16" s="3242"/>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242"/>
      <c r="Q17" s="1812"/>
      <c r="R17" s="773"/>
      <c r="S17" s="774"/>
      <c r="T17" s="773"/>
      <c r="U17" s="774"/>
      <c r="V17" s="773"/>
      <c r="W17" s="774"/>
      <c r="X17" s="1815"/>
      <c r="Y17" s="3242"/>
      <c r="Z17" s="1816"/>
      <c r="AA17" s="1813">
        <v>1</v>
      </c>
      <c r="AB17" s="1813">
        <v>1</v>
      </c>
      <c r="AC17" s="1813">
        <v>1</v>
      </c>
    </row>
    <row r="18" spans="1:29" ht="28.5">
      <c r="A18" s="428"/>
      <c r="B18" s="1386"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2"/>
      <c r="Q18" s="1812" t="str">
        <f>B18</f>
        <v>基础设施水平</v>
      </c>
      <c r="R18" s="773" t="s">
        <v>17</v>
      </c>
      <c r="S18" s="774">
        <f>F18</f>
        <v>100</v>
      </c>
      <c r="T18" s="773" t="s">
        <v>17</v>
      </c>
      <c r="U18" s="774">
        <f>H18</f>
        <v>100</v>
      </c>
      <c r="V18" s="773" t="s">
        <v>17</v>
      </c>
      <c r="W18" s="774">
        <f>J18</f>
        <v>100</v>
      </c>
      <c r="X18" s="1815"/>
      <c r="Y18" s="3242"/>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242"/>
      <c r="Q19" s="1812"/>
      <c r="R19" s="773"/>
      <c r="S19" s="774"/>
      <c r="T19" s="773"/>
      <c r="U19" s="774"/>
      <c r="V19" s="773"/>
      <c r="W19" s="774"/>
      <c r="X19" s="1815"/>
      <c r="Y19" s="3242"/>
      <c r="Z19" s="1816"/>
      <c r="AA19" s="1813">
        <v>1</v>
      </c>
      <c r="AB19" s="1813">
        <v>1</v>
      </c>
      <c r="AC19" s="1813">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2"/>
      <c r="Q20" s="1812" t="str">
        <f>B20</f>
        <v>自然及人文环境</v>
      </c>
      <c r="R20" s="773" t="s">
        <v>17</v>
      </c>
      <c r="S20" s="774">
        <f>F20</f>
        <v>100</v>
      </c>
      <c r="T20" s="773" t="s">
        <v>17</v>
      </c>
      <c r="U20" s="774">
        <f>H20</f>
        <v>100</v>
      </c>
      <c r="V20" s="773" t="s">
        <v>17</v>
      </c>
      <c r="W20" s="774">
        <f>J20</f>
        <v>100</v>
      </c>
      <c r="X20" s="1815"/>
      <c r="Y20" s="324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242"/>
      <c r="Q21" s="1812"/>
      <c r="R21" s="773"/>
      <c r="S21" s="774"/>
      <c r="T21" s="773"/>
      <c r="U21" s="774"/>
      <c r="V21" s="773"/>
      <c r="W21" s="774"/>
      <c r="X21" s="1815"/>
      <c r="Y21" s="3242"/>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2"/>
      <c r="Q22" s="1812" t="str">
        <f>B22</f>
        <v>楼层</v>
      </c>
      <c r="R22" s="773" t="s">
        <v>17</v>
      </c>
      <c r="S22" s="774">
        <f>F22</f>
        <v>100</v>
      </c>
      <c r="T22" s="773" t="s">
        <v>17</v>
      </c>
      <c r="U22" s="774">
        <f>H22</f>
        <v>100</v>
      </c>
      <c r="V22" s="773" t="s">
        <v>17</v>
      </c>
      <c r="W22" s="774">
        <f>J22</f>
        <v>100</v>
      </c>
      <c r="X22" s="1815"/>
      <c r="Y22" s="3242"/>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2"/>
      <c r="Q23" s="1812">
        <f>B23</f>
        <v>111</v>
      </c>
      <c r="R23" s="773" t="s">
        <v>17</v>
      </c>
      <c r="S23" s="774">
        <f>F23</f>
        <v>100</v>
      </c>
      <c r="T23" s="773" t="s">
        <v>17</v>
      </c>
      <c r="U23" s="774">
        <f>H23</f>
        <v>100</v>
      </c>
      <c r="V23" s="773" t="s">
        <v>17</v>
      </c>
      <c r="W23" s="774">
        <f>J23</f>
        <v>100</v>
      </c>
      <c r="X23" s="1815"/>
      <c r="Y23" s="3242"/>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2"/>
      <c r="Q24" s="1812">
        <f t="shared" ref="Q24:Q34" si="11">B24</f>
        <v>111</v>
      </c>
      <c r="R24" s="773" t="s">
        <v>17</v>
      </c>
      <c r="S24" s="774">
        <f>F24</f>
        <v>100</v>
      </c>
      <c r="T24" s="773" t="s">
        <v>17</v>
      </c>
      <c r="U24" s="774">
        <f>H24</f>
        <v>100</v>
      </c>
      <c r="V24" s="773" t="s">
        <v>17</v>
      </c>
      <c r="W24" s="774">
        <f>J24</f>
        <v>100</v>
      </c>
      <c r="X24" s="1815"/>
      <c r="Y24" s="3242"/>
      <c r="Z24" s="1816">
        <f>Q24</f>
        <v>111</v>
      </c>
      <c r="AA24" s="1813">
        <f t="shared" si="3"/>
        <v>1</v>
      </c>
      <c r="AB24" s="1813">
        <f t="shared" si="4"/>
        <v>1</v>
      </c>
      <c r="AC24" s="1813">
        <f t="shared" si="5"/>
        <v>1</v>
      </c>
    </row>
    <row r="25" spans="1:29" s="117" customFormat="1" ht="15.75" thickBot="1">
      <c r="A25" s="431"/>
      <c r="B25" s="2600">
        <v>111</v>
      </c>
      <c r="C25" s="2698"/>
      <c r="D25" s="664">
        <v>100</v>
      </c>
      <c r="E25" s="2698"/>
      <c r="F25" s="665">
        <f>SUMIF(75:75,E25,76:76)-SUMIF(75:75,C25,76:76)+100</f>
        <v>100</v>
      </c>
      <c r="G25" s="2698"/>
      <c r="H25" s="664">
        <f>SUMIF(75:75,G25,76:76)-SUMIF(75:75,C25,76:76)+100</f>
        <v>100</v>
      </c>
      <c r="I25" s="2698"/>
      <c r="J25" s="664">
        <f>SUMIF(75:75,I25,76:76)-SUMIF(75:75,C25,76:76)+100</f>
        <v>100</v>
      </c>
      <c r="K25" s="613"/>
      <c r="L25" s="1134"/>
      <c r="M25" s="1135"/>
      <c r="N25" s="1135"/>
      <c r="O25" s="1136"/>
      <c r="P25" s="3242"/>
      <c r="Q25" s="1797">
        <f t="shared" si="11"/>
        <v>111</v>
      </c>
      <c r="R25" s="769" t="s">
        <v>17</v>
      </c>
      <c r="S25" s="770">
        <f>F25</f>
        <v>100</v>
      </c>
      <c r="T25" s="769" t="s">
        <v>17</v>
      </c>
      <c r="U25" s="770">
        <f>H25</f>
        <v>100</v>
      </c>
      <c r="V25" s="769" t="s">
        <v>17</v>
      </c>
      <c r="W25" s="770">
        <f>J25</f>
        <v>100</v>
      </c>
      <c r="X25" s="771"/>
      <c r="Y25" s="3242"/>
      <c r="Z25" s="55">
        <f>Q25</f>
        <v>111</v>
      </c>
      <c r="AA25" s="1813">
        <f>D25/F25</f>
        <v>1</v>
      </c>
      <c r="AB25" s="1813">
        <f>D25/H25</f>
        <v>1</v>
      </c>
      <c r="AC25" s="1813">
        <f>D25/J25</f>
        <v>1</v>
      </c>
    </row>
    <row r="26" spans="1:29" ht="15">
      <c r="A26" s="466" t="s">
        <v>2561</v>
      </c>
      <c r="B26" s="71" t="s">
        <v>2712</v>
      </c>
      <c r="C26" s="2679"/>
      <c r="D26" s="467">
        <v>100</v>
      </c>
      <c r="E26" s="2679"/>
      <c r="F26" s="666">
        <f>SUMIF(77:77,E26,78:78)-SUMIF(77:77,C26,78:78)+100</f>
        <v>100</v>
      </c>
      <c r="G26" s="2679"/>
      <c r="H26" s="467">
        <f>SUMIF(77:77,G26,78:78)-SUMIF(77:77,C26,78:78)+100</f>
        <v>100</v>
      </c>
      <c r="I26" s="2679"/>
      <c r="J26" s="467">
        <f>SUMIF(77:77,I26,78:78)-SUMIF(77:77,C26,78:78)+100</f>
        <v>100</v>
      </c>
      <c r="K26" s="612"/>
      <c r="L26" s="1142"/>
      <c r="M26" s="1133"/>
      <c r="N26" s="1133"/>
      <c r="O26" s="1141"/>
      <c r="P26" s="3321" t="s">
        <v>2563</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46" t="s">
        <v>2563</v>
      </c>
      <c r="Z26" s="1816" t="str">
        <f t="shared" ref="Z26:Z34" si="15">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6"/>
      <c r="Q27" s="775" t="str">
        <f t="shared" si="11"/>
        <v>成新率</v>
      </c>
      <c r="R27" s="776" t="s">
        <v>17</v>
      </c>
      <c r="S27" s="777" t="e">
        <f t="shared" si="12"/>
        <v>#N/A</v>
      </c>
      <c r="T27" s="776" t="s">
        <v>17</v>
      </c>
      <c r="U27" s="777" t="e">
        <f t="shared" si="13"/>
        <v>#N/A</v>
      </c>
      <c r="V27" s="776" t="s">
        <v>17</v>
      </c>
      <c r="W27" s="777" t="e">
        <f t="shared" si="14"/>
        <v>#N/A</v>
      </c>
      <c r="X27" s="778"/>
      <c r="Y27" s="3246"/>
      <c r="Z27" s="779" t="str">
        <f t="shared" si="15"/>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6"/>
      <c r="Q28" s="1812" t="str">
        <f t="shared" si="11"/>
        <v>物业等级</v>
      </c>
      <c r="R28" s="773" t="s">
        <v>17</v>
      </c>
      <c r="S28" s="774">
        <f t="shared" si="12"/>
        <v>100</v>
      </c>
      <c r="T28" s="773" t="s">
        <v>17</v>
      </c>
      <c r="U28" s="774">
        <f t="shared" si="13"/>
        <v>100</v>
      </c>
      <c r="V28" s="773" t="s">
        <v>17</v>
      </c>
      <c r="W28" s="774">
        <f t="shared" si="14"/>
        <v>100</v>
      </c>
      <c r="X28" s="1815"/>
      <c r="Y28" s="3246"/>
      <c r="Z28" s="1816" t="str">
        <f t="shared" si="15"/>
        <v>物业等级</v>
      </c>
      <c r="AA28" s="1813">
        <f t="shared" si="3"/>
        <v>1</v>
      </c>
      <c r="AB28" s="1813">
        <f t="shared" si="4"/>
        <v>1</v>
      </c>
      <c r="AC28" s="1813">
        <f t="shared" si="5"/>
        <v>1</v>
      </c>
    </row>
    <row r="29" spans="1:29" ht="15">
      <c r="A29" s="472"/>
      <c r="B29" s="422" t="s">
        <v>2735</v>
      </c>
      <c r="C29" s="656"/>
      <c r="D29" s="435">
        <v>100</v>
      </c>
      <c r="E29" s="656"/>
      <c r="F29" s="461">
        <f>SUMIF(84:84,E29,85:85)-SUMIF(84:84,C29,85:85)+100</f>
        <v>100</v>
      </c>
      <c r="G29" s="656"/>
      <c r="H29" s="435">
        <f>SUMIF(84:84,G29,85:85)-SUMIF(84:84,C29,85:85)+100</f>
        <v>100</v>
      </c>
      <c r="I29" s="656"/>
      <c r="J29" s="435">
        <f>SUMIF(84:84,I29,85:85)-SUMIF(84:84,C29,85:85)+100</f>
        <v>100</v>
      </c>
      <c r="K29" s="612"/>
      <c r="L29" s="1142"/>
      <c r="M29" s="1133"/>
      <c r="N29" s="1133"/>
      <c r="O29" s="1141"/>
      <c r="P29" s="3246"/>
      <c r="Q29" s="1812" t="str">
        <f t="shared" si="11"/>
        <v>有无电梯</v>
      </c>
      <c r="R29" s="773" t="s">
        <v>17</v>
      </c>
      <c r="S29" s="774">
        <f t="shared" si="12"/>
        <v>100</v>
      </c>
      <c r="T29" s="773" t="s">
        <v>17</v>
      </c>
      <c r="U29" s="774">
        <f t="shared" si="13"/>
        <v>100</v>
      </c>
      <c r="V29" s="773" t="s">
        <v>17</v>
      </c>
      <c r="W29" s="774">
        <f t="shared" si="14"/>
        <v>100</v>
      </c>
      <c r="X29" s="1815"/>
      <c r="Y29" s="3246"/>
      <c r="Z29" s="1816" t="str">
        <f t="shared" si="15"/>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6"/>
      <c r="Q30" s="1812" t="str">
        <f t="shared" si="11"/>
        <v>建筑面积</v>
      </c>
      <c r="R30" s="773" t="s">
        <v>17</v>
      </c>
      <c r="S30" s="774" t="e">
        <f t="shared" si="12"/>
        <v>#N/A</v>
      </c>
      <c r="T30" s="773" t="s">
        <v>17</v>
      </c>
      <c r="U30" s="774" t="e">
        <f t="shared" si="13"/>
        <v>#N/A</v>
      </c>
      <c r="V30" s="773" t="s">
        <v>17</v>
      </c>
      <c r="W30" s="774" t="e">
        <f t="shared" si="14"/>
        <v>#N/A</v>
      </c>
      <c r="X30" s="1815"/>
      <c r="Y30" s="3246"/>
      <c r="Z30" s="1816" t="str">
        <f t="shared" si="15"/>
        <v>建筑面积</v>
      </c>
      <c r="AA30" s="1813" t="e">
        <f t="shared" si="3"/>
        <v>#N/A</v>
      </c>
      <c r="AB30" s="1813" t="e">
        <f t="shared" si="4"/>
        <v>#N/A</v>
      </c>
      <c r="AC30" s="1813" t="e">
        <f t="shared" si="5"/>
        <v>#N/A</v>
      </c>
    </row>
    <row r="31" spans="1:29" s="117" customFormat="1" ht="15">
      <c r="A31" s="473"/>
      <c r="B31" s="422" t="s">
        <v>2737</v>
      </c>
      <c r="C31" s="656"/>
      <c r="D31" s="136">
        <v>100</v>
      </c>
      <c r="E31" s="656"/>
      <c r="F31" s="461">
        <f>SUMIF(89:89,E31,90:90)-SUMIF(89:89,C31,90:90)+100</f>
        <v>100</v>
      </c>
      <c r="G31" s="656"/>
      <c r="H31" s="435">
        <f>SUMIF(89:89,G31,90:90)-SUMIF(89:89,C31,90:90)+100</f>
        <v>100</v>
      </c>
      <c r="I31" s="656"/>
      <c r="J31" s="435">
        <f>SUMIF(89:89,I31,90:90)-SUMIF(89:89,C31,90:90)+100</f>
        <v>100</v>
      </c>
      <c r="K31" s="612"/>
      <c r="L31" s="1134"/>
      <c r="M31" s="1135"/>
      <c r="N31" s="1135"/>
      <c r="O31" s="1136"/>
      <c r="P31" s="3246"/>
      <c r="Q31" s="1797" t="str">
        <f t="shared" si="11"/>
        <v>是否封闭</v>
      </c>
      <c r="R31" s="769" t="s">
        <v>17</v>
      </c>
      <c r="S31" s="770">
        <f t="shared" si="12"/>
        <v>100</v>
      </c>
      <c r="T31" s="769" t="s">
        <v>17</v>
      </c>
      <c r="U31" s="770">
        <f t="shared" si="13"/>
        <v>100</v>
      </c>
      <c r="V31" s="769" t="s">
        <v>17</v>
      </c>
      <c r="W31" s="770">
        <f t="shared" si="14"/>
        <v>100</v>
      </c>
      <c r="X31" s="771"/>
      <c r="Y31" s="3246"/>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6" t="s">
        <v>2563</v>
      </c>
      <c r="Q32" s="1812">
        <f t="shared" si="11"/>
        <v>111</v>
      </c>
      <c r="R32" s="773" t="s">
        <v>17</v>
      </c>
      <c r="S32" s="774">
        <f t="shared" si="12"/>
        <v>100</v>
      </c>
      <c r="T32" s="773" t="s">
        <v>17</v>
      </c>
      <c r="U32" s="774">
        <f t="shared" si="13"/>
        <v>100</v>
      </c>
      <c r="V32" s="773" t="s">
        <v>17</v>
      </c>
      <c r="W32" s="774">
        <f t="shared" si="14"/>
        <v>100</v>
      </c>
      <c r="X32" s="1815"/>
      <c r="Y32" s="3246" t="s">
        <v>2563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6"/>
      <c r="Q33" s="1812">
        <f t="shared" si="11"/>
        <v>111</v>
      </c>
      <c r="R33" s="773" t="s">
        <v>17</v>
      </c>
      <c r="S33" s="774">
        <f t="shared" si="12"/>
        <v>100</v>
      </c>
      <c r="T33" s="773" t="s">
        <v>17</v>
      </c>
      <c r="U33" s="774">
        <f t="shared" si="13"/>
        <v>100</v>
      </c>
      <c r="V33" s="773" t="s">
        <v>17</v>
      </c>
      <c r="W33" s="774">
        <f t="shared" si="14"/>
        <v>100</v>
      </c>
      <c r="X33" s="1815"/>
      <c r="Y33" s="3246"/>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246"/>
      <c r="Q34" s="1812">
        <f t="shared" si="11"/>
        <v>111</v>
      </c>
      <c r="R34" s="773" t="s">
        <v>17</v>
      </c>
      <c r="S34" s="774">
        <f t="shared" si="12"/>
        <v>100</v>
      </c>
      <c r="T34" s="773" t="s">
        <v>17</v>
      </c>
      <c r="U34" s="774">
        <f t="shared" si="13"/>
        <v>100</v>
      </c>
      <c r="V34" s="773" t="s">
        <v>17</v>
      </c>
      <c r="W34" s="774">
        <f t="shared" si="14"/>
        <v>100</v>
      </c>
      <c r="X34" s="1815"/>
      <c r="Y34" s="3246"/>
      <c r="Z34" s="1816">
        <f t="shared" si="15"/>
        <v>111</v>
      </c>
      <c r="AA34" s="1813">
        <f t="shared" si="3"/>
        <v>1</v>
      </c>
      <c r="AB34" s="1813">
        <f t="shared" si="4"/>
        <v>1</v>
      </c>
      <c r="AC34" s="1813">
        <f t="shared" si="5"/>
        <v>1</v>
      </c>
    </row>
    <row r="35" spans="1:29" ht="15">
      <c r="A35" s="479" t="s">
        <v>2575</v>
      </c>
      <c r="B35" s="480"/>
      <c r="C35" s="1409" t="s">
        <v>1</v>
      </c>
      <c r="D35" s="1410"/>
      <c r="E35" s="1411"/>
      <c r="F35" s="1412"/>
      <c r="G35" s="1413"/>
      <c r="H35" s="1414"/>
      <c r="I35" s="1411"/>
      <c r="J35" s="1414"/>
      <c r="K35" s="782"/>
      <c r="L35" s="1145"/>
      <c r="M35" s="1146"/>
      <c r="N35" s="1133"/>
      <c r="O35" s="1146"/>
      <c r="P35" s="3234" t="str">
        <f>A35</f>
        <v>成交单价（元/平方米）</v>
      </c>
      <c r="Q35" s="3234"/>
      <c r="R35" s="3235">
        <f>E35</f>
        <v>0</v>
      </c>
      <c r="S35" s="3235"/>
      <c r="T35" s="3235">
        <f>G35</f>
        <v>0</v>
      </c>
      <c r="U35" s="3235"/>
      <c r="V35" s="3235">
        <f>I35</f>
        <v>0</v>
      </c>
      <c r="W35" s="3235"/>
      <c r="X35" s="758"/>
      <c r="Y35" s="780"/>
      <c r="Z35" s="758"/>
      <c r="AA35" s="758"/>
      <c r="AB35" s="758"/>
      <c r="AC35" s="758"/>
    </row>
    <row r="36" spans="1:29" ht="15.75" thickBot="1">
      <c r="A36" s="486" t="s">
        <v>2667</v>
      </c>
      <c r="B36" s="487"/>
      <c r="C36" s="1415" t="e">
        <f>R37</f>
        <v>#DIV/0!</v>
      </c>
      <c r="D36" s="1416"/>
      <c r="E36" s="1417" t="e">
        <f>R36</f>
        <v>#DIV/0!</v>
      </c>
      <c r="F36" s="1417"/>
      <c r="G36" s="1415" t="e">
        <f>T36</f>
        <v>#DIV/0!</v>
      </c>
      <c r="H36" s="1416"/>
      <c r="I36" s="1417" t="e">
        <f>V36</f>
        <v>#DIV/0!</v>
      </c>
      <c r="J36" s="1416"/>
      <c r="K36" s="783"/>
      <c r="L36" s="1145"/>
      <c r="M36" s="1146"/>
      <c r="N36" s="1133"/>
      <c r="O36" s="1146"/>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8"/>
      <c r="Y36" s="758"/>
      <c r="Z36" s="758"/>
      <c r="AA36" s="758"/>
      <c r="AB36" s="758"/>
      <c r="AC36" s="758"/>
    </row>
    <row r="37" spans="1:29" ht="15.75" thickBot="1">
      <c r="A37" s="492" t="s">
        <v>2668</v>
      </c>
      <c r="B37" s="493"/>
      <c r="C37" s="1419" t="e">
        <f>R37</f>
        <v>#DIV/0!</v>
      </c>
      <c r="D37" s="1419"/>
      <c r="E37" s="1419"/>
      <c r="F37" s="1419"/>
      <c r="G37" s="1419"/>
      <c r="H37" s="1419"/>
      <c r="I37" s="1419"/>
      <c r="J37" s="1419"/>
      <c r="K37" s="784"/>
      <c r="L37" s="1145"/>
      <c r="M37" s="1146"/>
      <c r="N37" s="1146"/>
      <c r="O37" s="1146"/>
      <c r="P37" s="3236" t="str">
        <f>A37</f>
        <v>估价对象XX用房的比较价值（楼面单价，元/平方米）</v>
      </c>
      <c r="Q37" s="3237"/>
      <c r="R37" s="3238" t="e">
        <f>IF(F1="售价",ROUND(AVERAGE(R36:V36),0),ROUND(AVERAGE(R36:V36),1))</f>
        <v>#DIV/0!</v>
      </c>
      <c r="S37" s="3238"/>
      <c r="T37" s="3238"/>
      <c r="U37" s="3238"/>
      <c r="V37" s="3238"/>
      <c r="W37" s="323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2672</v>
      </c>
      <c r="B45" s="758"/>
      <c r="C45" s="763"/>
      <c r="D45" s="763"/>
      <c r="E45" s="763"/>
      <c r="F45" s="764"/>
      <c r="G45" s="764"/>
      <c r="H45" s="763"/>
      <c r="I45" s="763"/>
      <c r="J45" s="763"/>
      <c r="K45" s="765"/>
      <c r="L45" s="766"/>
      <c r="M45" s="763"/>
      <c r="N45" s="763"/>
      <c r="O45" s="763"/>
      <c r="P45" s="503"/>
      <c r="Q45" s="504"/>
    </row>
    <row r="46" spans="1:29" s="508" customFormat="1" ht="15">
      <c r="A46" s="505" t="s">
        <v>2546</v>
      </c>
      <c r="B46" s="506"/>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3"/>
      <c r="O49" s="1153"/>
      <c r="P49" s="526"/>
      <c r="Q49" s="504"/>
    </row>
    <row r="50" spans="1:17" s="117" customFormat="1" ht="15.75" thickBot="1">
      <c r="A50" s="521"/>
      <c r="B50" s="510"/>
      <c r="C50" s="638">
        <v>100</v>
      </c>
      <c r="D50" s="512"/>
      <c r="E50" s="512"/>
      <c r="F50" s="512"/>
      <c r="G50" s="512"/>
      <c r="H50" s="512"/>
      <c r="I50" s="512"/>
      <c r="J50" s="512"/>
      <c r="K50" s="512"/>
      <c r="L50" s="512"/>
      <c r="M50" s="514"/>
      <c r="N50" s="1153"/>
      <c r="O50" s="1153"/>
      <c r="P50" s="504"/>
      <c r="Q50" s="504"/>
    </row>
    <row r="51" spans="1:17">
      <c r="A51" s="527" t="s">
        <v>2586</v>
      </c>
      <c r="B51" s="528" t="s">
        <v>2552</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59">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2687</v>
      </c>
      <c r="C65" s="659" t="s">
        <v>2673</v>
      </c>
      <c r="D65" s="659" t="s">
        <v>2674</v>
      </c>
      <c r="E65" s="659" t="s">
        <v>2675</v>
      </c>
      <c r="F65" s="659" t="s">
        <v>2676</v>
      </c>
      <c r="G65" s="659" t="s">
        <v>2677</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5"/>
      <c r="O66" s="1155"/>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2727</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2561</v>
      </c>
      <c r="B77" s="528" t="s">
        <v>2614</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59"/>
      <c r="J80" s="659"/>
      <c r="K80" s="667"/>
      <c r="L80" s="668"/>
      <c r="M80" s="669"/>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2731</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2739</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2741</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5">
        <f>B34</f>
        <v>111</v>
      </c>
      <c r="C95" s="549"/>
      <c r="D95" s="549"/>
      <c r="E95" s="549"/>
      <c r="F95" s="549"/>
      <c r="G95" s="554"/>
      <c r="H95" s="555"/>
      <c r="I95" s="555"/>
      <c r="J95" s="555"/>
      <c r="K95" s="555"/>
      <c r="L95" s="556"/>
      <c r="M95" s="557"/>
      <c r="N95" s="1155"/>
      <c r="O95" s="1155"/>
      <c r="P95" s="636"/>
      <c r="Q95" s="637"/>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51" t="s">
        <v>2646</v>
      </c>
      <c r="AC4" s="3250" t="s">
        <v>2647</v>
      </c>
    </row>
    <row r="5" spans="1:30" ht="15">
      <c r="A5" s="404"/>
      <c r="B5" s="405"/>
      <c r="C5" s="3303" t="s">
        <v>2540</v>
      </c>
      <c r="D5" s="3272"/>
      <c r="E5" s="3305" t="s">
        <v>2541</v>
      </c>
      <c r="F5" s="3280"/>
      <c r="G5" s="3303" t="s">
        <v>2542</v>
      </c>
      <c r="H5" s="3272"/>
      <c r="I5" s="3303" t="s">
        <v>2543</v>
      </c>
      <c r="J5" s="3272"/>
      <c r="K5" s="610"/>
      <c r="L5" s="1132"/>
      <c r="M5" s="1133"/>
      <c r="N5" s="1133"/>
      <c r="O5" s="1133"/>
      <c r="P5" s="3259"/>
      <c r="Q5" s="3260"/>
      <c r="R5" s="3265"/>
      <c r="S5" s="3266"/>
      <c r="T5" s="3265"/>
      <c r="U5" s="3266"/>
      <c r="V5" s="3248"/>
      <c r="W5" s="3248"/>
      <c r="X5" s="1815"/>
      <c r="Y5" s="3265"/>
      <c r="Z5" s="3266"/>
      <c r="AA5" s="3251"/>
      <c r="AB5" s="3251"/>
      <c r="AC5" s="3251"/>
    </row>
    <row r="6" spans="1:30" ht="15.75" thickBot="1">
      <c r="A6" s="406"/>
      <c r="B6" s="407"/>
      <c r="C6" s="3276" t="s">
        <v>2544</v>
      </c>
      <c r="D6" s="3270"/>
      <c r="E6" s="3304" t="s">
        <v>2544</v>
      </c>
      <c r="F6" s="3278"/>
      <c r="G6" s="3276" t="s">
        <v>2544</v>
      </c>
      <c r="H6" s="3270"/>
      <c r="I6" s="3276" t="s">
        <v>2544</v>
      </c>
      <c r="J6" s="3270"/>
      <c r="K6" s="610" t="s">
        <v>2545</v>
      </c>
      <c r="L6" s="1132"/>
      <c r="M6" s="1133"/>
      <c r="N6" s="1133"/>
      <c r="O6" s="1133"/>
      <c r="P6" s="3261"/>
      <c r="Q6" s="3262"/>
      <c r="R6" s="3265"/>
      <c r="S6" s="3266"/>
      <c r="T6" s="3267"/>
      <c r="U6" s="3268"/>
      <c r="V6" s="3248"/>
      <c r="W6" s="3248"/>
      <c r="X6" s="1815"/>
      <c r="Y6" s="3267"/>
      <c r="Z6" s="3268"/>
      <c r="AA6" s="3252"/>
      <c r="AB6" s="3252"/>
      <c r="AC6" s="3252"/>
    </row>
    <row r="7" spans="1:30" s="117" customFormat="1" ht="15.75" thickBot="1">
      <c r="A7" s="408" t="s">
        <v>2546</v>
      </c>
      <c r="B7" s="409"/>
      <c r="C7" s="410">
        <f>'数据-取费表'!B2</f>
        <v>43202</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273" t="s">
        <v>2547</v>
      </c>
      <c r="Q7" s="3275"/>
      <c r="R7" s="769" t="s">
        <v>17</v>
      </c>
      <c r="S7" s="770">
        <f t="shared" ref="S7:S15" si="0">F7</f>
        <v>0</v>
      </c>
      <c r="T7" s="769" t="s">
        <v>17</v>
      </c>
      <c r="U7" s="770">
        <f t="shared" ref="U7:U15" si="1">H7</f>
        <v>0</v>
      </c>
      <c r="V7" s="769" t="s">
        <v>17</v>
      </c>
      <c r="W7" s="770">
        <f t="shared" ref="W7:W15" si="2">J7</f>
        <v>0</v>
      </c>
      <c r="X7" s="771"/>
      <c r="Y7" s="3273" t="s">
        <v>2547</v>
      </c>
      <c r="Z7" s="3274"/>
      <c r="AA7" s="772" t="e">
        <f>D7/F7</f>
        <v>#DIV/0!</v>
      </c>
      <c r="AB7" s="772" t="e">
        <f>D7/H7</f>
        <v>#DIV/0!</v>
      </c>
      <c r="AC7" s="772"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273" t="s">
        <v>2550</v>
      </c>
      <c r="Q8" s="3274"/>
      <c r="R8" s="769" t="s">
        <v>17</v>
      </c>
      <c r="S8" s="770">
        <f t="shared" si="0"/>
        <v>0</v>
      </c>
      <c r="T8" s="769" t="s">
        <v>17</v>
      </c>
      <c r="U8" s="770">
        <f t="shared" si="1"/>
        <v>0</v>
      </c>
      <c r="V8" s="769" t="s">
        <v>17</v>
      </c>
      <c r="W8" s="770">
        <f t="shared" si="2"/>
        <v>0</v>
      </c>
      <c r="X8" s="771"/>
      <c r="Y8" s="3273" t="s">
        <v>2550</v>
      </c>
      <c r="Z8" s="3274"/>
      <c r="AA8" s="772" t="e">
        <f t="shared" ref="AA8:AA45" si="3">D8/F8</f>
        <v>#DIV/0!</v>
      </c>
      <c r="AB8" s="772" t="e">
        <f t="shared" ref="AB8:AB45" si="4">D8/H8</f>
        <v>#DIV/0!</v>
      </c>
      <c r="AC8" s="772" t="e">
        <f t="shared" ref="AC8:AC45" si="5">D8/J8</f>
        <v>#DIV/0!</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34"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772">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1"/>
      <c r="L10" s="1137"/>
      <c r="M10" s="1138"/>
      <c r="N10" s="1138"/>
      <c r="O10" s="1139"/>
      <c r="P10" s="3234"/>
      <c r="Q10" s="1797" t="str">
        <f t="shared" si="6"/>
        <v>土地使用年限（年）</v>
      </c>
      <c r="R10" s="769" t="s">
        <v>17</v>
      </c>
      <c r="S10" s="770">
        <f t="shared" si="0"/>
        <v>106</v>
      </c>
      <c r="T10" s="769" t="s">
        <v>17</v>
      </c>
      <c r="U10" s="770">
        <f t="shared" si="1"/>
        <v>106</v>
      </c>
      <c r="V10" s="769" t="s">
        <v>17</v>
      </c>
      <c r="W10" s="770">
        <f t="shared" si="2"/>
        <v>106</v>
      </c>
      <c r="X10" s="771"/>
      <c r="Y10" s="3084"/>
      <c r="Z10" s="55" t="str">
        <f t="shared" si="7"/>
        <v>土地使用年限（年）</v>
      </c>
      <c r="AA10" s="772">
        <f t="shared" si="3"/>
        <v>0.94339622641509435</v>
      </c>
      <c r="AB10" s="772">
        <f t="shared" si="4"/>
        <v>0.94339622641509435</v>
      </c>
      <c r="AC10" s="772">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1"/>
      <c r="L12" s="1134"/>
      <c r="M12" s="1135"/>
      <c r="N12" s="1135"/>
      <c r="O12" s="1136"/>
      <c r="P12" s="3234"/>
      <c r="Q12" s="1797" t="str">
        <f t="shared" si="6"/>
        <v>配建</v>
      </c>
      <c r="R12" s="769" t="s">
        <v>17</v>
      </c>
      <c r="S12" s="770">
        <f t="shared" si="0"/>
        <v>100</v>
      </c>
      <c r="T12" s="769" t="s">
        <v>17</v>
      </c>
      <c r="U12" s="770">
        <f t="shared" si="1"/>
        <v>100</v>
      </c>
      <c r="V12" s="769" t="s">
        <v>17</v>
      </c>
      <c r="W12" s="770">
        <f t="shared" si="2"/>
        <v>100</v>
      </c>
      <c r="X12" s="771"/>
      <c r="Y12" s="3084"/>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3"/>
      <c r="H13" s="435">
        <f>SUMIF(84:84,G13,85:85)-SUMIF(84:84,C13,85:85)+100</f>
        <v>100</v>
      </c>
      <c r="I13" s="673"/>
      <c r="J13" s="435">
        <f>SUMIF(84:84,I13,85:85)-SUMIF(84:84,C13,85:85)+100</f>
        <v>100</v>
      </c>
      <c r="K13" s="671"/>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84"/>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3"/>
      <c r="H14" s="438">
        <f>SUMIF(86:86,G14,87:87)-SUMIF(86:86,C14,87:87)+100</f>
        <v>100</v>
      </c>
      <c r="I14" s="673"/>
      <c r="J14" s="438">
        <f>SUMIF(86:86,I14,87:87)-SUMIF(86:86,C14,87:87)+100</f>
        <v>100</v>
      </c>
      <c r="K14" s="671"/>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84"/>
      <c r="Z14" s="55">
        <f t="shared" si="7"/>
        <v>111</v>
      </c>
      <c r="AA14" s="772">
        <f>D14/F14</f>
        <v>1</v>
      </c>
      <c r="AB14" s="772">
        <f>D14/H14</f>
        <v>1</v>
      </c>
      <c r="AC14" s="772">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241" t="s">
        <v>2558</v>
      </c>
      <c r="Q15" s="1812" t="str">
        <f t="shared" si="6"/>
        <v>居住社区成熟度</v>
      </c>
      <c r="R15" s="773" t="s">
        <v>17</v>
      </c>
      <c r="S15" s="774">
        <f t="shared" si="0"/>
        <v>100</v>
      </c>
      <c r="T15" s="773" t="s">
        <v>17</v>
      </c>
      <c r="U15" s="774">
        <f t="shared" si="1"/>
        <v>100</v>
      </c>
      <c r="V15" s="773" t="s">
        <v>17</v>
      </c>
      <c r="W15" s="774">
        <f t="shared" si="2"/>
        <v>100</v>
      </c>
      <c r="X15" s="1815"/>
      <c r="Y15" s="3241" t="s">
        <v>2558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1"/>
      <c r="L16" s="1142"/>
      <c r="M16" s="1133"/>
      <c r="N16" s="1133"/>
      <c r="O16" s="1141"/>
      <c r="P16" s="3242"/>
      <c r="Q16" s="1812"/>
      <c r="R16" s="773"/>
      <c r="S16" s="774"/>
      <c r="T16" s="773"/>
      <c r="U16" s="774"/>
      <c r="V16" s="773"/>
      <c r="W16" s="774"/>
      <c r="X16" s="1815"/>
      <c r="Y16" s="3242"/>
      <c r="Z16" s="1816"/>
      <c r="AA16" s="1813">
        <v>1</v>
      </c>
      <c r="AB16" s="1813">
        <v>1</v>
      </c>
      <c r="AC16" s="1813">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42"/>
      <c r="M17" s="1133"/>
      <c r="N17" s="1133"/>
      <c r="O17" s="1141"/>
      <c r="P17" s="3242"/>
      <c r="Q17" s="1812" t="str">
        <f>B17</f>
        <v>商业繁华度</v>
      </c>
      <c r="R17" s="773" t="s">
        <v>17</v>
      </c>
      <c r="S17" s="774">
        <f>F17</f>
        <v>100</v>
      </c>
      <c r="T17" s="773" t="s">
        <v>17</v>
      </c>
      <c r="U17" s="774">
        <f>H17</f>
        <v>100</v>
      </c>
      <c r="V17" s="773" t="s">
        <v>17</v>
      </c>
      <c r="W17" s="774">
        <f>J17</f>
        <v>100</v>
      </c>
      <c r="X17" s="1815"/>
      <c r="Y17" s="3242"/>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1"/>
      <c r="L18" s="1142"/>
      <c r="M18" s="1133"/>
      <c r="N18" s="1133"/>
      <c r="O18" s="1141"/>
      <c r="P18" s="3242"/>
      <c r="Q18" s="1812"/>
      <c r="R18" s="773"/>
      <c r="S18" s="774"/>
      <c r="T18" s="773"/>
      <c r="U18" s="774"/>
      <c r="V18" s="773"/>
      <c r="W18" s="774"/>
      <c r="X18" s="1815"/>
      <c r="Y18" s="3242"/>
      <c r="Z18" s="1816"/>
      <c r="AA18" s="1813">
        <v>1</v>
      </c>
      <c r="AB18" s="1813">
        <v>1</v>
      </c>
      <c r="AC18" s="1813">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42"/>
      <c r="M19" s="1133"/>
      <c r="N19" s="1133"/>
      <c r="O19" s="1141"/>
      <c r="P19" s="3242"/>
      <c r="Q19" s="1812" t="str">
        <f>B19</f>
        <v>办公集聚程度</v>
      </c>
      <c r="R19" s="773" t="s">
        <v>17</v>
      </c>
      <c r="S19" s="774">
        <f>F19</f>
        <v>100</v>
      </c>
      <c r="T19" s="773" t="s">
        <v>17</v>
      </c>
      <c r="U19" s="774">
        <f>H19</f>
        <v>100</v>
      </c>
      <c r="V19" s="773" t="s">
        <v>17</v>
      </c>
      <c r="W19" s="774">
        <f>J19</f>
        <v>100</v>
      </c>
      <c r="X19" s="1815"/>
      <c r="Y19" s="3242"/>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1"/>
      <c r="L20" s="1142"/>
      <c r="M20" s="1133"/>
      <c r="N20" s="1133"/>
      <c r="O20" s="1141"/>
      <c r="P20" s="3242"/>
      <c r="Q20" s="1812"/>
      <c r="R20" s="773"/>
      <c r="S20" s="774"/>
      <c r="T20" s="773"/>
      <c r="U20" s="774"/>
      <c r="V20" s="773"/>
      <c r="W20" s="774"/>
      <c r="X20" s="1815"/>
      <c r="Y20" s="3242"/>
      <c r="Z20" s="1816"/>
      <c r="AA20" s="1813">
        <v>1</v>
      </c>
      <c r="AB20" s="1813">
        <v>1</v>
      </c>
      <c r="AC20" s="1813">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42"/>
      <c r="M21" s="1133"/>
      <c r="N21" s="1133"/>
      <c r="O21" s="1141"/>
      <c r="P21" s="3242"/>
      <c r="Q21" s="1812" t="str">
        <f>B21</f>
        <v>交通便捷度</v>
      </c>
      <c r="R21" s="773" t="s">
        <v>17</v>
      </c>
      <c r="S21" s="774">
        <f>F21</f>
        <v>100</v>
      </c>
      <c r="T21" s="773" t="s">
        <v>17</v>
      </c>
      <c r="U21" s="774">
        <f>H21</f>
        <v>100</v>
      </c>
      <c r="V21" s="773" t="s">
        <v>17</v>
      </c>
      <c r="W21" s="774">
        <f>J21</f>
        <v>100</v>
      </c>
      <c r="X21" s="1815"/>
      <c r="Y21" s="3242"/>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1"/>
      <c r="L22" s="1142"/>
      <c r="M22" s="1133"/>
      <c r="N22" s="1133"/>
      <c r="O22" s="1141"/>
      <c r="P22" s="3242"/>
      <c r="Q22" s="1812"/>
      <c r="R22" s="773"/>
      <c r="S22" s="774"/>
      <c r="T22" s="773"/>
      <c r="U22" s="774"/>
      <c r="V22" s="773"/>
      <c r="W22" s="774"/>
      <c r="X22" s="1815"/>
      <c r="Y22" s="3242"/>
      <c r="Z22" s="1816"/>
      <c r="AA22" s="1813">
        <v>1</v>
      </c>
      <c r="AB22" s="1813">
        <v>1</v>
      </c>
      <c r="AC22" s="1813">
        <v>1</v>
      </c>
    </row>
    <row r="23" spans="1:29" ht="15">
      <c r="A23" s="404"/>
      <c r="B23" s="451" t="s">
        <v>2746</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42"/>
      <c r="M23" s="1133"/>
      <c r="N23" s="1133"/>
      <c r="O23" s="1141"/>
      <c r="P23" s="3242"/>
      <c r="Q23" s="1812" t="str">
        <f t="shared" ref="Q23:Q37" si="8">B23</f>
        <v>区域土地利用方向</v>
      </c>
      <c r="R23" s="773" t="s">
        <v>17</v>
      </c>
      <c r="S23" s="774">
        <f>F23</f>
        <v>100</v>
      </c>
      <c r="T23" s="773" t="s">
        <v>17</v>
      </c>
      <c r="U23" s="774">
        <f>H23</f>
        <v>100</v>
      </c>
      <c r="V23" s="773" t="s">
        <v>17</v>
      </c>
      <c r="W23" s="774">
        <f>J23</f>
        <v>100</v>
      </c>
      <c r="X23" s="1815"/>
      <c r="Y23" s="3242"/>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242"/>
      <c r="Q24" s="1812"/>
      <c r="R24" s="773"/>
      <c r="S24" s="774"/>
      <c r="T24" s="773"/>
      <c r="U24" s="774"/>
      <c r="V24" s="773"/>
      <c r="W24" s="774"/>
      <c r="X24" s="1815"/>
      <c r="Y24" s="3242"/>
      <c r="Z24" s="1816"/>
      <c r="AA24" s="1813"/>
      <c r="AB24" s="1813"/>
      <c r="AC24" s="1813"/>
    </row>
    <row r="25" spans="1:29" ht="57">
      <c r="A25" s="404"/>
      <c r="B25" s="1386"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42"/>
      <c r="M25" s="1133"/>
      <c r="N25" s="1133"/>
      <c r="O25" s="1141"/>
      <c r="P25" s="3242"/>
      <c r="Q25" s="1812" t="str">
        <f t="shared" si="8"/>
        <v>自然及人文环境状况</v>
      </c>
      <c r="R25" s="773" t="s">
        <v>17</v>
      </c>
      <c r="S25" s="774">
        <f>F25</f>
        <v>100</v>
      </c>
      <c r="T25" s="773" t="s">
        <v>17</v>
      </c>
      <c r="U25" s="774">
        <f>H25</f>
        <v>100</v>
      </c>
      <c r="V25" s="773" t="s">
        <v>17</v>
      </c>
      <c r="W25" s="774">
        <f>J25</f>
        <v>100</v>
      </c>
      <c r="X25" s="1815"/>
      <c r="Y25" s="3242"/>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1"/>
      <c r="L26" s="1142"/>
      <c r="M26" s="1133"/>
      <c r="N26" s="1133"/>
      <c r="O26" s="1141"/>
      <c r="P26" s="3242"/>
      <c r="Q26" s="1812"/>
      <c r="R26" s="773"/>
      <c r="S26" s="774"/>
      <c r="T26" s="773"/>
      <c r="U26" s="774"/>
      <c r="V26" s="773"/>
      <c r="W26" s="774"/>
      <c r="X26" s="1815"/>
      <c r="Y26" s="3242"/>
      <c r="Z26" s="1816"/>
      <c r="AA26" s="1813">
        <v>1</v>
      </c>
      <c r="AB26" s="1813">
        <v>1</v>
      </c>
      <c r="AC26" s="1813">
        <v>1</v>
      </c>
    </row>
    <row r="27" spans="1:29" s="117" customFormat="1" ht="42.75">
      <c r="A27" s="648"/>
      <c r="B27" s="1386"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34"/>
      <c r="M27" s="1135"/>
      <c r="N27" s="1135"/>
      <c r="O27" s="1136"/>
      <c r="P27" s="3242"/>
      <c r="Q27" s="1797" t="str">
        <f t="shared" si="8"/>
        <v>公共配套设施</v>
      </c>
      <c r="R27" s="769" t="s">
        <v>17</v>
      </c>
      <c r="S27" s="770">
        <f>F27</f>
        <v>100</v>
      </c>
      <c r="T27" s="769" t="s">
        <v>17</v>
      </c>
      <c r="U27" s="770">
        <f>H27</f>
        <v>100</v>
      </c>
      <c r="V27" s="769" t="s">
        <v>17</v>
      </c>
      <c r="W27" s="770">
        <f>J27</f>
        <v>100</v>
      </c>
      <c r="X27" s="771"/>
      <c r="Y27" s="3242"/>
      <c r="Z27" s="55" t="str">
        <f>Q27</f>
        <v>公共配套设施</v>
      </c>
      <c r="AA27" s="1813">
        <f>D27/F27</f>
        <v>1</v>
      </c>
      <c r="AB27" s="1813">
        <f>D27/H27</f>
        <v>1</v>
      </c>
      <c r="AC27" s="1813">
        <f>D27/J27</f>
        <v>1</v>
      </c>
    </row>
    <row r="28" spans="1:29" s="117" customFormat="1" ht="15">
      <c r="A28" s="648"/>
      <c r="B28" s="456"/>
      <c r="C28" s="2700"/>
      <c r="D28" s="448"/>
      <c r="E28" s="2611"/>
      <c r="F28" s="448"/>
      <c r="G28" s="2611"/>
      <c r="H28" s="448"/>
      <c r="I28" s="447"/>
      <c r="J28" s="448"/>
      <c r="K28" s="671"/>
      <c r="L28" s="1134"/>
      <c r="M28" s="1135"/>
      <c r="N28" s="1135"/>
      <c r="O28" s="1136"/>
      <c r="P28" s="3242"/>
      <c r="Q28" s="1797"/>
      <c r="R28" s="769"/>
      <c r="S28" s="770"/>
      <c r="T28" s="769"/>
      <c r="U28" s="770"/>
      <c r="V28" s="769"/>
      <c r="W28" s="770"/>
      <c r="X28" s="771"/>
      <c r="Y28" s="3242"/>
      <c r="Z28" s="55"/>
      <c r="AA28" s="1813">
        <v>1</v>
      </c>
      <c r="AB28" s="1813">
        <v>1</v>
      </c>
      <c r="AC28" s="1813">
        <v>1</v>
      </c>
    </row>
    <row r="29" spans="1:29" s="117" customFormat="1" ht="28.5">
      <c r="A29" s="648"/>
      <c r="B29" s="1386"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34"/>
      <c r="M29" s="1135"/>
      <c r="N29" s="1135"/>
      <c r="O29" s="1136"/>
      <c r="P29" s="3242"/>
      <c r="Q29" s="1797" t="str">
        <f t="shared" ref="Q29" si="9">B29</f>
        <v>基础设施水平</v>
      </c>
      <c r="R29" s="769" t="s">
        <v>17</v>
      </c>
      <c r="S29" s="770">
        <f>F29</f>
        <v>100</v>
      </c>
      <c r="T29" s="769" t="s">
        <v>17</v>
      </c>
      <c r="U29" s="770">
        <f>H29</f>
        <v>100</v>
      </c>
      <c r="V29" s="769" t="s">
        <v>17</v>
      </c>
      <c r="W29" s="770">
        <f>J29</f>
        <v>100</v>
      </c>
      <c r="X29" s="771"/>
      <c r="Y29" s="3242"/>
      <c r="Z29" s="55" t="str">
        <f>Q29</f>
        <v>基础设施水平</v>
      </c>
      <c r="AA29" s="1813">
        <f>D29/F29</f>
        <v>1</v>
      </c>
      <c r="AB29" s="1813">
        <f>D29/H29</f>
        <v>1</v>
      </c>
      <c r="AC29" s="1813">
        <f>D29/J29</f>
        <v>1</v>
      </c>
    </row>
    <row r="30" spans="1:29" s="117" customFormat="1" ht="15">
      <c r="A30" s="648"/>
      <c r="B30" s="456"/>
      <c r="C30" s="2700"/>
      <c r="D30" s="448"/>
      <c r="E30" s="2701"/>
      <c r="F30" s="448"/>
      <c r="G30" s="2701"/>
      <c r="H30" s="448"/>
      <c r="I30" s="2701"/>
      <c r="J30" s="448"/>
      <c r="K30" s="671"/>
      <c r="L30" s="1134"/>
      <c r="M30" s="1135"/>
      <c r="N30" s="1135"/>
      <c r="O30" s="1136"/>
      <c r="P30" s="3242"/>
      <c r="Q30" s="1797"/>
      <c r="R30" s="769"/>
      <c r="S30" s="770"/>
      <c r="T30" s="769"/>
      <c r="U30" s="770"/>
      <c r="V30" s="769"/>
      <c r="W30" s="770"/>
      <c r="X30" s="771"/>
      <c r="Y30" s="3242"/>
      <c r="Z30" s="55"/>
      <c r="AA30" s="1813">
        <v>1</v>
      </c>
      <c r="AB30" s="1813">
        <v>1</v>
      </c>
      <c r="AC30" s="1813">
        <v>1</v>
      </c>
    </row>
    <row r="31" spans="1:29" ht="15">
      <c r="A31" s="428"/>
      <c r="B31" s="456" t="s">
        <v>2654</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242"/>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2"/>
      <c r="Z31" s="1816" t="str">
        <f t="shared" ref="Z31:Z45" si="13">Q31</f>
        <v>临街状况</v>
      </c>
      <c r="AA31" s="1813">
        <f t="shared" si="3"/>
        <v>1</v>
      </c>
      <c r="AB31" s="1813">
        <f t="shared" si="4"/>
        <v>1</v>
      </c>
      <c r="AC31" s="1813">
        <f t="shared" si="5"/>
        <v>1</v>
      </c>
    </row>
    <row r="32" spans="1:29" ht="27">
      <c r="A32" s="428"/>
      <c r="B32" s="1386"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42"/>
      <c r="M32" s="1133"/>
      <c r="N32" s="1133"/>
      <c r="O32" s="1141"/>
      <c r="P32" s="3242"/>
      <c r="Q32" s="1812" t="str">
        <f t="shared" si="8"/>
        <v>毗邻道路的类型与等级</v>
      </c>
      <c r="R32" s="773" t="s">
        <v>17</v>
      </c>
      <c r="S32" s="774">
        <f t="shared" si="10"/>
        <v>100</v>
      </c>
      <c r="T32" s="773" t="s">
        <v>17</v>
      </c>
      <c r="U32" s="774">
        <f t="shared" si="11"/>
        <v>100</v>
      </c>
      <c r="V32" s="773" t="s">
        <v>17</v>
      </c>
      <c r="W32" s="774">
        <f t="shared" si="12"/>
        <v>100</v>
      </c>
      <c r="X32" s="1815"/>
      <c r="Y32" s="3242"/>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242"/>
      <c r="Q33" s="1812"/>
      <c r="R33" s="773"/>
      <c r="S33" s="774"/>
      <c r="T33" s="773"/>
      <c r="U33" s="774"/>
      <c r="V33" s="773"/>
      <c r="W33" s="774"/>
      <c r="X33" s="1815"/>
      <c r="Y33" s="3242"/>
      <c r="Z33" s="1816"/>
      <c r="AA33" s="1813">
        <v>1</v>
      </c>
      <c r="AB33" s="1813">
        <v>1</v>
      </c>
      <c r="AC33" s="1813">
        <v>1</v>
      </c>
    </row>
    <row r="34" spans="1:29" ht="15">
      <c r="A34" s="428"/>
      <c r="B34" s="422" t="s">
        <v>2748</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42"/>
      <c r="M34" s="1133"/>
      <c r="N34" s="1133"/>
      <c r="O34" s="1141"/>
      <c r="P34" s="3242"/>
      <c r="Q34" s="1812" t="str">
        <f t="shared" si="8"/>
        <v>土地级别</v>
      </c>
      <c r="R34" s="773" t="s">
        <v>17</v>
      </c>
      <c r="S34" s="774">
        <f t="shared" si="10"/>
        <v>100</v>
      </c>
      <c r="T34" s="773" t="s">
        <v>17</v>
      </c>
      <c r="U34" s="774">
        <f t="shared" si="11"/>
        <v>100</v>
      </c>
      <c r="V34" s="773" t="s">
        <v>17</v>
      </c>
      <c r="W34" s="774">
        <f t="shared" si="12"/>
        <v>100</v>
      </c>
      <c r="X34" s="1815"/>
      <c r="Y34" s="3242"/>
      <c r="Z34" s="1816" t="str">
        <f t="shared" si="13"/>
        <v>土地级别</v>
      </c>
      <c r="AA34" s="1813">
        <f t="shared" si="3"/>
        <v>1</v>
      </c>
      <c r="AB34" s="1813">
        <f t="shared" si="4"/>
        <v>1</v>
      </c>
      <c r="AC34" s="1813">
        <f t="shared" si="5"/>
        <v>1</v>
      </c>
    </row>
    <row r="35" spans="1:29" ht="15">
      <c r="A35" s="404"/>
      <c r="B35" s="1388">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42"/>
      <c r="M35" s="1133"/>
      <c r="N35" s="1133"/>
      <c r="O35" s="1141"/>
      <c r="P35" s="3242"/>
      <c r="Q35" s="1812">
        <f t="shared" si="8"/>
        <v>111</v>
      </c>
      <c r="R35" s="773" t="s">
        <v>17</v>
      </c>
      <c r="S35" s="774">
        <f t="shared" si="10"/>
        <v>100</v>
      </c>
      <c r="T35" s="773" t="s">
        <v>17</v>
      </c>
      <c r="U35" s="774">
        <f t="shared" si="11"/>
        <v>100</v>
      </c>
      <c r="V35" s="773" t="s">
        <v>17</v>
      </c>
      <c r="W35" s="774">
        <f t="shared" si="12"/>
        <v>100</v>
      </c>
      <c r="X35" s="1815"/>
      <c r="Y35" s="3242"/>
      <c r="Z35" s="1816">
        <f t="shared" si="13"/>
        <v>111</v>
      </c>
      <c r="AA35" s="1813">
        <f t="shared" si="3"/>
        <v>1</v>
      </c>
      <c r="AB35" s="1813">
        <f t="shared" si="4"/>
        <v>1</v>
      </c>
      <c r="AC35" s="1813">
        <f t="shared" si="5"/>
        <v>1</v>
      </c>
    </row>
    <row r="36" spans="1:29" ht="15">
      <c r="A36" s="674"/>
      <c r="B36" s="1389">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42"/>
      <c r="M36" s="1133"/>
      <c r="N36" s="1133"/>
      <c r="O36" s="1141"/>
      <c r="P36" s="3321" t="s">
        <v>2563</v>
      </c>
      <c r="Q36" s="1812">
        <f t="shared" si="8"/>
        <v>111</v>
      </c>
      <c r="R36" s="773" t="s">
        <v>17</v>
      </c>
      <c r="S36" s="774">
        <f t="shared" si="10"/>
        <v>100</v>
      </c>
      <c r="T36" s="773" t="s">
        <v>17</v>
      </c>
      <c r="U36" s="774">
        <f t="shared" si="11"/>
        <v>100</v>
      </c>
      <c r="V36" s="773" t="s">
        <v>17</v>
      </c>
      <c r="W36" s="774">
        <f t="shared" si="12"/>
        <v>100</v>
      </c>
      <c r="X36" s="1815"/>
      <c r="Y36" s="3246" t="s">
        <v>2563</v>
      </c>
      <c r="Z36" s="1816">
        <f t="shared" si="13"/>
        <v>111</v>
      </c>
      <c r="AA36" s="1813">
        <f t="shared" si="3"/>
        <v>1</v>
      </c>
      <c r="AB36" s="1813">
        <f t="shared" si="4"/>
        <v>1</v>
      </c>
      <c r="AC36" s="1813">
        <f t="shared" si="5"/>
        <v>1</v>
      </c>
    </row>
    <row r="37" spans="1:29" s="471"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40"/>
      <c r="M37" s="1143"/>
      <c r="N37" s="1143"/>
      <c r="O37" s="1144"/>
      <c r="P37" s="3246"/>
      <c r="Q37" s="1812">
        <f t="shared" si="8"/>
        <v>111</v>
      </c>
      <c r="R37" s="776" t="s">
        <v>17</v>
      </c>
      <c r="S37" s="777">
        <f t="shared" si="10"/>
        <v>100</v>
      </c>
      <c r="T37" s="776" t="s">
        <v>17</v>
      </c>
      <c r="U37" s="777">
        <f t="shared" si="11"/>
        <v>100</v>
      </c>
      <c r="V37" s="776" t="s">
        <v>17</v>
      </c>
      <c r="W37" s="777">
        <f t="shared" si="12"/>
        <v>100</v>
      </c>
      <c r="X37" s="778"/>
      <c r="Y37" s="3246"/>
      <c r="Z37" s="779">
        <f t="shared" si="13"/>
        <v>111</v>
      </c>
      <c r="AA37" s="1813">
        <f t="shared" si="3"/>
        <v>1</v>
      </c>
      <c r="AB37" s="1813">
        <f t="shared" si="4"/>
        <v>1</v>
      </c>
      <c r="AC37" s="1813">
        <f t="shared" si="5"/>
        <v>1</v>
      </c>
    </row>
    <row r="38" spans="1:29" ht="15">
      <c r="A38" s="472" t="s">
        <v>2561</v>
      </c>
      <c r="B38" s="456" t="s">
        <v>2749</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42"/>
      <c r="M38" s="1133"/>
      <c r="N38" s="1133"/>
      <c r="O38" s="1141"/>
      <c r="P38" s="3246"/>
      <c r="Q38" s="1812" t="str">
        <f>B38</f>
        <v>宗地面积</v>
      </c>
      <c r="R38" s="773" t="s">
        <v>17</v>
      </c>
      <c r="S38" s="774" t="e">
        <f t="shared" si="10"/>
        <v>#N/A</v>
      </c>
      <c r="T38" s="773" t="s">
        <v>17</v>
      </c>
      <c r="U38" s="774" t="e">
        <f t="shared" si="11"/>
        <v>#N/A</v>
      </c>
      <c r="V38" s="773" t="s">
        <v>17</v>
      </c>
      <c r="W38" s="774" t="e">
        <f t="shared" si="12"/>
        <v>#N/A</v>
      </c>
      <c r="X38" s="1815"/>
      <c r="Y38" s="3246"/>
      <c r="Z38" s="1816" t="str">
        <f t="shared" si="13"/>
        <v>宗地面积</v>
      </c>
      <c r="AA38" s="1813" t="e">
        <f t="shared" si="3"/>
        <v>#N/A</v>
      </c>
      <c r="AB38" s="1813" t="e">
        <f t="shared" si="4"/>
        <v>#N/A</v>
      </c>
      <c r="AC38" s="1813" t="e">
        <f t="shared" si="5"/>
        <v>#N/A</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246"/>
      <c r="Q39" s="1812" t="str">
        <f t="shared" ref="Q39:Q45" si="14">B39</f>
        <v>宗地形状</v>
      </c>
      <c r="R39" s="773" t="s">
        <v>17</v>
      </c>
      <c r="S39" s="774">
        <f t="shared" si="10"/>
        <v>100</v>
      </c>
      <c r="T39" s="773" t="s">
        <v>17</v>
      </c>
      <c r="U39" s="774">
        <f t="shared" si="11"/>
        <v>100</v>
      </c>
      <c r="V39" s="773" t="s">
        <v>17</v>
      </c>
      <c r="W39" s="774">
        <f t="shared" si="12"/>
        <v>100</v>
      </c>
      <c r="X39" s="1815"/>
      <c r="Y39" s="3246"/>
      <c r="Z39" s="1816" t="str">
        <f t="shared" si="13"/>
        <v>宗地形状</v>
      </c>
      <c r="AA39" s="1813">
        <f t="shared" si="3"/>
        <v>1</v>
      </c>
      <c r="AB39" s="1813">
        <f t="shared" si="4"/>
        <v>1</v>
      </c>
      <c r="AC39" s="1813">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246"/>
      <c r="Q40" s="1812" t="str">
        <f t="shared" si="14"/>
        <v>临街宽度及深度</v>
      </c>
      <c r="R40" s="773" t="s">
        <v>17</v>
      </c>
      <c r="S40" s="774">
        <f t="shared" si="10"/>
        <v>100</v>
      </c>
      <c r="T40" s="773" t="s">
        <v>17</v>
      </c>
      <c r="U40" s="774">
        <f t="shared" si="11"/>
        <v>100</v>
      </c>
      <c r="V40" s="773" t="s">
        <v>17</v>
      </c>
      <c r="W40" s="774">
        <f t="shared" si="12"/>
        <v>100</v>
      </c>
      <c r="X40" s="1815"/>
      <c r="Y40" s="3246"/>
      <c r="Z40" s="1816" t="str">
        <f t="shared" si="13"/>
        <v>临街宽度及深度</v>
      </c>
      <c r="AA40" s="1813">
        <f t="shared" si="3"/>
        <v>1</v>
      </c>
      <c r="AB40" s="1813">
        <f t="shared" si="4"/>
        <v>1</v>
      </c>
      <c r="AC40" s="1813">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246"/>
      <c r="Q41" s="1812" t="str">
        <f t="shared" si="14"/>
        <v>宗地开发程度</v>
      </c>
      <c r="R41" s="769" t="s">
        <v>17</v>
      </c>
      <c r="S41" s="770">
        <f t="shared" si="10"/>
        <v>100</v>
      </c>
      <c r="T41" s="769" t="s">
        <v>17</v>
      </c>
      <c r="U41" s="770">
        <f t="shared" si="11"/>
        <v>100</v>
      </c>
      <c r="V41" s="769" t="s">
        <v>17</v>
      </c>
      <c r="W41" s="770">
        <f t="shared" si="12"/>
        <v>100</v>
      </c>
      <c r="X41" s="771"/>
      <c r="Y41" s="3246"/>
      <c r="Z41" s="55" t="str">
        <f t="shared" si="13"/>
        <v>宗地开发程度</v>
      </c>
      <c r="AA41" s="772">
        <f t="shared" si="3"/>
        <v>1</v>
      </c>
      <c r="AB41" s="772">
        <f t="shared" si="4"/>
        <v>1</v>
      </c>
      <c r="AC41" s="772">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246" t="s">
        <v>2563</v>
      </c>
      <c r="Q42" s="1812" t="str">
        <f t="shared" si="14"/>
        <v>工程地质条件</v>
      </c>
      <c r="R42" s="773" t="s">
        <v>17</v>
      </c>
      <c r="S42" s="774">
        <f t="shared" si="10"/>
        <v>100</v>
      </c>
      <c r="T42" s="773" t="s">
        <v>17</v>
      </c>
      <c r="U42" s="774">
        <f t="shared" si="11"/>
        <v>100</v>
      </c>
      <c r="V42" s="773" t="s">
        <v>17</v>
      </c>
      <c r="W42" s="774">
        <f t="shared" si="12"/>
        <v>100</v>
      </c>
      <c r="X42" s="1815"/>
      <c r="Y42" s="3246" t="s">
        <v>2563</v>
      </c>
      <c r="Z42" s="1816" t="str">
        <f t="shared" si="13"/>
        <v>工程地质条件</v>
      </c>
      <c r="AA42" s="1813">
        <f t="shared" si="3"/>
        <v>1</v>
      </c>
      <c r="AB42" s="1813">
        <f t="shared" si="4"/>
        <v>1</v>
      </c>
      <c r="AC42" s="1813">
        <f t="shared" si="5"/>
        <v>1</v>
      </c>
    </row>
    <row r="43" spans="1:29" ht="15">
      <c r="A43" s="472"/>
      <c r="B43" s="1389">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42"/>
      <c r="M43" s="1133"/>
      <c r="N43" s="1133"/>
      <c r="O43" s="1141"/>
      <c r="P43" s="3246"/>
      <c r="Q43" s="1812">
        <f t="shared" si="14"/>
        <v>111</v>
      </c>
      <c r="R43" s="773" t="s">
        <v>17</v>
      </c>
      <c r="S43" s="774">
        <f t="shared" si="10"/>
        <v>100</v>
      </c>
      <c r="T43" s="773" t="s">
        <v>17</v>
      </c>
      <c r="U43" s="774">
        <f t="shared" si="11"/>
        <v>100</v>
      </c>
      <c r="V43" s="773" t="s">
        <v>17</v>
      </c>
      <c r="W43" s="774">
        <f t="shared" si="12"/>
        <v>100</v>
      </c>
      <c r="X43" s="1815"/>
      <c r="Y43" s="3246"/>
      <c r="Z43" s="1816">
        <f t="shared" si="13"/>
        <v>111</v>
      </c>
      <c r="AA43" s="1813">
        <f t="shared" si="3"/>
        <v>1</v>
      </c>
      <c r="AB43" s="1813">
        <f t="shared" si="4"/>
        <v>1</v>
      </c>
      <c r="AC43" s="1813">
        <f t="shared" si="5"/>
        <v>1</v>
      </c>
    </row>
    <row r="44" spans="1:29" ht="15">
      <c r="A44" s="472"/>
      <c r="B44" s="1389">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42"/>
      <c r="M44" s="1133"/>
      <c r="N44" s="1133"/>
      <c r="O44" s="1141"/>
      <c r="P44" s="3246"/>
      <c r="Q44" s="1812">
        <f t="shared" si="14"/>
        <v>111</v>
      </c>
      <c r="R44" s="773" t="s">
        <v>17</v>
      </c>
      <c r="S44" s="774">
        <f t="shared" si="10"/>
        <v>100</v>
      </c>
      <c r="T44" s="773" t="s">
        <v>17</v>
      </c>
      <c r="U44" s="774">
        <f t="shared" si="11"/>
        <v>100</v>
      </c>
      <c r="V44" s="773" t="s">
        <v>17</v>
      </c>
      <c r="W44" s="774">
        <f t="shared" si="12"/>
        <v>100</v>
      </c>
      <c r="X44" s="1815"/>
      <c r="Y44" s="3246"/>
      <c r="Z44" s="1816">
        <f t="shared" si="13"/>
        <v>111</v>
      </c>
      <c r="AA44" s="1813">
        <f t="shared" si="3"/>
        <v>1</v>
      </c>
      <c r="AB44" s="1813">
        <f t="shared" si="4"/>
        <v>1</v>
      </c>
      <c r="AC44" s="1813">
        <f t="shared" si="5"/>
        <v>1</v>
      </c>
    </row>
    <row r="45" spans="1:29" s="471" customFormat="1" ht="15.75" thickBot="1">
      <c r="A45" s="468"/>
      <c r="B45" s="1389">
        <v>111</v>
      </c>
      <c r="C45" s="2703"/>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246"/>
      <c r="Q45" s="1812">
        <f t="shared" si="14"/>
        <v>111</v>
      </c>
      <c r="R45" s="776" t="s">
        <v>17</v>
      </c>
      <c r="S45" s="777">
        <f t="shared" si="10"/>
        <v>100</v>
      </c>
      <c r="T45" s="776" t="s">
        <v>17</v>
      </c>
      <c r="U45" s="777">
        <f t="shared" si="11"/>
        <v>100</v>
      </c>
      <c r="V45" s="776" t="s">
        <v>17</v>
      </c>
      <c r="W45" s="777">
        <f t="shared" si="12"/>
        <v>100</v>
      </c>
      <c r="X45" s="778"/>
      <c r="Y45" s="3246"/>
      <c r="Z45" s="779">
        <f t="shared" si="13"/>
        <v>111</v>
      </c>
      <c r="AA45" s="1813">
        <f t="shared" si="3"/>
        <v>1</v>
      </c>
      <c r="AB45" s="1813">
        <f t="shared" si="4"/>
        <v>1</v>
      </c>
      <c r="AC45" s="1813">
        <f t="shared" si="5"/>
        <v>1</v>
      </c>
    </row>
    <row r="46" spans="1:29" ht="15">
      <c r="A46" s="479" t="s">
        <v>2718</v>
      </c>
      <c r="B46" s="2704" t="s">
        <v>2754</v>
      </c>
      <c r="C46" s="681" t="s">
        <v>1</v>
      </c>
      <c r="D46" s="481"/>
      <c r="E46" s="482"/>
      <c r="F46" s="483"/>
      <c r="G46" s="484"/>
      <c r="H46" s="485"/>
      <c r="I46" s="482"/>
      <c r="J46" s="485"/>
      <c r="K46" s="782"/>
      <c r="L46" s="1145"/>
      <c r="M46" s="1146"/>
      <c r="N46" s="1133"/>
      <c r="O46" s="1146"/>
      <c r="P46" s="3234" t="str">
        <f>A46</f>
        <v>成交单价</v>
      </c>
      <c r="Q46" s="3234"/>
      <c r="R46" s="3248">
        <f>E46</f>
        <v>0</v>
      </c>
      <c r="S46" s="3248"/>
      <c r="T46" s="3248">
        <f>G46</f>
        <v>0</v>
      </c>
      <c r="U46" s="3248"/>
      <c r="V46" s="3248">
        <f>I46</f>
        <v>0</v>
      </c>
      <c r="W46" s="3248"/>
      <c r="X46" s="758"/>
      <c r="Y46" s="780"/>
      <c r="Z46" s="758"/>
      <c r="AA46" s="758"/>
      <c r="AB46" s="758"/>
      <c r="AC46" s="758"/>
    </row>
    <row r="47" spans="1:29" ht="15.75" thickBot="1">
      <c r="A47" s="486" t="s">
        <v>2667</v>
      </c>
      <c r="B47" s="682"/>
      <c r="C47" s="490" t="e">
        <f>R48</f>
        <v>#DIV/0!</v>
      </c>
      <c r="D47" s="489"/>
      <c r="E47" s="490" t="e">
        <f>R47</f>
        <v>#DIV/0!</v>
      </c>
      <c r="F47" s="491"/>
      <c r="G47" s="488" t="e">
        <f>T47</f>
        <v>#DIV/0!</v>
      </c>
      <c r="H47" s="489"/>
      <c r="I47" s="490" t="e">
        <f>V47</f>
        <v>#DIV/0!</v>
      </c>
      <c r="J47" s="489"/>
      <c r="K47" s="783"/>
      <c r="L47" s="1145"/>
      <c r="M47" s="1146"/>
      <c r="N47" s="1146"/>
      <c r="O47" s="1146"/>
      <c r="P47" s="3234" t="str">
        <f>A47</f>
        <v>比较价值（元/平方米）</v>
      </c>
      <c r="Q47" s="3234"/>
      <c r="R47" s="3322" t="e">
        <f>ROUND(PRODUCT(R46,AA7:AA45),0)</f>
        <v>#DIV/0!</v>
      </c>
      <c r="S47" s="3322"/>
      <c r="T47" s="3322" t="e">
        <f>ROUND(PRODUCT(T46,AB7:AB45),0)</f>
        <v>#DIV/0!</v>
      </c>
      <c r="U47" s="3322"/>
      <c r="V47" s="3322" t="e">
        <f>ROUND(PRODUCT(V46,AC7:AC45),0)</f>
        <v>#DIV/0!</v>
      </c>
      <c r="W47" s="3322"/>
      <c r="X47" s="758"/>
      <c r="Y47" s="758"/>
      <c r="Z47" s="758"/>
      <c r="AA47" s="758"/>
      <c r="AB47" s="758"/>
      <c r="AC47" s="758"/>
    </row>
    <row r="48" spans="1:29" ht="15.75" thickBot="1">
      <c r="A48" s="492" t="s">
        <v>2755</v>
      </c>
      <c r="B48" s="493"/>
      <c r="C48" s="494" t="e">
        <f>R48</f>
        <v>#DIV/0!</v>
      </c>
      <c r="D48" s="494"/>
      <c r="E48" s="494"/>
      <c r="F48" s="494"/>
      <c r="G48" s="494"/>
      <c r="H48" s="494"/>
      <c r="I48" s="494"/>
      <c r="J48" s="494"/>
      <c r="K48" s="784"/>
      <c r="L48" s="1145"/>
      <c r="M48" s="1146"/>
      <c r="N48" s="1146"/>
      <c r="O48" s="1146"/>
      <c r="P48" s="3236" t="str">
        <f>A48</f>
        <v>估价对象XX用房的比较价值（楼面单价，元/平方米）</v>
      </c>
      <c r="Q48" s="3237"/>
      <c r="R48" s="3323" t="e">
        <f>ROUND(AVERAGE(R47:V47),0)</f>
        <v>#DIV/0!</v>
      </c>
      <c r="S48" s="3323"/>
      <c r="T48" s="3323"/>
      <c r="U48" s="3323"/>
      <c r="V48" s="3323"/>
      <c r="W48" s="3323"/>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3" t="s">
        <v>2756</v>
      </c>
      <c r="B55" s="684" t="s">
        <v>2757</v>
      </c>
      <c r="C55" s="2705" t="s">
        <v>2758</v>
      </c>
      <c r="D55" s="2706" t="s">
        <v>2759</v>
      </c>
      <c r="E55" s="685" t="s">
        <v>2760</v>
      </c>
      <c r="F55" s="1109" t="s">
        <v>2761</v>
      </c>
      <c r="G55" s="3253" t="s">
        <v>2762</v>
      </c>
      <c r="H55" s="3324"/>
      <c r="I55" s="144" t="s">
        <v>2763</v>
      </c>
      <c r="J55" s="2707" t="str">
        <f>项目基本情况!F35</f>
        <v>江苏省宿迁市</v>
      </c>
      <c r="K55" s="2708" t="s">
        <v>2764</v>
      </c>
      <c r="L55" s="1108"/>
      <c r="M55" s="1146"/>
      <c r="N55" s="1146"/>
      <c r="O55" s="1146"/>
    </row>
    <row r="56" spans="1:15" s="691" customFormat="1">
      <c r="A56" s="687" t="s">
        <v>2765</v>
      </c>
      <c r="B56" s="688" t="e">
        <f>C48</f>
        <v>#DIV/0!</v>
      </c>
      <c r="C56" s="689">
        <v>1</v>
      </c>
      <c r="D56" s="1165">
        <v>1</v>
      </c>
      <c r="E56" s="689">
        <f>'数据-汇总表'!E8+'数据-汇总表'!E9</f>
        <v>4833.9999999999973</v>
      </c>
      <c r="F56" s="1105" t="e">
        <f t="shared" ref="F56:F65" si="15">ROUND(B56*E56/10000,0)</f>
        <v>#DIV/0!</v>
      </c>
      <c r="G56" s="3249"/>
      <c r="H56" s="3234"/>
      <c r="I56" s="1110">
        <v>1</v>
      </c>
      <c r="J56" s="1113">
        <v>1</v>
      </c>
      <c r="K56" s="1147"/>
      <c r="L56" s="943"/>
      <c r="M56" s="943"/>
      <c r="N56" s="943"/>
      <c r="O56" s="943"/>
    </row>
    <row r="57" spans="1:15" s="691" customFormat="1">
      <c r="A57" s="692" t="s">
        <v>2766</v>
      </c>
      <c r="B57" s="262" t="e">
        <f>ROUND($C$48*C57*D57,0)</f>
        <v>#DIV/0!</v>
      </c>
      <c r="C57" s="200">
        <f t="shared" ref="C57:C65" si="16">IF($C$55="北京市系数",I57,J57)</f>
        <v>0.8</v>
      </c>
      <c r="D57" s="1166">
        <v>0.25</v>
      </c>
      <c r="E57" s="693"/>
      <c r="F57" s="1105" t="e">
        <f t="shared" si="15"/>
        <v>#DIV/0!</v>
      </c>
      <c r="G57" s="3325" t="s">
        <v>2767</v>
      </c>
      <c r="H57" s="1106" t="str">
        <f>项目基本情况!B37</f>
        <v>一级</v>
      </c>
      <c r="I57" s="1110">
        <f>SUMIF(修正!A45:A56,H57,修正!B45:B56)</f>
        <v>0.8</v>
      </c>
      <c r="J57" s="1114"/>
      <c r="K57" s="1146"/>
      <c r="L57" s="943"/>
      <c r="M57" s="943"/>
      <c r="N57" s="943"/>
      <c r="O57" s="943"/>
    </row>
    <row r="58" spans="1:15" s="691" customFormat="1">
      <c r="A58" s="692" t="s">
        <v>2768</v>
      </c>
      <c r="B58" s="262" t="e">
        <f t="shared" ref="B58:B65" si="17">ROUND($C$48*C58*D58,0)</f>
        <v>#DIV/0!</v>
      </c>
      <c r="C58" s="200">
        <f t="shared" si="16"/>
        <v>0.5</v>
      </c>
      <c r="D58" s="1166">
        <v>0.25</v>
      </c>
      <c r="E58" s="693"/>
      <c r="F58" s="1105" t="e">
        <f t="shared" si="15"/>
        <v>#DIV/0!</v>
      </c>
      <c r="G58" s="3325"/>
      <c r="H58" s="1106" t="str">
        <f>项目基本情况!B37</f>
        <v>一级</v>
      </c>
      <c r="I58" s="1110">
        <f>SUMIF(修正!A45:A56,H58,修正!C45:C56)</f>
        <v>0.5</v>
      </c>
      <c r="J58" s="1114"/>
      <c r="K58" s="1147"/>
      <c r="L58" s="943"/>
      <c r="M58" s="943"/>
      <c r="N58" s="943"/>
      <c r="O58" s="943"/>
    </row>
    <row r="59" spans="1:15" s="691" customFormat="1">
      <c r="A59" s="692" t="s">
        <v>2769</v>
      </c>
      <c r="B59" s="262" t="e">
        <f t="shared" si="17"/>
        <v>#DIV/0!</v>
      </c>
      <c r="C59" s="200">
        <f t="shared" si="16"/>
        <v>0.36</v>
      </c>
      <c r="D59" s="1166">
        <v>0.25</v>
      </c>
      <c r="E59" s="693"/>
      <c r="F59" s="1105" t="e">
        <f t="shared" si="15"/>
        <v>#DIV/0!</v>
      </c>
      <c r="G59" s="3325"/>
      <c r="H59" s="1106" t="str">
        <f>项目基本情况!B37</f>
        <v>一级</v>
      </c>
      <c r="I59" s="1110">
        <f>SUMIF(修正!A45:A56,H59,修正!D45:D56)</f>
        <v>0.36</v>
      </c>
      <c r="J59" s="1114"/>
      <c r="K59" s="1146"/>
      <c r="L59" s="943"/>
      <c r="M59" s="943"/>
      <c r="N59" s="943"/>
      <c r="O59" s="943"/>
    </row>
    <row r="60" spans="1:15" s="691" customFormat="1">
      <c r="A60" s="692" t="s">
        <v>2770</v>
      </c>
      <c r="B60" s="262" t="e">
        <f t="shared" si="17"/>
        <v>#DIV/0!</v>
      </c>
      <c r="C60" s="200">
        <f t="shared" si="16"/>
        <v>0.3</v>
      </c>
      <c r="D60" s="1166">
        <v>0.25</v>
      </c>
      <c r="E60" s="693"/>
      <c r="F60" s="1105" t="e">
        <f t="shared" si="15"/>
        <v>#DIV/0!</v>
      </c>
      <c r="G60" s="3325"/>
      <c r="H60" s="1106" t="str">
        <f>项目基本情况!B37</f>
        <v>一级</v>
      </c>
      <c r="I60" s="1110">
        <f>SUMIF(修正!A45:A56,H60,修正!E45:E56)</f>
        <v>0.3</v>
      </c>
      <c r="J60" s="1114"/>
      <c r="K60" s="1147"/>
      <c r="L60" s="943"/>
      <c r="M60" s="943"/>
      <c r="N60" s="943"/>
      <c r="O60" s="943"/>
    </row>
    <row r="61" spans="1:15" s="691" customFormat="1">
      <c r="A61" s="692" t="s">
        <v>2771</v>
      </c>
      <c r="B61" s="262" t="e">
        <f t="shared" si="17"/>
        <v>#DIV/0!</v>
      </c>
      <c r="C61" s="200">
        <f t="shared" si="16"/>
        <v>0</v>
      </c>
      <c r="D61" s="1166">
        <v>0.25</v>
      </c>
      <c r="E61" s="261">
        <f>'数据-汇总表'!E11</f>
        <v>0</v>
      </c>
      <c r="F61" s="1105" t="e">
        <f t="shared" si="15"/>
        <v>#DIV/0!</v>
      </c>
      <c r="G61" s="2709" t="s">
        <v>2772</v>
      </c>
      <c r="H61" s="1106">
        <f>项目基本情况!C37</f>
        <v>0</v>
      </c>
      <c r="I61" s="1110">
        <f>SUMIF(修正!A45:A56,H61,修正!F45:F56)</f>
        <v>0</v>
      </c>
      <c r="J61" s="1114"/>
      <c r="K61" s="1146"/>
      <c r="L61" s="943"/>
      <c r="M61" s="943"/>
      <c r="N61" s="943"/>
      <c r="O61" s="943"/>
    </row>
    <row r="62" spans="1:15" s="691" customFormat="1">
      <c r="A62" s="692" t="s">
        <v>2773</v>
      </c>
      <c r="B62" s="262" t="e">
        <f t="shared" si="17"/>
        <v>#DIV/0!</v>
      </c>
      <c r="C62" s="200">
        <f t="shared" si="16"/>
        <v>0</v>
      </c>
      <c r="D62" s="1166">
        <v>0.25</v>
      </c>
      <c r="E62" s="261">
        <f>'数据-汇总表'!E12</f>
        <v>0</v>
      </c>
      <c r="F62" s="1105" t="e">
        <f t="shared" si="15"/>
        <v>#DIV/0!</v>
      </c>
      <c r="G62" s="1111" t="s">
        <v>2774</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2775</v>
      </c>
      <c r="B63" s="262" t="e">
        <f t="shared" si="17"/>
        <v>#DIV/0!</v>
      </c>
      <c r="C63" s="200">
        <f t="shared" si="16"/>
        <v>0</v>
      </c>
      <c r="D63" s="1166">
        <v>0.25</v>
      </c>
      <c r="E63" s="261">
        <f>'数据-汇总表'!E13</f>
        <v>0</v>
      </c>
      <c r="F63" s="1105" t="e">
        <f t="shared" si="15"/>
        <v>#DIV/0!</v>
      </c>
      <c r="G63" s="1111" t="s">
        <v>2776</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2777</v>
      </c>
      <c r="B64" s="262" t="e">
        <f t="shared" si="17"/>
        <v>#DIV/0!</v>
      </c>
      <c r="C64" s="200">
        <f t="shared" si="16"/>
        <v>0.25</v>
      </c>
      <c r="D64" s="1166">
        <v>0.25</v>
      </c>
      <c r="E64" s="261">
        <f>'数据-汇总表'!E14</f>
        <v>0</v>
      </c>
      <c r="F64" s="1105" t="e">
        <f t="shared" si="15"/>
        <v>#DIV/0!</v>
      </c>
      <c r="G64" s="2709" t="s">
        <v>2767</v>
      </c>
      <c r="H64" s="1106" t="str">
        <f>项目基本情况!B37</f>
        <v>一级</v>
      </c>
      <c r="I64" s="1110">
        <f>SUMIF(修正!A45:A56,H64,修正!H45:H56)</f>
        <v>0.25</v>
      </c>
      <c r="J64" s="1114"/>
      <c r="K64" s="1147"/>
      <c r="L64" s="943"/>
      <c r="M64" s="943"/>
      <c r="N64" s="943"/>
      <c r="O64" s="943"/>
    </row>
    <row r="65" spans="1:17" s="691" customFormat="1" ht="15" thickBot="1">
      <c r="A65" s="692" t="s">
        <v>2778</v>
      </c>
      <c r="B65" s="262" t="e">
        <f t="shared" si="17"/>
        <v>#DIV/0!</v>
      </c>
      <c r="C65" s="200">
        <f t="shared" si="16"/>
        <v>0</v>
      </c>
      <c r="D65" s="1166">
        <v>0.25</v>
      </c>
      <c r="E65" s="261">
        <f>'数据-汇总表'!E15</f>
        <v>0</v>
      </c>
      <c r="F65" s="1105" t="e">
        <f t="shared" si="15"/>
        <v>#DIV/0!</v>
      </c>
      <c r="G65" s="2710" t="s">
        <v>2772</v>
      </c>
      <c r="H65" s="1116">
        <f>项目基本情况!C37</f>
        <v>0</v>
      </c>
      <c r="I65" s="1112">
        <f>SUMIF(修正!A45:A56,H65,修正!H45:H56)</f>
        <v>0</v>
      </c>
      <c r="J65" s="1115"/>
      <c r="K65" s="1146"/>
      <c r="L65" s="943"/>
      <c r="M65" s="943"/>
      <c r="N65" s="943"/>
      <c r="O65" s="943"/>
    </row>
    <row r="66" spans="1:17" s="691" customFormat="1" ht="13.5" thickBot="1">
      <c r="A66" s="694" t="s">
        <v>2779</v>
      </c>
      <c r="B66" s="695" t="s">
        <v>28</v>
      </c>
      <c r="C66" s="695" t="s">
        <v>29</v>
      </c>
      <c r="D66" s="695" t="s">
        <v>1029</v>
      </c>
      <c r="E66" s="695">
        <f>IF(B46="楼面地价",SUM(E56:E65),'数据-汇总表'!D3)</f>
        <v>4833.9999999999973</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2672</v>
      </c>
      <c r="B69" s="758"/>
      <c r="C69" s="763"/>
      <c r="D69" s="763"/>
      <c r="E69" s="763"/>
      <c r="F69" s="764"/>
      <c r="G69" s="764"/>
      <c r="H69" s="763"/>
      <c r="I69" s="763"/>
      <c r="J69" s="1161"/>
      <c r="K69" s="1162"/>
      <c r="L69" s="1163"/>
      <c r="M69" s="1161"/>
      <c r="N69" s="1161"/>
      <c r="O69" s="1161"/>
      <c r="P69" s="503"/>
      <c r="Q69" s="504"/>
    </row>
    <row r="70" spans="1:17" s="508" customFormat="1" ht="15">
      <c r="A70" s="2711" t="s">
        <v>2780</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7"/>
    </row>
    <row r="71" spans="1:17" s="117" customFormat="1" ht="30" customHeight="1">
      <c r="A71" s="2712" t="s">
        <v>2781</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75" thickBot="1">
      <c r="A72" s="515" t="s">
        <v>2583</v>
      </c>
      <c r="B72" s="516"/>
      <c r="C72" s="517"/>
      <c r="D72" s="518"/>
      <c r="E72" s="518"/>
      <c r="F72" s="518"/>
      <c r="G72" s="518"/>
      <c r="H72" s="518"/>
      <c r="I72" s="518"/>
      <c r="J72" s="518"/>
      <c r="K72" s="518"/>
      <c r="L72" s="518"/>
      <c r="M72" s="519"/>
      <c r="N72" s="518"/>
      <c r="O72" s="1164"/>
      <c r="P72" s="504"/>
      <c r="Q72" s="504"/>
    </row>
    <row r="73" spans="1:17" s="117" customFormat="1" ht="15">
      <c r="A73" s="521" t="s">
        <v>2548</v>
      </c>
      <c r="B73" s="510"/>
      <c r="C73" s="522" t="s">
        <v>2650</v>
      </c>
      <c r="D73" s="523"/>
      <c r="E73" s="523"/>
      <c r="F73" s="523"/>
      <c r="G73" s="523"/>
      <c r="H73" s="523"/>
      <c r="I73" s="523"/>
      <c r="J73" s="523"/>
      <c r="K73" s="523"/>
      <c r="L73" s="524"/>
      <c r="M73" s="525"/>
      <c r="N73" s="1153"/>
      <c r="O73" s="1153"/>
      <c r="P73" s="526"/>
      <c r="Q73" s="504"/>
    </row>
    <row r="74" spans="1:17" s="117" customFormat="1" ht="15.75" thickBot="1">
      <c r="A74" s="521"/>
      <c r="B74" s="510"/>
      <c r="C74" s="638">
        <v>100</v>
      </c>
      <c r="D74" s="512"/>
      <c r="E74" s="512"/>
      <c r="F74" s="512"/>
      <c r="G74" s="512"/>
      <c r="H74" s="512"/>
      <c r="I74" s="512"/>
      <c r="J74" s="512"/>
      <c r="K74" s="512"/>
      <c r="L74" s="512"/>
      <c r="M74" s="514"/>
      <c r="N74" s="1153"/>
      <c r="O74" s="1153"/>
      <c r="P74" s="504"/>
      <c r="Q74" s="504"/>
    </row>
    <row r="75" spans="1:17">
      <c r="A75" s="527" t="s">
        <v>2586</v>
      </c>
      <c r="B75" s="528" t="s">
        <v>2552</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2555</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7"/>
      <c r="M96" s="621"/>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1"/>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2653</v>
      </c>
      <c r="C102" s="659" t="s">
        <v>2673</v>
      </c>
      <c r="D102" s="659" t="s">
        <v>2674</v>
      </c>
      <c r="E102" s="659" t="s">
        <v>2675</v>
      </c>
      <c r="F102" s="659" t="s">
        <v>2676</v>
      </c>
      <c r="G102" s="659" t="s">
        <v>2677</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2689</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2748</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4"/>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6"/>
      <c r="E115" s="676"/>
      <c r="F115" s="676"/>
      <c r="G115" s="676"/>
      <c r="H115" s="676"/>
      <c r="I115" s="676"/>
      <c r="J115" s="676"/>
      <c r="K115" s="676"/>
      <c r="L115" s="676"/>
      <c r="M115" s="698"/>
      <c r="N115" s="1155"/>
      <c r="O115" s="1155"/>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2790</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2791</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2792</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2793</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699"/>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2327</v>
      </c>
      <c r="B3" s="609" t="e">
        <f>ROUND(IF(D3="",B2*10000/'数据-汇总表'!E3,B2*10000/D3),0)</f>
        <v>#DIV/0!</v>
      </c>
      <c r="C3" s="247" t="s">
        <v>2744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2643</v>
      </c>
      <c r="B4" s="402"/>
      <c r="C4" s="3253" t="s">
        <v>2644</v>
      </c>
      <c r="D4" s="3254"/>
      <c r="E4" s="3255" t="s">
        <v>2645</v>
      </c>
      <c r="F4" s="3256"/>
      <c r="G4" s="3253" t="s">
        <v>2646</v>
      </c>
      <c r="H4" s="3254"/>
      <c r="I4" s="3253" t="s">
        <v>2647</v>
      </c>
      <c r="J4" s="3254"/>
      <c r="K4" s="610" t="s">
        <v>2648</v>
      </c>
      <c r="L4" s="1132"/>
      <c r="M4" s="1133"/>
      <c r="N4" s="1133"/>
      <c r="O4" s="1133"/>
      <c r="P4" s="3257" t="s">
        <v>2649</v>
      </c>
      <c r="Q4" s="3258"/>
      <c r="R4" s="3263" t="s">
        <v>2645</v>
      </c>
      <c r="S4" s="3264"/>
      <c r="T4" s="3263" t="s">
        <v>2646</v>
      </c>
      <c r="U4" s="3264"/>
      <c r="V4" s="3248" t="s">
        <v>2647</v>
      </c>
      <c r="W4" s="3248"/>
      <c r="X4" s="1815"/>
      <c r="Y4" s="3263" t="s">
        <v>2649</v>
      </c>
      <c r="Z4" s="3264"/>
      <c r="AA4" s="3250" t="s">
        <v>2645</v>
      </c>
      <c r="AB4" s="3251" t="s">
        <v>2646</v>
      </c>
      <c r="AC4" s="3250" t="s">
        <v>2647</v>
      </c>
    </row>
    <row r="5" spans="1:29" ht="15">
      <c r="A5" s="404"/>
      <c r="B5" s="405"/>
      <c r="C5" s="3303" t="s">
        <v>2540</v>
      </c>
      <c r="D5" s="3272"/>
      <c r="E5" s="3305" t="s">
        <v>2541</v>
      </c>
      <c r="F5" s="3280"/>
      <c r="G5" s="3303" t="s">
        <v>2542</v>
      </c>
      <c r="H5" s="3272"/>
      <c r="I5" s="3303" t="s">
        <v>2543</v>
      </c>
      <c r="J5" s="3272"/>
      <c r="K5" s="610"/>
      <c r="L5" s="1132"/>
      <c r="M5" s="1133"/>
      <c r="N5" s="1133"/>
      <c r="O5" s="1133"/>
      <c r="P5" s="3259"/>
      <c r="Q5" s="3260"/>
      <c r="R5" s="3265"/>
      <c r="S5" s="3266"/>
      <c r="T5" s="3265"/>
      <c r="U5" s="3266"/>
      <c r="V5" s="3248"/>
      <c r="W5" s="3248"/>
      <c r="X5" s="1815"/>
      <c r="Y5" s="3265"/>
      <c r="Z5" s="3266"/>
      <c r="AA5" s="3251"/>
      <c r="AB5" s="3251"/>
      <c r="AC5" s="3251"/>
    </row>
    <row r="6" spans="1:29" ht="15.75" thickBot="1">
      <c r="A6" s="406"/>
      <c r="B6" s="407"/>
      <c r="C6" s="3326" t="s">
        <v>2795</v>
      </c>
      <c r="D6" s="3327"/>
      <c r="E6" s="3328" t="s">
        <v>2795</v>
      </c>
      <c r="F6" s="3329"/>
      <c r="G6" s="3326" t="s">
        <v>2795</v>
      </c>
      <c r="H6" s="3327"/>
      <c r="I6" s="3326" t="s">
        <v>2795</v>
      </c>
      <c r="J6" s="3327"/>
      <c r="K6" s="610" t="s">
        <v>2545</v>
      </c>
      <c r="L6" s="1132"/>
      <c r="M6" s="1133"/>
      <c r="N6" s="1133"/>
      <c r="O6" s="1133"/>
      <c r="P6" s="3261"/>
      <c r="Q6" s="3262"/>
      <c r="R6" s="3265"/>
      <c r="S6" s="3266"/>
      <c r="T6" s="3267"/>
      <c r="U6" s="3268"/>
      <c r="V6" s="3248"/>
      <c r="W6" s="3248"/>
      <c r="X6" s="1815"/>
      <c r="Y6" s="3267"/>
      <c r="Z6" s="3268"/>
      <c r="AA6" s="3252"/>
      <c r="AB6" s="3252"/>
      <c r="AC6" s="3252"/>
    </row>
    <row r="7" spans="1:29" s="117" customFormat="1" ht="15.75" thickBot="1">
      <c r="A7" s="408" t="s">
        <v>2546</v>
      </c>
      <c r="B7" s="409"/>
      <c r="C7" s="410">
        <f>'数据-取费表'!B2</f>
        <v>43202</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273" t="s">
        <v>2547</v>
      </c>
      <c r="Q7" s="3275"/>
      <c r="R7" s="769" t="s">
        <v>17</v>
      </c>
      <c r="S7" s="770">
        <f t="shared" ref="S7:S15" si="0">F7</f>
        <v>0</v>
      </c>
      <c r="T7" s="769" t="s">
        <v>17</v>
      </c>
      <c r="U7" s="770">
        <f t="shared" ref="U7:U15" si="1">H7</f>
        <v>0</v>
      </c>
      <c r="V7" s="769" t="s">
        <v>17</v>
      </c>
      <c r="W7" s="770">
        <f t="shared" ref="W7:W15" si="2">J7</f>
        <v>0</v>
      </c>
      <c r="X7" s="771"/>
      <c r="Y7" s="3273" t="s">
        <v>2547</v>
      </c>
      <c r="Z7" s="3274"/>
      <c r="AA7" s="772" t="e">
        <f>D7/F7</f>
        <v>#DIV/0!</v>
      </c>
      <c r="AB7" s="772" t="e">
        <f>D7/H7</f>
        <v>#DIV/0!</v>
      </c>
      <c r="AC7" s="772"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73" t="s">
        <v>2550</v>
      </c>
      <c r="Q8" s="3274"/>
      <c r="R8" s="769" t="s">
        <v>17</v>
      </c>
      <c r="S8" s="770">
        <f t="shared" si="0"/>
        <v>0</v>
      </c>
      <c r="T8" s="769" t="s">
        <v>17</v>
      </c>
      <c r="U8" s="770">
        <f t="shared" si="1"/>
        <v>0</v>
      </c>
      <c r="V8" s="769" t="s">
        <v>17</v>
      </c>
      <c r="W8" s="770">
        <f t="shared" si="2"/>
        <v>0</v>
      </c>
      <c r="X8" s="771"/>
      <c r="Y8" s="3273" t="s">
        <v>2550</v>
      </c>
      <c r="Z8" s="3274"/>
      <c r="AA8" s="772" t="e">
        <f t="shared" ref="AA8:AA40" si="3">D8/F8</f>
        <v>#DIV/0!</v>
      </c>
      <c r="AB8" s="772" t="e">
        <f t="shared" ref="AB8:AB40" si="4">D8/H8</f>
        <v>#DIV/0!</v>
      </c>
      <c r="AC8" s="772"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34" t="s">
        <v>2553</v>
      </c>
      <c r="Q9" s="1797" t="str">
        <f t="shared" ref="Q9:Q15" si="6">B9</f>
        <v>用途</v>
      </c>
      <c r="R9" s="769" t="s">
        <v>17</v>
      </c>
      <c r="S9" s="770">
        <f t="shared" si="0"/>
        <v>100</v>
      </c>
      <c r="T9" s="769" t="s">
        <v>17</v>
      </c>
      <c r="U9" s="770">
        <f t="shared" si="1"/>
        <v>100</v>
      </c>
      <c r="V9" s="769" t="s">
        <v>17</v>
      </c>
      <c r="W9" s="770">
        <f t="shared" si="2"/>
        <v>100</v>
      </c>
      <c r="X9" s="771"/>
      <c r="Y9" s="3084" t="s">
        <v>2554</v>
      </c>
      <c r="Z9" s="55" t="str">
        <f t="shared" ref="Z9:Z15" si="7">Q9</f>
        <v>用途</v>
      </c>
      <c r="AA9" s="772">
        <f t="shared" si="3"/>
        <v>1</v>
      </c>
      <c r="AB9" s="772">
        <f t="shared" si="4"/>
        <v>1</v>
      </c>
      <c r="AC9" s="772">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1"/>
      <c r="L10" s="1137"/>
      <c r="M10" s="1138"/>
      <c r="N10" s="1138"/>
      <c r="O10" s="1139"/>
      <c r="P10" s="3234"/>
      <c r="Q10" s="1797" t="str">
        <f t="shared" si="6"/>
        <v>土地使用年限（年）</v>
      </c>
      <c r="R10" s="769" t="s">
        <v>17</v>
      </c>
      <c r="S10" s="770">
        <f t="shared" si="0"/>
        <v>106</v>
      </c>
      <c r="T10" s="769" t="s">
        <v>17</v>
      </c>
      <c r="U10" s="770">
        <f t="shared" si="1"/>
        <v>106</v>
      </c>
      <c r="V10" s="769" t="s">
        <v>17</v>
      </c>
      <c r="W10" s="770">
        <f t="shared" si="2"/>
        <v>106</v>
      </c>
      <c r="X10" s="771"/>
      <c r="Y10" s="3084"/>
      <c r="Z10" s="55" t="str">
        <f t="shared" si="7"/>
        <v>土地使用年限（年）</v>
      </c>
      <c r="AA10" s="772">
        <f t="shared" si="3"/>
        <v>0.94339622641509435</v>
      </c>
      <c r="AB10" s="772">
        <f t="shared" si="4"/>
        <v>0.94339622641509435</v>
      </c>
      <c r="AC10" s="772">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234"/>
      <c r="Q11" s="1797" t="str">
        <f t="shared" si="6"/>
        <v>容积率</v>
      </c>
      <c r="R11" s="769" t="s">
        <v>17</v>
      </c>
      <c r="S11" s="770" t="e">
        <f t="shared" si="0"/>
        <v>#N/A</v>
      </c>
      <c r="T11" s="769" t="s">
        <v>17</v>
      </c>
      <c r="U11" s="770" t="e">
        <f t="shared" si="1"/>
        <v>#N/A</v>
      </c>
      <c r="V11" s="769" t="s">
        <v>17</v>
      </c>
      <c r="W11" s="770" t="e">
        <f t="shared" si="2"/>
        <v>#N/A</v>
      </c>
      <c r="X11" s="771"/>
      <c r="Y11" s="3084"/>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3"/>
      <c r="H12" s="136">
        <f>SUMIF(77:77,G12,78:78)-SUMIF(77:77,C12,78:78)+100</f>
        <v>100</v>
      </c>
      <c r="I12" s="549"/>
      <c r="J12" s="136">
        <f>SUMIF(77:77,I12,78:78)-SUMIF(77:77,C12,78:78)+100</f>
        <v>100</v>
      </c>
      <c r="K12" s="671"/>
      <c r="L12" s="1134"/>
      <c r="M12" s="1135"/>
      <c r="N12" s="1135"/>
      <c r="O12" s="1136"/>
      <c r="P12" s="3234"/>
      <c r="Q12" s="1797">
        <f t="shared" si="6"/>
        <v>111</v>
      </c>
      <c r="R12" s="769" t="s">
        <v>17</v>
      </c>
      <c r="S12" s="770">
        <f t="shared" si="0"/>
        <v>100</v>
      </c>
      <c r="T12" s="769" t="s">
        <v>17</v>
      </c>
      <c r="U12" s="770">
        <f t="shared" si="1"/>
        <v>100</v>
      </c>
      <c r="V12" s="769" t="s">
        <v>17</v>
      </c>
      <c r="W12" s="770">
        <f t="shared" si="2"/>
        <v>100</v>
      </c>
      <c r="X12" s="771"/>
      <c r="Y12" s="3084"/>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3"/>
      <c r="H13" s="435">
        <f>SUMIF(79:79,G13,80:80)-SUMIF(79:79,C13,80:80)+100</f>
        <v>100</v>
      </c>
      <c r="I13" s="549"/>
      <c r="J13" s="435">
        <f>SUMIF(79:79,I13,80:80)-SUMIF(79:79,C13,80:80)+100</f>
        <v>100</v>
      </c>
      <c r="K13" s="671"/>
      <c r="L13" s="1142"/>
      <c r="M13" s="1133"/>
      <c r="N13" s="1133"/>
      <c r="O13" s="1141"/>
      <c r="P13" s="3234"/>
      <c r="Q13" s="1797">
        <f t="shared" si="6"/>
        <v>111</v>
      </c>
      <c r="R13" s="769" t="s">
        <v>17</v>
      </c>
      <c r="S13" s="770">
        <f t="shared" si="0"/>
        <v>100</v>
      </c>
      <c r="T13" s="769" t="s">
        <v>17</v>
      </c>
      <c r="U13" s="770">
        <f t="shared" si="1"/>
        <v>100</v>
      </c>
      <c r="V13" s="769" t="s">
        <v>17</v>
      </c>
      <c r="W13" s="770">
        <f t="shared" si="2"/>
        <v>100</v>
      </c>
      <c r="X13" s="771"/>
      <c r="Y13" s="3084"/>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3"/>
      <c r="H14" s="438">
        <f>SUMIF(81:81,G14,82:82)-SUMIF(81:81,C14,82:82)+100</f>
        <v>100</v>
      </c>
      <c r="I14" s="549"/>
      <c r="J14" s="438">
        <f>SUMIF(81:81,I14,82:82)-SUMIF(81:81,C14,82:82)+100</f>
        <v>100</v>
      </c>
      <c r="K14" s="671"/>
      <c r="L14" s="1142"/>
      <c r="M14" s="1133"/>
      <c r="N14" s="1133"/>
      <c r="O14" s="1141"/>
      <c r="P14" s="3234"/>
      <c r="Q14" s="1797">
        <f t="shared" si="6"/>
        <v>111</v>
      </c>
      <c r="R14" s="769" t="s">
        <v>17</v>
      </c>
      <c r="S14" s="770">
        <f t="shared" si="0"/>
        <v>100</v>
      </c>
      <c r="T14" s="769" t="s">
        <v>17</v>
      </c>
      <c r="U14" s="770">
        <f t="shared" si="1"/>
        <v>100</v>
      </c>
      <c r="V14" s="769" t="s">
        <v>17</v>
      </c>
      <c r="W14" s="770">
        <f t="shared" si="2"/>
        <v>100</v>
      </c>
      <c r="X14" s="771"/>
      <c r="Y14" s="3084"/>
      <c r="Z14" s="55">
        <f t="shared" si="7"/>
        <v>111</v>
      </c>
      <c r="AA14" s="772">
        <f t="shared" si="3"/>
        <v>1</v>
      </c>
      <c r="AB14" s="772">
        <f t="shared" si="4"/>
        <v>1</v>
      </c>
      <c r="AC14" s="772">
        <f t="shared" si="5"/>
        <v>1</v>
      </c>
    </row>
    <row r="15" spans="1:29" ht="57">
      <c r="A15" s="440" t="s">
        <v>2557</v>
      </c>
      <c r="B15" s="628" t="s">
        <v>2796</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241" t="s">
        <v>2558</v>
      </c>
      <c r="Q15" s="1812" t="str">
        <f t="shared" si="6"/>
        <v>产业集聚程度</v>
      </c>
      <c r="R15" s="773" t="s">
        <v>17</v>
      </c>
      <c r="S15" s="774">
        <f t="shared" si="0"/>
        <v>100</v>
      </c>
      <c r="T15" s="773" t="s">
        <v>17</v>
      </c>
      <c r="U15" s="774">
        <f t="shared" si="1"/>
        <v>100</v>
      </c>
      <c r="V15" s="773" t="s">
        <v>17</v>
      </c>
      <c r="W15" s="774">
        <f t="shared" si="2"/>
        <v>100</v>
      </c>
      <c r="X15" s="1815"/>
      <c r="Y15" s="3241" t="s">
        <v>2558</v>
      </c>
      <c r="Z15" s="1816" t="str">
        <f t="shared" si="7"/>
        <v>产业集聚程度</v>
      </c>
      <c r="AA15" s="1813">
        <f t="shared" si="3"/>
        <v>1</v>
      </c>
      <c r="AB15" s="1813">
        <f t="shared" si="4"/>
        <v>1</v>
      </c>
      <c r="AC15" s="1813">
        <f t="shared" si="5"/>
        <v>1</v>
      </c>
    </row>
    <row r="16" spans="1:29" ht="15">
      <c r="A16" s="428"/>
      <c r="B16" s="629"/>
      <c r="C16" s="447"/>
      <c r="D16" s="448"/>
      <c r="E16" s="2611"/>
      <c r="F16" s="448"/>
      <c r="G16" s="2611"/>
      <c r="H16" s="450"/>
      <c r="I16" s="2611"/>
      <c r="J16" s="448"/>
      <c r="K16" s="671"/>
      <c r="L16" s="1142"/>
      <c r="M16" s="1133"/>
      <c r="N16" s="1133"/>
      <c r="O16" s="1141"/>
      <c r="P16" s="3242"/>
      <c r="Q16" s="1812"/>
      <c r="R16" s="773"/>
      <c r="S16" s="774"/>
      <c r="T16" s="773"/>
      <c r="U16" s="774"/>
      <c r="V16" s="773"/>
      <c r="W16" s="774"/>
      <c r="X16" s="1815"/>
      <c r="Y16" s="3242"/>
      <c r="Z16" s="1816"/>
      <c r="AA16" s="1813">
        <v>1</v>
      </c>
      <c r="AB16" s="1813">
        <v>1</v>
      </c>
      <c r="AC16" s="1813">
        <v>1</v>
      </c>
    </row>
    <row r="17" spans="1:29" ht="85.5">
      <c r="A17" s="428"/>
      <c r="B17" s="630"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42"/>
      <c r="M17" s="1133"/>
      <c r="N17" s="1133"/>
      <c r="O17" s="1141"/>
      <c r="P17" s="3242"/>
      <c r="Q17" s="1812" t="str">
        <f>B17</f>
        <v>交通便捷度</v>
      </c>
      <c r="R17" s="773" t="s">
        <v>17</v>
      </c>
      <c r="S17" s="774">
        <f>F17</f>
        <v>100</v>
      </c>
      <c r="T17" s="773" t="s">
        <v>17</v>
      </c>
      <c r="U17" s="774">
        <f>H17</f>
        <v>100</v>
      </c>
      <c r="V17" s="773" t="s">
        <v>17</v>
      </c>
      <c r="W17" s="774">
        <f>J17</f>
        <v>100</v>
      </c>
      <c r="X17" s="1815"/>
      <c r="Y17" s="3242"/>
      <c r="Z17" s="1816" t="str">
        <f>Q17</f>
        <v>交通便捷度</v>
      </c>
      <c r="AA17" s="1813">
        <f t="shared" si="3"/>
        <v>1</v>
      </c>
      <c r="AB17" s="1813">
        <f t="shared" si="4"/>
        <v>1</v>
      </c>
      <c r="AC17" s="1813">
        <f t="shared" si="5"/>
        <v>1</v>
      </c>
    </row>
    <row r="18" spans="1:29" ht="15">
      <c r="A18" s="428"/>
      <c r="B18" s="631"/>
      <c r="C18" s="447"/>
      <c r="D18" s="448"/>
      <c r="E18" s="2605"/>
      <c r="F18" s="448"/>
      <c r="G18" s="2605"/>
      <c r="H18" s="448"/>
      <c r="I18" s="2604"/>
      <c r="J18" s="448"/>
      <c r="K18" s="671"/>
      <c r="L18" s="1142"/>
      <c r="M18" s="1133"/>
      <c r="N18" s="1133"/>
      <c r="O18" s="1141"/>
      <c r="P18" s="3242"/>
      <c r="Q18" s="1812"/>
      <c r="R18" s="773"/>
      <c r="S18" s="774"/>
      <c r="T18" s="773"/>
      <c r="U18" s="774"/>
      <c r="V18" s="773"/>
      <c r="W18" s="774"/>
      <c r="X18" s="1815"/>
      <c r="Y18" s="3242"/>
      <c r="Z18" s="1816"/>
      <c r="AA18" s="1813">
        <v>1</v>
      </c>
      <c r="AB18" s="1813">
        <v>1</v>
      </c>
      <c r="AC18" s="1813">
        <v>1</v>
      </c>
    </row>
    <row r="19" spans="1:29" ht="15">
      <c r="A19" s="428"/>
      <c r="B19" s="630"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42"/>
      <c r="M19" s="1133"/>
      <c r="N19" s="1133"/>
      <c r="O19" s="1141"/>
      <c r="P19" s="3242"/>
      <c r="Q19" s="1812" t="str">
        <f t="shared" ref="Q19:Q33" si="8">B19</f>
        <v>区域土地利用方向</v>
      </c>
      <c r="R19" s="773" t="s">
        <v>17</v>
      </c>
      <c r="S19" s="774">
        <f>F19</f>
        <v>100</v>
      </c>
      <c r="T19" s="773" t="s">
        <v>17</v>
      </c>
      <c r="U19" s="774">
        <f>H19</f>
        <v>100</v>
      </c>
      <c r="V19" s="773" t="s">
        <v>17</v>
      </c>
      <c r="W19" s="774">
        <f>J19</f>
        <v>100</v>
      </c>
      <c r="X19" s="1815"/>
      <c r="Y19" s="3242"/>
      <c r="Z19" s="1816" t="str">
        <f>Q19</f>
        <v>区域土地利用方向</v>
      </c>
      <c r="AA19" s="1813">
        <f t="shared" si="3"/>
        <v>1</v>
      </c>
      <c r="AB19" s="1813">
        <f t="shared" si="4"/>
        <v>1</v>
      </c>
      <c r="AC19" s="1813">
        <f t="shared" si="5"/>
        <v>1</v>
      </c>
    </row>
    <row r="20" spans="1:29" ht="15">
      <c r="A20" s="404"/>
      <c r="B20" s="631"/>
      <c r="C20" s="447"/>
      <c r="D20" s="448"/>
      <c r="E20" s="2605"/>
      <c r="F20" s="448"/>
      <c r="G20" s="2605"/>
      <c r="H20" s="448"/>
      <c r="I20" s="2605"/>
      <c r="J20" s="448"/>
      <c r="K20" s="811"/>
      <c r="L20" s="1142"/>
      <c r="M20" s="1133"/>
      <c r="N20" s="1133"/>
      <c r="O20" s="1141"/>
      <c r="P20" s="3242"/>
      <c r="Q20" s="1812"/>
      <c r="R20" s="773"/>
      <c r="S20" s="774"/>
      <c r="T20" s="773"/>
      <c r="U20" s="774"/>
      <c r="V20" s="773"/>
      <c r="W20" s="774"/>
      <c r="X20" s="1815"/>
      <c r="Y20" s="3242"/>
      <c r="Z20" s="1816"/>
      <c r="AA20" s="1813"/>
      <c r="AB20" s="1813"/>
      <c r="AC20" s="1813"/>
    </row>
    <row r="21" spans="1:29" ht="71.25">
      <c r="A21" s="404"/>
      <c r="B21" s="630" t="s">
        <v>2797</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42"/>
      <c r="M21" s="1133"/>
      <c r="N21" s="1133"/>
      <c r="O21" s="1141"/>
      <c r="P21" s="3242"/>
      <c r="Q21" s="1812" t="str">
        <f t="shared" si="8"/>
        <v>环境状况</v>
      </c>
      <c r="R21" s="773" t="s">
        <v>17</v>
      </c>
      <c r="S21" s="774">
        <f>F21</f>
        <v>100</v>
      </c>
      <c r="T21" s="773" t="s">
        <v>17</v>
      </c>
      <c r="U21" s="774">
        <f>H21</f>
        <v>100</v>
      </c>
      <c r="V21" s="773" t="s">
        <v>17</v>
      </c>
      <c r="W21" s="774">
        <f>J21</f>
        <v>100</v>
      </c>
      <c r="X21" s="1815"/>
      <c r="Y21" s="3242"/>
      <c r="Z21" s="1816" t="str">
        <f>Q21</f>
        <v>环境状况</v>
      </c>
      <c r="AA21" s="1813">
        <f t="shared" si="3"/>
        <v>1</v>
      </c>
      <c r="AB21" s="1813">
        <f t="shared" si="4"/>
        <v>1</v>
      </c>
      <c r="AC21" s="1813">
        <f t="shared" si="5"/>
        <v>1</v>
      </c>
    </row>
    <row r="22" spans="1:29" ht="15">
      <c r="A22" s="404"/>
      <c r="B22" s="631"/>
      <c r="C22" s="447"/>
      <c r="D22" s="448"/>
      <c r="E22" s="2611"/>
      <c r="F22" s="448"/>
      <c r="G22" s="2611"/>
      <c r="H22" s="448"/>
      <c r="I22" s="447"/>
      <c r="J22" s="448"/>
      <c r="K22" s="671"/>
      <c r="L22" s="1142"/>
      <c r="M22" s="1133"/>
      <c r="N22" s="1133"/>
      <c r="O22" s="1141"/>
      <c r="P22" s="3242"/>
      <c r="Q22" s="1812"/>
      <c r="R22" s="773"/>
      <c r="S22" s="774"/>
      <c r="T22" s="773"/>
      <c r="U22" s="774"/>
      <c r="V22" s="773"/>
      <c r="W22" s="774"/>
      <c r="X22" s="1815"/>
      <c r="Y22" s="3242"/>
      <c r="Z22" s="1816"/>
      <c r="AA22" s="1813">
        <v>1</v>
      </c>
      <c r="AB22" s="1813">
        <v>1</v>
      </c>
      <c r="AC22" s="1813">
        <v>1</v>
      </c>
    </row>
    <row r="23" spans="1:29" s="117" customFormat="1" ht="42.75">
      <c r="A23" s="648"/>
      <c r="B23" s="632"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34"/>
      <c r="M23" s="1135"/>
      <c r="N23" s="1135"/>
      <c r="O23" s="1136"/>
      <c r="P23" s="3242"/>
      <c r="Q23" s="1797" t="str">
        <f t="shared" si="8"/>
        <v>公共配套设施</v>
      </c>
      <c r="R23" s="769" t="s">
        <v>17</v>
      </c>
      <c r="S23" s="770">
        <f>F23</f>
        <v>100</v>
      </c>
      <c r="T23" s="769" t="s">
        <v>17</v>
      </c>
      <c r="U23" s="770">
        <f>H23</f>
        <v>100</v>
      </c>
      <c r="V23" s="769" t="s">
        <v>17</v>
      </c>
      <c r="W23" s="770">
        <f>J23</f>
        <v>100</v>
      </c>
      <c r="X23" s="771"/>
      <c r="Y23" s="3242"/>
      <c r="Z23" s="55" t="str">
        <f>Q23</f>
        <v>公共配套设施</v>
      </c>
      <c r="AA23" s="1813">
        <f>D23/F23</f>
        <v>1</v>
      </c>
      <c r="AB23" s="1813">
        <f>D23/H23</f>
        <v>1</v>
      </c>
      <c r="AC23" s="1813">
        <f>D23/J23</f>
        <v>1</v>
      </c>
    </row>
    <row r="24" spans="1:29" s="117" customFormat="1" ht="15">
      <c r="A24" s="648"/>
      <c r="B24" s="631"/>
      <c r="C24" s="2700"/>
      <c r="D24" s="448"/>
      <c r="E24" s="2611"/>
      <c r="F24" s="448"/>
      <c r="G24" s="2611"/>
      <c r="H24" s="448"/>
      <c r="I24" s="447"/>
      <c r="J24" s="448"/>
      <c r="K24" s="671"/>
      <c r="L24" s="1134"/>
      <c r="M24" s="1135"/>
      <c r="N24" s="1135"/>
      <c r="O24" s="1136"/>
      <c r="P24" s="3242"/>
      <c r="Q24" s="1797"/>
      <c r="R24" s="769"/>
      <c r="S24" s="770"/>
      <c r="T24" s="769"/>
      <c r="U24" s="770"/>
      <c r="V24" s="769"/>
      <c r="W24" s="770"/>
      <c r="X24" s="771"/>
      <c r="Y24" s="3242"/>
      <c r="Z24" s="55"/>
      <c r="AA24" s="772">
        <v>1</v>
      </c>
      <c r="AB24" s="772">
        <v>1</v>
      </c>
      <c r="AC24" s="772">
        <v>1</v>
      </c>
    </row>
    <row r="25" spans="1:29" s="117" customFormat="1" ht="28.5">
      <c r="A25" s="648"/>
      <c r="B25" s="632"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34"/>
      <c r="M25" s="1135"/>
      <c r="N25" s="1135"/>
      <c r="O25" s="1136"/>
      <c r="P25" s="3242"/>
      <c r="Q25" s="1797" t="str">
        <f t="shared" ref="Q25" si="9">B25</f>
        <v>基础设施水平</v>
      </c>
      <c r="R25" s="769" t="s">
        <v>17</v>
      </c>
      <c r="S25" s="770">
        <f>F25</f>
        <v>100</v>
      </c>
      <c r="T25" s="769" t="s">
        <v>17</v>
      </c>
      <c r="U25" s="770">
        <f>H25</f>
        <v>100</v>
      </c>
      <c r="V25" s="769" t="s">
        <v>17</v>
      </c>
      <c r="W25" s="770">
        <f>J25</f>
        <v>100</v>
      </c>
      <c r="X25" s="771"/>
      <c r="Y25" s="3242"/>
      <c r="Z25" s="55" t="str">
        <f>Q25</f>
        <v>基础设施水平</v>
      </c>
      <c r="AA25" s="1813">
        <f>D25/F25</f>
        <v>1</v>
      </c>
      <c r="AB25" s="1813">
        <f>D25/H25</f>
        <v>1</v>
      </c>
      <c r="AC25" s="1813">
        <f>D25/J25</f>
        <v>1</v>
      </c>
    </row>
    <row r="26" spans="1:29" s="117" customFormat="1" ht="15">
      <c r="A26" s="648"/>
      <c r="B26" s="631"/>
      <c r="C26" s="2700"/>
      <c r="D26" s="448"/>
      <c r="E26" s="2701"/>
      <c r="F26" s="448"/>
      <c r="G26" s="2701"/>
      <c r="H26" s="448"/>
      <c r="I26" s="2701"/>
      <c r="J26" s="448"/>
      <c r="K26" s="671"/>
      <c r="L26" s="1134"/>
      <c r="M26" s="1135"/>
      <c r="N26" s="1135"/>
      <c r="O26" s="1136"/>
      <c r="P26" s="3242"/>
      <c r="Q26" s="1797"/>
      <c r="R26" s="769"/>
      <c r="S26" s="770"/>
      <c r="T26" s="769"/>
      <c r="U26" s="770"/>
      <c r="V26" s="769"/>
      <c r="W26" s="770"/>
      <c r="X26" s="771"/>
      <c r="Y26" s="3242"/>
      <c r="Z26" s="55"/>
      <c r="AA26" s="772">
        <v>1</v>
      </c>
      <c r="AB26" s="772">
        <v>1</v>
      </c>
      <c r="AC26" s="772">
        <v>1</v>
      </c>
    </row>
    <row r="27" spans="1:29" ht="15">
      <c r="A27" s="428"/>
      <c r="B27" s="631" t="s">
        <v>2654</v>
      </c>
      <c r="C27" s="616"/>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242"/>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2"/>
      <c r="Z27" s="1816" t="str">
        <f t="shared" ref="Z27:Z40" si="13">Q27</f>
        <v>临街状况</v>
      </c>
      <c r="AA27" s="1813">
        <f t="shared" si="3"/>
        <v>1</v>
      </c>
      <c r="AB27" s="1813">
        <f t="shared" si="4"/>
        <v>1</v>
      </c>
      <c r="AC27" s="1813">
        <f t="shared" si="5"/>
        <v>1</v>
      </c>
    </row>
    <row r="28" spans="1:29" ht="27">
      <c r="A28" s="428"/>
      <c r="B28" s="632"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42"/>
      <c r="M28" s="1133"/>
      <c r="N28" s="1133"/>
      <c r="O28" s="1141"/>
      <c r="P28" s="3242"/>
      <c r="Q28" s="1812" t="str">
        <f t="shared" si="8"/>
        <v>毗邻道路的类型与等级</v>
      </c>
      <c r="R28" s="773" t="s">
        <v>17</v>
      </c>
      <c r="S28" s="774">
        <f t="shared" si="10"/>
        <v>100</v>
      </c>
      <c r="T28" s="773" t="s">
        <v>17</v>
      </c>
      <c r="U28" s="774">
        <f t="shared" si="11"/>
        <v>100</v>
      </c>
      <c r="V28" s="773" t="s">
        <v>17</v>
      </c>
      <c r="W28" s="774">
        <f t="shared" si="12"/>
        <v>100</v>
      </c>
      <c r="X28" s="1815"/>
      <c r="Y28" s="3242"/>
      <c r="Z28" s="1816" t="str">
        <f t="shared" si="13"/>
        <v>毗邻道路的类型与等级</v>
      </c>
      <c r="AA28" s="1813">
        <f t="shared" si="3"/>
        <v>1</v>
      </c>
      <c r="AB28" s="1813">
        <f t="shared" si="4"/>
        <v>1</v>
      </c>
      <c r="AC28" s="1813">
        <f t="shared" si="5"/>
        <v>1</v>
      </c>
    </row>
    <row r="29" spans="1:29" ht="15">
      <c r="A29" s="428"/>
      <c r="B29" s="631"/>
      <c r="C29" s="447"/>
      <c r="D29" s="448"/>
      <c r="E29" s="2611"/>
      <c r="F29" s="448"/>
      <c r="G29" s="2611"/>
      <c r="H29" s="448"/>
      <c r="I29" s="2611"/>
      <c r="J29" s="448"/>
      <c r="K29" s="613"/>
      <c r="L29" s="1142"/>
      <c r="M29" s="1133"/>
      <c r="N29" s="1133"/>
      <c r="O29" s="1141"/>
      <c r="P29" s="3242"/>
      <c r="Q29" s="1812"/>
      <c r="R29" s="773"/>
      <c r="S29" s="774"/>
      <c r="T29" s="773"/>
      <c r="U29" s="774"/>
      <c r="V29" s="773"/>
      <c r="W29" s="774"/>
      <c r="X29" s="1815"/>
      <c r="Y29" s="3242"/>
      <c r="Z29" s="1816"/>
      <c r="AA29" s="1813">
        <v>1</v>
      </c>
      <c r="AB29" s="1813">
        <v>1</v>
      </c>
      <c r="AC29" s="1813">
        <v>1</v>
      </c>
    </row>
    <row r="30" spans="1:29" ht="15">
      <c r="A30" s="428"/>
      <c r="B30" s="653" t="s">
        <v>2748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42"/>
      <c r="M30" s="1133"/>
      <c r="N30" s="1133"/>
      <c r="O30" s="1141"/>
      <c r="P30" s="3242"/>
      <c r="Q30" s="1812" t="str">
        <f t="shared" si="8"/>
        <v>土地级别</v>
      </c>
      <c r="R30" s="773" t="s">
        <v>17</v>
      </c>
      <c r="S30" s="774">
        <f t="shared" si="10"/>
        <v>100</v>
      </c>
      <c r="T30" s="773" t="s">
        <v>17</v>
      </c>
      <c r="U30" s="774">
        <f t="shared" si="11"/>
        <v>100</v>
      </c>
      <c r="V30" s="773" t="s">
        <v>17</v>
      </c>
      <c r="W30" s="774">
        <f t="shared" si="12"/>
        <v>100</v>
      </c>
      <c r="X30" s="1815"/>
      <c r="Y30" s="3242"/>
      <c r="Z30" s="1816" t="str">
        <f t="shared" si="13"/>
        <v>土地级别</v>
      </c>
      <c r="AA30" s="1813">
        <f t="shared" si="3"/>
        <v>1</v>
      </c>
      <c r="AB30" s="1813">
        <f t="shared" si="4"/>
        <v>1</v>
      </c>
      <c r="AC30" s="1813">
        <f t="shared" si="5"/>
        <v>1</v>
      </c>
    </row>
    <row r="31" spans="1:29" ht="15">
      <c r="A31" s="404"/>
      <c r="B31" s="2678">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2"/>
      <c r="Q31" s="1812">
        <f t="shared" si="8"/>
        <v>111</v>
      </c>
      <c r="R31" s="773" t="s">
        <v>17</v>
      </c>
      <c r="S31" s="774">
        <f t="shared" si="10"/>
        <v>100</v>
      </c>
      <c r="T31" s="773" t="s">
        <v>17</v>
      </c>
      <c r="U31" s="774">
        <f t="shared" si="11"/>
        <v>100</v>
      </c>
      <c r="V31" s="773" t="s">
        <v>17</v>
      </c>
      <c r="W31" s="774">
        <f t="shared" si="12"/>
        <v>100</v>
      </c>
      <c r="X31" s="1815"/>
      <c r="Y31" s="3242"/>
      <c r="Z31" s="1816">
        <f t="shared" si="13"/>
        <v>111</v>
      </c>
      <c r="AA31" s="1813">
        <f t="shared" si="3"/>
        <v>1</v>
      </c>
      <c r="AB31" s="1813">
        <f t="shared" si="4"/>
        <v>1</v>
      </c>
      <c r="AC31" s="1813">
        <f t="shared" si="5"/>
        <v>1</v>
      </c>
    </row>
    <row r="32" spans="1:29" ht="15">
      <c r="A32" s="674"/>
      <c r="B32" s="2714">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42"/>
      <c r="M32" s="1133"/>
      <c r="N32" s="1133"/>
      <c r="O32" s="1141"/>
      <c r="P32" s="3321" t="s">
        <v>2563</v>
      </c>
      <c r="Q32" s="1812">
        <f t="shared" si="8"/>
        <v>111</v>
      </c>
      <c r="R32" s="773" t="s">
        <v>17</v>
      </c>
      <c r="S32" s="774">
        <f t="shared" si="10"/>
        <v>100</v>
      </c>
      <c r="T32" s="773" t="s">
        <v>17</v>
      </c>
      <c r="U32" s="774">
        <f t="shared" si="11"/>
        <v>100</v>
      </c>
      <c r="V32" s="773" t="s">
        <v>17</v>
      </c>
      <c r="W32" s="774">
        <f t="shared" si="12"/>
        <v>100</v>
      </c>
      <c r="X32" s="1815"/>
      <c r="Y32" s="3246" t="s">
        <v>2563</v>
      </c>
      <c r="Z32" s="1816">
        <f t="shared" si="13"/>
        <v>111</v>
      </c>
      <c r="AA32" s="1813">
        <f t="shared" si="3"/>
        <v>1</v>
      </c>
      <c r="AB32" s="1813">
        <f t="shared" si="4"/>
        <v>1</v>
      </c>
      <c r="AC32" s="1813">
        <f t="shared" si="5"/>
        <v>1</v>
      </c>
    </row>
    <row r="33" spans="1:29" s="471" customFormat="1" ht="15.75" thickBot="1">
      <c r="A33" s="675"/>
      <c r="B33" s="2715">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40"/>
      <c r="M33" s="1143"/>
      <c r="N33" s="1143"/>
      <c r="O33" s="1144"/>
      <c r="P33" s="3246"/>
      <c r="Q33" s="1812">
        <f t="shared" si="8"/>
        <v>111</v>
      </c>
      <c r="R33" s="776" t="s">
        <v>17</v>
      </c>
      <c r="S33" s="777">
        <f t="shared" si="10"/>
        <v>100</v>
      </c>
      <c r="T33" s="776" t="s">
        <v>17</v>
      </c>
      <c r="U33" s="777">
        <f t="shared" si="11"/>
        <v>100</v>
      </c>
      <c r="V33" s="776" t="s">
        <v>17</v>
      </c>
      <c r="W33" s="777">
        <f t="shared" si="12"/>
        <v>100</v>
      </c>
      <c r="X33" s="778"/>
      <c r="Y33" s="3246"/>
      <c r="Z33" s="779">
        <f t="shared" si="13"/>
        <v>111</v>
      </c>
      <c r="AA33" s="1813">
        <f t="shared" si="3"/>
        <v>1</v>
      </c>
      <c r="AB33" s="1813">
        <f t="shared" si="4"/>
        <v>1</v>
      </c>
      <c r="AC33" s="1813">
        <f t="shared" si="5"/>
        <v>1</v>
      </c>
    </row>
    <row r="34" spans="1:29" ht="15">
      <c r="A34" s="440" t="s">
        <v>2561</v>
      </c>
      <c r="B34" s="456" t="s">
        <v>2749</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42"/>
      <c r="M34" s="1133"/>
      <c r="N34" s="1133"/>
      <c r="O34" s="1141"/>
      <c r="P34" s="3246"/>
      <c r="Q34" s="1812" t="str">
        <f>B34</f>
        <v>宗地面积</v>
      </c>
      <c r="R34" s="773" t="s">
        <v>17</v>
      </c>
      <c r="S34" s="774" t="e">
        <f t="shared" si="10"/>
        <v>#N/A</v>
      </c>
      <c r="T34" s="773" t="s">
        <v>17</v>
      </c>
      <c r="U34" s="774" t="e">
        <f t="shared" si="11"/>
        <v>#N/A</v>
      </c>
      <c r="V34" s="773" t="s">
        <v>17</v>
      </c>
      <c r="W34" s="774" t="e">
        <f t="shared" si="12"/>
        <v>#N/A</v>
      </c>
      <c r="X34" s="1815"/>
      <c r="Y34" s="3246"/>
      <c r="Z34" s="1816" t="str">
        <f t="shared" si="13"/>
        <v>宗地面积</v>
      </c>
      <c r="AA34" s="1813" t="e">
        <f t="shared" si="3"/>
        <v>#N/A</v>
      </c>
      <c r="AB34" s="1813" t="e">
        <f t="shared" si="4"/>
        <v>#N/A</v>
      </c>
      <c r="AC34" s="1813"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246"/>
      <c r="Q35" s="1812" t="str">
        <f t="shared" ref="Q35:Q40" si="14">B35</f>
        <v>宗地形状</v>
      </c>
      <c r="R35" s="773" t="s">
        <v>17</v>
      </c>
      <c r="S35" s="774">
        <f t="shared" si="10"/>
        <v>100</v>
      </c>
      <c r="T35" s="773" t="s">
        <v>17</v>
      </c>
      <c r="U35" s="774">
        <f t="shared" si="11"/>
        <v>100</v>
      </c>
      <c r="V35" s="773" t="s">
        <v>17</v>
      </c>
      <c r="W35" s="774">
        <f t="shared" si="12"/>
        <v>100</v>
      </c>
      <c r="X35" s="1815"/>
      <c r="Y35" s="3246"/>
      <c r="Z35" s="1816" t="str">
        <f t="shared" si="13"/>
        <v>宗地形状</v>
      </c>
      <c r="AA35" s="1813">
        <f t="shared" si="3"/>
        <v>1</v>
      </c>
      <c r="AB35" s="1813">
        <f t="shared" si="4"/>
        <v>1</v>
      </c>
      <c r="AC35" s="1813">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246"/>
      <c r="Q36" s="1812" t="str">
        <f t="shared" si="14"/>
        <v>宗地开发程度</v>
      </c>
      <c r="R36" s="769" t="s">
        <v>17</v>
      </c>
      <c r="S36" s="770">
        <f t="shared" si="10"/>
        <v>100</v>
      </c>
      <c r="T36" s="769" t="s">
        <v>17</v>
      </c>
      <c r="U36" s="770">
        <f t="shared" si="11"/>
        <v>100</v>
      </c>
      <c r="V36" s="769" t="s">
        <v>17</v>
      </c>
      <c r="W36" s="770">
        <f t="shared" si="12"/>
        <v>100</v>
      </c>
      <c r="X36" s="771"/>
      <c r="Y36" s="3246"/>
      <c r="Z36" s="55" t="str">
        <f t="shared" si="13"/>
        <v>宗地开发程度</v>
      </c>
      <c r="AA36" s="772">
        <f t="shared" si="3"/>
        <v>1</v>
      </c>
      <c r="AB36" s="772">
        <f t="shared" si="4"/>
        <v>1</v>
      </c>
      <c r="AC36" s="772">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246" t="s">
        <v>2563</v>
      </c>
      <c r="Q37" s="1812" t="str">
        <f t="shared" si="14"/>
        <v>工程地质条件</v>
      </c>
      <c r="R37" s="773" t="s">
        <v>17</v>
      </c>
      <c r="S37" s="774">
        <f t="shared" si="10"/>
        <v>100</v>
      </c>
      <c r="T37" s="773" t="s">
        <v>17</v>
      </c>
      <c r="U37" s="774">
        <f t="shared" si="11"/>
        <v>100</v>
      </c>
      <c r="V37" s="773" t="s">
        <v>17</v>
      </c>
      <c r="W37" s="774">
        <f t="shared" si="12"/>
        <v>100</v>
      </c>
      <c r="X37" s="1815"/>
      <c r="Y37" s="3246" t="s">
        <v>2563</v>
      </c>
      <c r="Z37" s="1816" t="str">
        <f t="shared" si="13"/>
        <v>工程地质条件</v>
      </c>
      <c r="AA37" s="1813">
        <f t="shared" si="3"/>
        <v>1</v>
      </c>
      <c r="AB37" s="1813">
        <f t="shared" si="4"/>
        <v>1</v>
      </c>
      <c r="AC37" s="1813">
        <f t="shared" si="5"/>
        <v>1</v>
      </c>
    </row>
    <row r="38" spans="1:29" ht="15">
      <c r="A38" s="472"/>
      <c r="B38" s="1389">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42"/>
      <c r="M38" s="1133"/>
      <c r="N38" s="1133"/>
      <c r="O38" s="1141"/>
      <c r="P38" s="3246"/>
      <c r="Q38" s="1812">
        <f t="shared" si="14"/>
        <v>111</v>
      </c>
      <c r="R38" s="773" t="s">
        <v>17</v>
      </c>
      <c r="S38" s="774">
        <f t="shared" si="10"/>
        <v>100</v>
      </c>
      <c r="T38" s="773" t="s">
        <v>17</v>
      </c>
      <c r="U38" s="774">
        <f t="shared" si="11"/>
        <v>100</v>
      </c>
      <c r="V38" s="773" t="s">
        <v>17</v>
      </c>
      <c r="W38" s="774">
        <f t="shared" si="12"/>
        <v>100</v>
      </c>
      <c r="X38" s="1815"/>
      <c r="Y38" s="3246"/>
      <c r="Z38" s="1816">
        <f t="shared" si="13"/>
        <v>111</v>
      </c>
      <c r="AA38" s="1813">
        <f t="shared" si="3"/>
        <v>1</v>
      </c>
      <c r="AB38" s="1813">
        <f t="shared" si="4"/>
        <v>1</v>
      </c>
      <c r="AC38" s="1813">
        <f t="shared" si="5"/>
        <v>1</v>
      </c>
    </row>
    <row r="39" spans="1:29" ht="15">
      <c r="A39" s="472"/>
      <c r="B39" s="1389">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42"/>
      <c r="M39" s="1133"/>
      <c r="N39" s="1133"/>
      <c r="O39" s="1141"/>
      <c r="P39" s="3246"/>
      <c r="Q39" s="1812">
        <f t="shared" si="14"/>
        <v>111</v>
      </c>
      <c r="R39" s="773" t="s">
        <v>17</v>
      </c>
      <c r="S39" s="774">
        <f t="shared" si="10"/>
        <v>100</v>
      </c>
      <c r="T39" s="773" t="s">
        <v>17</v>
      </c>
      <c r="U39" s="774">
        <f t="shared" si="11"/>
        <v>100</v>
      </c>
      <c r="V39" s="773" t="s">
        <v>17</v>
      </c>
      <c r="W39" s="774">
        <f t="shared" si="12"/>
        <v>100</v>
      </c>
      <c r="X39" s="1815"/>
      <c r="Y39" s="3246"/>
      <c r="Z39" s="1816">
        <f t="shared" si="13"/>
        <v>111</v>
      </c>
      <c r="AA39" s="1813">
        <f t="shared" si="3"/>
        <v>1</v>
      </c>
      <c r="AB39" s="1813">
        <f t="shared" si="4"/>
        <v>1</v>
      </c>
      <c r="AC39" s="1813">
        <f t="shared" si="5"/>
        <v>1</v>
      </c>
    </row>
    <row r="40" spans="1:29" s="471" customFormat="1" ht="15.75" thickBot="1">
      <c r="A40" s="468"/>
      <c r="B40" s="1389">
        <v>111</v>
      </c>
      <c r="C40" s="2703"/>
      <c r="D40" s="137">
        <v>100</v>
      </c>
      <c r="E40" s="673"/>
      <c r="F40" s="438">
        <f>SUMIF(120:120,E40,121:121)-SUMIF(120:120,C40,121:121)+100</f>
        <v>100</v>
      </c>
      <c r="G40" s="673"/>
      <c r="H40" s="438">
        <f>SUMIF(120:120,G40,121:121)-SUMIF(120:120,C40,121:121)+100</f>
        <v>100</v>
      </c>
      <c r="I40" s="549"/>
      <c r="J40" s="438">
        <f>SUMIF(120:120,I40,121:121)-SUMIF(120:120,C40,121:121)+100</f>
        <v>100</v>
      </c>
      <c r="K40" s="680"/>
      <c r="L40" s="1140"/>
      <c r="M40" s="1143"/>
      <c r="N40" s="1143"/>
      <c r="O40" s="1144"/>
      <c r="P40" s="3246"/>
      <c r="Q40" s="1812">
        <f t="shared" si="14"/>
        <v>111</v>
      </c>
      <c r="R40" s="776" t="s">
        <v>17</v>
      </c>
      <c r="S40" s="777">
        <f t="shared" si="10"/>
        <v>100</v>
      </c>
      <c r="T40" s="776" t="s">
        <v>17</v>
      </c>
      <c r="U40" s="777">
        <f t="shared" si="11"/>
        <v>100</v>
      </c>
      <c r="V40" s="776" t="s">
        <v>17</v>
      </c>
      <c r="W40" s="777">
        <f t="shared" si="12"/>
        <v>100</v>
      </c>
      <c r="X40" s="778"/>
      <c r="Y40" s="3246"/>
      <c r="Z40" s="779">
        <f t="shared" si="13"/>
        <v>111</v>
      </c>
      <c r="AA40" s="1813">
        <f t="shared" si="3"/>
        <v>1</v>
      </c>
      <c r="AB40" s="1813">
        <f t="shared" si="4"/>
        <v>1</v>
      </c>
      <c r="AC40" s="1813">
        <f t="shared" si="5"/>
        <v>1</v>
      </c>
    </row>
    <row r="41" spans="1:29" ht="15">
      <c r="A41" s="479" t="s">
        <v>2718</v>
      </c>
      <c r="B41" s="2704" t="s">
        <v>2798</v>
      </c>
      <c r="C41" s="681" t="s">
        <v>1</v>
      </c>
      <c r="D41" s="481"/>
      <c r="E41" s="482"/>
      <c r="F41" s="483"/>
      <c r="G41" s="484"/>
      <c r="H41" s="485"/>
      <c r="I41" s="482"/>
      <c r="J41" s="485"/>
      <c r="K41" s="782"/>
      <c r="L41" s="1145"/>
      <c r="M41" s="1133"/>
      <c r="N41" s="1133"/>
      <c r="O41" s="1146"/>
      <c r="P41" s="3234" t="str">
        <f>A41</f>
        <v>成交单价</v>
      </c>
      <c r="Q41" s="3234"/>
      <c r="R41" s="3248">
        <f>E41</f>
        <v>0</v>
      </c>
      <c r="S41" s="3248"/>
      <c r="T41" s="3248">
        <f>G41</f>
        <v>0</v>
      </c>
      <c r="U41" s="3248"/>
      <c r="V41" s="3248">
        <f>I41</f>
        <v>0</v>
      </c>
      <c r="W41" s="3248"/>
      <c r="X41" s="758"/>
      <c r="Y41" s="780"/>
      <c r="Z41" s="758"/>
      <c r="AA41" s="758"/>
      <c r="AB41" s="758"/>
      <c r="AC41" s="758"/>
    </row>
    <row r="42" spans="1:29" ht="15.75" thickBot="1">
      <c r="A42" s="486" t="s">
        <v>2667</v>
      </c>
      <c r="B42" s="682"/>
      <c r="C42" s="490" t="e">
        <f>R43</f>
        <v>#DIV/0!</v>
      </c>
      <c r="D42" s="489"/>
      <c r="E42" s="490" t="e">
        <f>R42</f>
        <v>#DIV/0!</v>
      </c>
      <c r="F42" s="491"/>
      <c r="G42" s="488" t="e">
        <f>T42</f>
        <v>#DIV/0!</v>
      </c>
      <c r="H42" s="489"/>
      <c r="I42" s="490" t="e">
        <f>V42</f>
        <v>#DIV/0!</v>
      </c>
      <c r="J42" s="489"/>
      <c r="K42" s="783"/>
      <c r="L42" s="1145"/>
      <c r="M42" s="1133"/>
      <c r="N42" s="1133"/>
      <c r="O42" s="1146"/>
      <c r="P42" s="3234" t="str">
        <f>A42</f>
        <v>比较价值（元/平方米）</v>
      </c>
      <c r="Q42" s="3234"/>
      <c r="R42" s="3322" t="e">
        <f>ROUND(PRODUCT(R41,AA7:AA40),0)</f>
        <v>#DIV/0!</v>
      </c>
      <c r="S42" s="3322"/>
      <c r="T42" s="3322" t="e">
        <f>ROUND(PRODUCT(T41,AB7:AB40),0)</f>
        <v>#DIV/0!</v>
      </c>
      <c r="U42" s="3322"/>
      <c r="V42" s="3322" t="e">
        <f>ROUND(PRODUCT(V41,AC7:AC40),0)</f>
        <v>#DIV/0!</v>
      </c>
      <c r="W42" s="3322"/>
      <c r="X42" s="758"/>
      <c r="Y42" s="758"/>
      <c r="Z42" s="758"/>
      <c r="AA42" s="758"/>
      <c r="AB42" s="758"/>
      <c r="AC42" s="758"/>
    </row>
    <row r="43" spans="1:29" ht="15.75" thickBot="1">
      <c r="A43" s="492" t="s">
        <v>2668</v>
      </c>
      <c r="B43" s="493"/>
      <c r="C43" s="494" t="e">
        <f>R43</f>
        <v>#DIV/0!</v>
      </c>
      <c r="D43" s="494"/>
      <c r="E43" s="494"/>
      <c r="F43" s="494"/>
      <c r="G43" s="494"/>
      <c r="H43" s="494"/>
      <c r="I43" s="494"/>
      <c r="J43" s="494"/>
      <c r="K43" s="784"/>
      <c r="L43" s="1145"/>
      <c r="M43" s="1133"/>
      <c r="N43" s="1133"/>
      <c r="O43" s="1146"/>
      <c r="P43" s="3236" t="str">
        <f>A43</f>
        <v>估价对象XX用房的比较价值（楼面单价，元/平方米）</v>
      </c>
      <c r="Q43" s="3237"/>
      <c r="R43" s="3323" t="e">
        <f>ROUND(AVERAGE(R42:V42),0)</f>
        <v>#DIV/0!</v>
      </c>
      <c r="S43" s="3323"/>
      <c r="T43" s="3323"/>
      <c r="U43" s="3323"/>
      <c r="V43" s="3323"/>
      <c r="W43" s="3323"/>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3" t="s">
        <v>2756</v>
      </c>
      <c r="B50" s="684" t="s">
        <v>2757</v>
      </c>
      <c r="C50" s="2705" t="s">
        <v>2758</v>
      </c>
      <c r="D50" s="2706" t="s">
        <v>2759</v>
      </c>
      <c r="E50" s="685" t="s">
        <v>2760</v>
      </c>
      <c r="F50" s="686" t="s">
        <v>2761</v>
      </c>
      <c r="G50" s="3253" t="s">
        <v>2762</v>
      </c>
      <c r="H50" s="3324"/>
      <c r="I50" s="1816" t="s">
        <v>2799</v>
      </c>
      <c r="J50" s="1816" t="str">
        <f>项目基本情况!F35</f>
        <v>江苏省宿迁市</v>
      </c>
      <c r="K50" s="2708" t="s">
        <v>2764</v>
      </c>
      <c r="L50" s="1108"/>
      <c r="M50" s="1146"/>
      <c r="N50" s="1146"/>
      <c r="O50" s="1146"/>
    </row>
    <row r="51" spans="1:17" s="691" customFormat="1">
      <c r="A51" s="687" t="s">
        <v>2765</v>
      </c>
      <c r="B51" s="688" t="e">
        <f>C43</f>
        <v>#DIV/0!</v>
      </c>
      <c r="C51" s="689">
        <v>1</v>
      </c>
      <c r="D51" s="1165">
        <v>1</v>
      </c>
      <c r="E51" s="689">
        <f>'数据-汇总表'!E8+'数据-汇总表'!E9</f>
        <v>4833.9999999999973</v>
      </c>
      <c r="F51" s="690" t="e">
        <f t="shared" ref="F51:F60" si="15">ROUND(B51*E51/10000,0)</f>
        <v>#DIV/0!</v>
      </c>
      <c r="G51" s="3249"/>
      <c r="H51" s="3234"/>
      <c r="I51" s="944">
        <v>1</v>
      </c>
      <c r="J51" s="944">
        <v>1</v>
      </c>
      <c r="K51" s="1147"/>
      <c r="L51" s="943"/>
      <c r="M51" s="943"/>
      <c r="N51" s="943"/>
      <c r="O51" s="943"/>
    </row>
    <row r="52" spans="1:17" s="691" customFormat="1">
      <c r="A52" s="692" t="s">
        <v>2766</v>
      </c>
      <c r="B52" s="262" t="e">
        <f>ROUND($C$43*C52*D52,0)</f>
        <v>#DIV/0!</v>
      </c>
      <c r="C52" s="200">
        <f t="shared" ref="C52:C60" si="16">IF($C$50="北京市系数",I52,J52)</f>
        <v>0.8</v>
      </c>
      <c r="D52" s="1166">
        <v>0.25</v>
      </c>
      <c r="E52" s="693"/>
      <c r="F52" s="690" t="e">
        <f t="shared" si="15"/>
        <v>#DIV/0!</v>
      </c>
      <c r="G52" s="3325" t="s">
        <v>2767</v>
      </c>
      <c r="H52" s="1106" t="str">
        <f>项目基本情况!B37</f>
        <v>一级</v>
      </c>
      <c r="I52" s="944">
        <f>SUMIF(修正!A45:A56,H52,修正!B45:B56)</f>
        <v>0.8</v>
      </c>
      <c r="J52" s="945"/>
      <c r="K52" s="1146"/>
      <c r="L52" s="943"/>
      <c r="M52" s="943"/>
      <c r="N52" s="943"/>
      <c r="O52" s="943"/>
    </row>
    <row r="53" spans="1:17" s="691" customFormat="1">
      <c r="A53" s="692" t="s">
        <v>2768</v>
      </c>
      <c r="B53" s="262" t="e">
        <f t="shared" ref="B53:B60" si="17">ROUND($C$43*C53*D53,0)</f>
        <v>#DIV/0!</v>
      </c>
      <c r="C53" s="200">
        <f t="shared" si="16"/>
        <v>0.5</v>
      </c>
      <c r="D53" s="1166">
        <v>0.25</v>
      </c>
      <c r="E53" s="693"/>
      <c r="F53" s="690" t="e">
        <f t="shared" si="15"/>
        <v>#DIV/0!</v>
      </c>
      <c r="G53" s="3325"/>
      <c r="H53" s="1106" t="str">
        <f>项目基本情况!B37</f>
        <v>一级</v>
      </c>
      <c r="I53" s="944">
        <f>SUMIF(修正!A45:A56,H53,修正!C45:C56)</f>
        <v>0.5</v>
      </c>
      <c r="J53" s="945"/>
      <c r="K53" s="1147"/>
      <c r="L53" s="943"/>
      <c r="M53" s="943"/>
      <c r="N53" s="943"/>
      <c r="O53" s="943"/>
    </row>
    <row r="54" spans="1:17" s="691" customFormat="1">
      <c r="A54" s="692" t="s">
        <v>2769</v>
      </c>
      <c r="B54" s="262" t="e">
        <f t="shared" si="17"/>
        <v>#DIV/0!</v>
      </c>
      <c r="C54" s="200">
        <f t="shared" si="16"/>
        <v>0.36</v>
      </c>
      <c r="D54" s="1166">
        <v>0.25</v>
      </c>
      <c r="E54" s="693"/>
      <c r="F54" s="690" t="e">
        <f t="shared" si="15"/>
        <v>#DIV/0!</v>
      </c>
      <c r="G54" s="3325"/>
      <c r="H54" s="1106" t="str">
        <f>项目基本情况!B37</f>
        <v>一级</v>
      </c>
      <c r="I54" s="944">
        <f>SUMIF(修正!A45:A56,H54,修正!D45:D56)</f>
        <v>0.36</v>
      </c>
      <c r="J54" s="945"/>
      <c r="K54" s="1146"/>
      <c r="L54" s="943"/>
      <c r="M54" s="943"/>
      <c r="N54" s="943"/>
      <c r="O54" s="943"/>
    </row>
    <row r="55" spans="1:17" s="691" customFormat="1">
      <c r="A55" s="692" t="s">
        <v>2770</v>
      </c>
      <c r="B55" s="262" t="e">
        <f t="shared" si="17"/>
        <v>#DIV/0!</v>
      </c>
      <c r="C55" s="200">
        <f t="shared" si="16"/>
        <v>0.3</v>
      </c>
      <c r="D55" s="1166">
        <v>0.25</v>
      </c>
      <c r="E55" s="693"/>
      <c r="F55" s="690" t="e">
        <f t="shared" si="15"/>
        <v>#DIV/0!</v>
      </c>
      <c r="G55" s="3325"/>
      <c r="H55" s="1106" t="str">
        <f>项目基本情况!B37</f>
        <v>一级</v>
      </c>
      <c r="I55" s="944">
        <f>SUMIF(修正!A45:A56,H55,修正!E45:E56)</f>
        <v>0.3</v>
      </c>
      <c r="J55" s="945"/>
      <c r="K55" s="1147"/>
      <c r="L55" s="943"/>
      <c r="M55" s="943"/>
      <c r="N55" s="943"/>
      <c r="O55" s="943"/>
    </row>
    <row r="56" spans="1:17" s="691" customFormat="1">
      <c r="A56" s="692" t="s">
        <v>2771</v>
      </c>
      <c r="B56" s="262" t="e">
        <f t="shared" si="17"/>
        <v>#DIV/0!</v>
      </c>
      <c r="C56" s="200">
        <f t="shared" si="16"/>
        <v>0</v>
      </c>
      <c r="D56" s="1166">
        <v>0.25</v>
      </c>
      <c r="E56" s="261">
        <f>'数据-汇总表'!E11</f>
        <v>0</v>
      </c>
      <c r="F56" s="690" t="e">
        <f t="shared" si="15"/>
        <v>#DIV/0!</v>
      </c>
      <c r="G56" s="2709" t="s">
        <v>2772</v>
      </c>
      <c r="H56" s="1106">
        <f>项目基本情况!C37</f>
        <v>0</v>
      </c>
      <c r="I56" s="944">
        <f>SUMIF(修正!A45:A56,H56,修正!F45:F56)</f>
        <v>0</v>
      </c>
      <c r="J56" s="945"/>
      <c r="K56" s="1146"/>
      <c r="L56" s="943"/>
      <c r="M56" s="943"/>
      <c r="N56" s="943"/>
      <c r="O56" s="943"/>
    </row>
    <row r="57" spans="1:17" s="691" customFormat="1">
      <c r="A57" s="692" t="s">
        <v>2773</v>
      </c>
      <c r="B57" s="262" t="e">
        <f t="shared" si="17"/>
        <v>#DIV/0!</v>
      </c>
      <c r="C57" s="200">
        <f t="shared" si="16"/>
        <v>0</v>
      </c>
      <c r="D57" s="1166">
        <v>0.25</v>
      </c>
      <c r="E57" s="261">
        <f>'数据-汇总表'!E12</f>
        <v>0</v>
      </c>
      <c r="F57" s="690" t="e">
        <f t="shared" si="15"/>
        <v>#DIV/0!</v>
      </c>
      <c r="G57" s="1111" t="s">
        <v>2774</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2775</v>
      </c>
      <c r="B58" s="262" t="e">
        <f t="shared" si="17"/>
        <v>#DIV/0!</v>
      </c>
      <c r="C58" s="200">
        <f t="shared" si="16"/>
        <v>0</v>
      </c>
      <c r="D58" s="1166">
        <v>0.25</v>
      </c>
      <c r="E58" s="261">
        <f>'数据-汇总表'!E13</f>
        <v>0</v>
      </c>
      <c r="F58" s="690" t="e">
        <f t="shared" si="15"/>
        <v>#DIV/0!</v>
      </c>
      <c r="G58" s="1111" t="s">
        <v>2776</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2777</v>
      </c>
      <c r="B59" s="262" t="e">
        <f t="shared" si="17"/>
        <v>#DIV/0!</v>
      </c>
      <c r="C59" s="200">
        <f t="shared" si="16"/>
        <v>0.25</v>
      </c>
      <c r="D59" s="1166">
        <v>0.25</v>
      </c>
      <c r="E59" s="261">
        <f>'数据-汇总表'!E14</f>
        <v>0</v>
      </c>
      <c r="F59" s="690" t="e">
        <f t="shared" si="15"/>
        <v>#DIV/0!</v>
      </c>
      <c r="G59" s="2709" t="s">
        <v>2767</v>
      </c>
      <c r="H59" s="1106" t="str">
        <f>项目基本情况!B37</f>
        <v>一级</v>
      </c>
      <c r="I59" s="944">
        <f>SUMIF(修正!A45:A56,H59,修正!H45:H56)</f>
        <v>0.25</v>
      </c>
      <c r="J59" s="945"/>
      <c r="K59" s="1147"/>
      <c r="L59" s="943"/>
      <c r="M59" s="943"/>
      <c r="N59" s="943"/>
      <c r="O59" s="943"/>
    </row>
    <row r="60" spans="1:17" s="691" customFormat="1" ht="15" thickBot="1">
      <c r="A60" s="692" t="s">
        <v>2778</v>
      </c>
      <c r="B60" s="262" t="e">
        <f t="shared" si="17"/>
        <v>#DIV/0!</v>
      </c>
      <c r="C60" s="200">
        <f t="shared" si="16"/>
        <v>0</v>
      </c>
      <c r="D60" s="1166">
        <v>0.25</v>
      </c>
      <c r="E60" s="261">
        <f>'数据-汇总表'!E15</f>
        <v>0</v>
      </c>
      <c r="F60" s="690" t="e">
        <f t="shared" si="15"/>
        <v>#DIV/0!</v>
      </c>
      <c r="G60" s="2710" t="s">
        <v>2772</v>
      </c>
      <c r="H60" s="1116">
        <f>项目基本情况!C37</f>
        <v>0</v>
      </c>
      <c r="I60" s="944">
        <f>SUMIF(修正!A45:A56,H60,修正!H45:H56)</f>
        <v>0</v>
      </c>
      <c r="J60" s="945"/>
      <c r="K60" s="1146"/>
      <c r="L60" s="943"/>
      <c r="M60" s="943"/>
      <c r="N60" s="943"/>
      <c r="O60" s="943"/>
    </row>
    <row r="61" spans="1:17" s="691" customFormat="1" ht="15" thickBot="1">
      <c r="A61" s="694" t="s">
        <v>2779</v>
      </c>
      <c r="B61" s="695" t="s">
        <v>28</v>
      </c>
      <c r="C61" s="695" t="s">
        <v>29</v>
      </c>
      <c r="D61" s="695" t="s">
        <v>1029</v>
      </c>
      <c r="E61" s="695">
        <f>IF(B41="楼面地价",SUM(E51:E60),'数据-汇总表'!D3)</f>
        <v>909.82</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2672</v>
      </c>
      <c r="B64" s="758"/>
      <c r="C64" s="763"/>
      <c r="D64" s="763"/>
      <c r="E64" s="763"/>
      <c r="F64" s="764"/>
      <c r="G64" s="764"/>
      <c r="H64" s="763"/>
      <c r="I64" s="763"/>
      <c r="J64" s="763"/>
      <c r="K64" s="765"/>
      <c r="L64" s="766"/>
      <c r="M64" s="763"/>
      <c r="N64" s="763"/>
      <c r="O64" s="1161"/>
      <c r="P64" s="503"/>
      <c r="Q64" s="504"/>
    </row>
    <row r="65" spans="1:17" s="508" customFormat="1" ht="15">
      <c r="A65" s="2711" t="s">
        <v>2780</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7"/>
    </row>
    <row r="66" spans="1:17" s="117" customFormat="1" ht="30.75" customHeight="1">
      <c r="A66" s="2716" t="s">
        <v>2800</v>
      </c>
      <c r="B66" s="332" t="str">
        <f>"北京市平均增长率"&amp;TEXT(基准地价修正!P24,"0.00%")</f>
        <v>北京市平均增长率1.24%</v>
      </c>
      <c r="C66" s="603">
        <v>100</v>
      </c>
      <c r="D66" s="595"/>
      <c r="E66" s="595"/>
      <c r="F66" s="595"/>
      <c r="G66" s="595"/>
      <c r="H66" s="595"/>
      <c r="I66" s="595"/>
      <c r="J66" s="595"/>
      <c r="K66" s="595"/>
      <c r="L66" s="595"/>
      <c r="M66" s="1569"/>
      <c r="N66" s="1569"/>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3"/>
      <c r="O68" s="1153"/>
      <c r="P68" s="526"/>
      <c r="Q68" s="504"/>
    </row>
    <row r="69" spans="1:17" s="117" customFormat="1" ht="15.75" thickBot="1">
      <c r="A69" s="521"/>
      <c r="B69" s="510"/>
      <c r="C69" s="638">
        <v>100</v>
      </c>
      <c r="D69" s="512"/>
      <c r="E69" s="512"/>
      <c r="F69" s="512"/>
      <c r="G69" s="512"/>
      <c r="H69" s="512"/>
      <c r="I69" s="512"/>
      <c r="J69" s="512"/>
      <c r="K69" s="512"/>
      <c r="L69" s="512"/>
      <c r="M69" s="514"/>
      <c r="N69" s="1153"/>
      <c r="O69" s="1153"/>
      <c r="P69" s="504"/>
      <c r="Q69" s="504"/>
    </row>
    <row r="70" spans="1:17">
      <c r="A70" s="527" t="s">
        <v>2586</v>
      </c>
      <c r="B70" s="528" t="s">
        <v>2552</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2555</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7"/>
      <c r="M87" s="621"/>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1"/>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2801</v>
      </c>
      <c r="C93" s="659" t="s">
        <v>2673</v>
      </c>
      <c r="D93" s="659" t="s">
        <v>2674</v>
      </c>
      <c r="E93" s="659" t="s">
        <v>2675</v>
      </c>
      <c r="F93" s="659" t="s">
        <v>2676</v>
      </c>
      <c r="G93" s="659" t="s">
        <v>2677</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2689</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2748</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4"/>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6"/>
      <c r="H106" s="676"/>
      <c r="I106" s="676"/>
      <c r="J106" s="676"/>
      <c r="K106" s="676"/>
      <c r="L106" s="676"/>
      <c r="M106" s="698"/>
      <c r="N106" s="1155"/>
      <c r="O106" s="1155"/>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2790</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2792</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2793</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699"/>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2802</v>
      </c>
      <c r="B1" s="241"/>
      <c r="C1" s="245" t="s">
        <v>2803</v>
      </c>
      <c r="D1" s="388">
        <f>SUM(D29:D30,D33:D39)</f>
        <v>0</v>
      </c>
      <c r="E1" s="2717"/>
      <c r="F1" s="2717"/>
      <c r="G1" s="2717"/>
      <c r="H1" s="2717"/>
      <c r="I1" s="2717"/>
      <c r="J1" s="2717"/>
      <c r="K1" s="1372"/>
      <c r="L1" s="2718" t="s">
        <v>2804</v>
      </c>
      <c r="M1" s="1082">
        <f>SUMPRODUCT((区片价!B5:B9=I2)*(区片价!C3:F3=E2)*(区片价!C5:F9))</f>
        <v>0</v>
      </c>
      <c r="N1" s="1085">
        <f>SUMPRODUCT((因素修正幅度!B5:B9=I2)*(因素修正幅度!C3:F3=E2)*(因素修正幅度!C5:F9))</f>
        <v>0</v>
      </c>
      <c r="O1" s="2719"/>
      <c r="P1" s="2719"/>
      <c r="Q1" s="1372"/>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21" t="s">
        <v>2811</v>
      </c>
      <c r="D2" s="2722" t="s">
        <v>2812</v>
      </c>
      <c r="E2" s="2723"/>
      <c r="F2" s="2722" t="s">
        <v>2813</v>
      </c>
      <c r="G2" s="2724">
        <f>IF(E2="商业",项目基本情况!B37,IF(E2="办公",项目基本情况!C37,IF(E2="住宅",项目基本情况!D37,项目基本情况!E37)))</f>
        <v>0</v>
      </c>
      <c r="H2" s="2722" t="s">
        <v>2814</v>
      </c>
      <c r="I2" s="2724">
        <f>IF(E2="商业",项目基本情况!B38,IF(E2="办公",项目基本情况!C38,IF(E2="住宅",项目基本情况!D38,项目基本情况!E38)))</f>
        <v>0</v>
      </c>
      <c r="J2" s="2725"/>
      <c r="K2" s="1372"/>
      <c r="L2" s="2726" t="s">
        <v>2815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21" t="s">
        <v>2817</v>
      </c>
      <c r="D3" s="2722" t="s">
        <v>2818</v>
      </c>
      <c r="E3" s="2727"/>
      <c r="F3" s="2728" t="s">
        <v>2819</v>
      </c>
      <c r="G3" s="915">
        <f>IF(F3="宗地容积率",'数据-汇总表'!I4,IF(F3="估价对象容积率",'数据-汇总表'!I6,'数据-汇总表'!I7))</f>
        <v>5.31</v>
      </c>
      <c r="H3" s="198" t="s">
        <v>2820</v>
      </c>
      <c r="I3" s="946"/>
      <c r="J3" s="2725" t="s">
        <v>2821</v>
      </c>
      <c r="K3" s="1372"/>
      <c r="L3" s="2726" t="s">
        <v>2822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3"/>
      <c r="B4" s="3334"/>
      <c r="C4" s="3334"/>
      <c r="D4" s="3335"/>
      <c r="E4" s="3335"/>
      <c r="F4" s="3335"/>
      <c r="G4" s="3335"/>
      <c r="H4" s="3335"/>
      <c r="I4" s="3335"/>
      <c r="J4" s="3336"/>
      <c r="K4" s="1372"/>
      <c r="L4" s="2726" t="s">
        <v>2823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2824</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2825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2826</v>
      </c>
      <c r="B6" s="2740" t="s">
        <v>2827</v>
      </c>
      <c r="C6" s="917">
        <f>SUMIF(L1:L12,G2,M1:M12)</f>
        <v>0</v>
      </c>
      <c r="D6" s="2741" t="s">
        <v>2828</v>
      </c>
      <c r="E6" s="2742"/>
      <c r="F6" s="2742"/>
      <c r="G6" s="2743"/>
      <c r="H6" s="2743"/>
      <c r="I6" s="2743"/>
      <c r="J6" s="2744"/>
      <c r="K6" s="1844"/>
      <c r="L6" s="2726" t="s">
        <v>2829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337" t="str">
        <f>IF(E2="商业",IF(C8="不临58条商业街","",2),"")</f>
        <v/>
      </c>
      <c r="B7" s="2745" t="s">
        <v>2830</v>
      </c>
      <c r="C7" s="918" t="e">
        <f>IF(C8="不临58条商业街",1,ROUND(1+(1.6*E8+1.2*E9+0.8*E10+0.4*E11)*C9,4))</f>
        <v>#DIV/0!</v>
      </c>
      <c r="D7" s="2746" t="s">
        <v>2831</v>
      </c>
      <c r="E7" s="947"/>
      <c r="F7" s="2747"/>
      <c r="G7" s="2748"/>
      <c r="H7" s="2748"/>
      <c r="I7" s="2748"/>
      <c r="J7" s="2749"/>
      <c r="K7" s="1844"/>
      <c r="L7" s="2726" t="s">
        <v>2832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2833</v>
      </c>
      <c r="X7" s="1606">
        <f>G2</f>
        <v>0</v>
      </c>
      <c r="Y7" s="1606" t="s">
        <v>2834</v>
      </c>
      <c r="Z7" s="1607">
        <f>G3</f>
        <v>5.31</v>
      </c>
      <c r="AA7" s="1608"/>
      <c r="AB7" s="1608"/>
      <c r="AC7" s="1609"/>
      <c r="AD7" s="1610"/>
      <c r="AE7" s="1610"/>
      <c r="AF7" s="1610"/>
      <c r="AG7" s="1610"/>
      <c r="AH7" s="1610"/>
      <c r="AI7" s="1610"/>
      <c r="AJ7" s="1611"/>
    </row>
    <row r="8" spans="1:36" ht="15">
      <c r="A8" s="3338"/>
      <c r="B8" s="198" t="s">
        <v>2835</v>
      </c>
      <c r="C8" s="2750"/>
      <c r="D8" s="919" t="s">
        <v>139</v>
      </c>
      <c r="E8" s="920" t="e">
        <f>ROUND(C11/E7,4)</f>
        <v>#DIV/0!</v>
      </c>
      <c r="F8" s="2751" t="s">
        <v>2836</v>
      </c>
      <c r="G8" s="2752"/>
      <c r="H8" s="2752"/>
      <c r="I8" s="2752"/>
      <c r="J8" s="2753"/>
      <c r="K8" s="1372"/>
      <c r="L8" s="2726" t="s">
        <v>2837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0" t="s">
        <v>2838</v>
      </c>
      <c r="X8" s="3331"/>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338"/>
      <c r="B9" s="198" t="s">
        <v>2851</v>
      </c>
      <c r="C9" s="921">
        <f>SUMIF(修正!C59:C119,C8,修正!E59:E119)</f>
        <v>0</v>
      </c>
      <c r="D9" s="200" t="s">
        <v>140</v>
      </c>
      <c r="E9" s="200" t="e">
        <f>ROUND(C11/E7,4)</f>
        <v>#DIV/0!</v>
      </c>
      <c r="F9" s="2751" t="s">
        <v>2852</v>
      </c>
      <c r="G9" s="2752"/>
      <c r="H9" s="2752"/>
      <c r="I9" s="2752"/>
      <c r="J9" s="2753"/>
      <c r="K9" s="1372"/>
      <c r="L9" s="2726" t="s">
        <v>2853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2" t="s">
        <v>2854</v>
      </c>
      <c r="X9" s="1613" t="s">
        <v>2855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38"/>
      <c r="B10" s="198" t="s">
        <v>2856</v>
      </c>
      <c r="C10" s="200">
        <f>SUMIF(修正!C59:C119,C8,修正!F59:F119)</f>
        <v>0</v>
      </c>
      <c r="D10" s="200" t="s">
        <v>141</v>
      </c>
      <c r="E10" s="200" t="e">
        <f>ROUND(C11/E7,4)</f>
        <v>#DIV/0!</v>
      </c>
      <c r="F10" s="2751" t="s">
        <v>2857</v>
      </c>
      <c r="G10" s="2752"/>
      <c r="H10" s="2752"/>
      <c r="I10" s="2752"/>
      <c r="J10" s="2753"/>
      <c r="K10" s="1372"/>
      <c r="L10" s="2726" t="s">
        <v>2858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38"/>
      <c r="B11" s="2754" t="s">
        <v>2859</v>
      </c>
      <c r="C11" s="922">
        <f>C10/4</f>
        <v>0</v>
      </c>
      <c r="D11" s="922" t="s">
        <v>142</v>
      </c>
      <c r="E11" s="922" t="e">
        <f>ROUND(C11/E7,4)</f>
        <v>#DIV/0!</v>
      </c>
      <c r="F11" s="2755" t="s">
        <v>2860</v>
      </c>
      <c r="G11" s="2756"/>
      <c r="H11" s="2756"/>
      <c r="I11" s="2756"/>
      <c r="J11" s="2757"/>
      <c r="K11" s="1372"/>
      <c r="L11" s="2726" t="s">
        <v>2861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2" t="s">
        <v>2862</v>
      </c>
      <c r="X11" s="1616" t="s">
        <v>2863</v>
      </c>
      <c r="Y11" s="1617">
        <f>$G$3</f>
        <v>5.31</v>
      </c>
      <c r="Z11" s="1617">
        <f t="shared" ref="Z11:AJ11" si="3">$G$3</f>
        <v>5.31</v>
      </c>
      <c r="AA11" s="1617">
        <f t="shared" si="3"/>
        <v>5.31</v>
      </c>
      <c r="AB11" s="1617">
        <f t="shared" si="3"/>
        <v>5.31</v>
      </c>
      <c r="AC11" s="1617">
        <f t="shared" si="3"/>
        <v>5.31</v>
      </c>
      <c r="AD11" s="1617">
        <f t="shared" si="3"/>
        <v>5.31</v>
      </c>
      <c r="AE11" s="1617">
        <f t="shared" si="3"/>
        <v>5.31</v>
      </c>
      <c r="AF11" s="1617">
        <f t="shared" si="3"/>
        <v>5.31</v>
      </c>
      <c r="AG11" s="1617">
        <f t="shared" si="3"/>
        <v>5.31</v>
      </c>
      <c r="AH11" s="1617">
        <f t="shared" si="3"/>
        <v>5.31</v>
      </c>
      <c r="AI11" s="1617">
        <f t="shared" si="3"/>
        <v>5.31</v>
      </c>
      <c r="AJ11" s="1617">
        <f t="shared" si="3"/>
        <v>5.31</v>
      </c>
    </row>
    <row r="12" spans="1:36" ht="25.5" thickBot="1">
      <c r="A12" s="3337" t="s">
        <v>2864</v>
      </c>
      <c r="B12" s="2758" t="s">
        <v>2865</v>
      </c>
      <c r="C12" s="918">
        <f>ROUND(C15*D15*E15*F15*G15*H15*I15*J15,4)</f>
        <v>1</v>
      </c>
      <c r="D12" s="2759" t="s">
        <v>2866</v>
      </c>
      <c r="E12" s="2760"/>
      <c r="F12" s="2760"/>
      <c r="G12" s="2761"/>
      <c r="H12" s="2761"/>
      <c r="I12" s="2761"/>
      <c r="J12" s="2762"/>
      <c r="K12" s="1372"/>
      <c r="L12" s="2763" t="s">
        <v>2867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2"/>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39"/>
      <c r="B13" s="2764" t="s">
        <v>2869</v>
      </c>
      <c r="C13" s="2765" t="s">
        <v>2870</v>
      </c>
      <c r="D13" s="1810" t="s">
        <v>2871</v>
      </c>
      <c r="E13" s="1810" t="s">
        <v>2872</v>
      </c>
      <c r="F13" s="30" t="s">
        <v>2873</v>
      </c>
      <c r="G13" s="2766" t="s">
        <v>2874</v>
      </c>
      <c r="H13" s="2766" t="s">
        <v>2874</v>
      </c>
      <c r="I13" s="2766" t="s">
        <v>2874</v>
      </c>
      <c r="J13" s="2767" t="s">
        <v>2874</v>
      </c>
      <c r="K13" s="1372"/>
      <c r="L13" s="1372"/>
      <c r="M13" s="1372"/>
      <c r="N13" s="1372"/>
      <c r="O13" s="1372"/>
      <c r="P13" s="1372"/>
      <c r="Q13" s="1372"/>
      <c r="R13" s="1604">
        <v>12</v>
      </c>
      <c r="S13" s="1605"/>
      <c r="T13" s="1604" t="e">
        <f t="shared" si="0"/>
        <v>#DIV/0!</v>
      </c>
      <c r="U13" s="1605"/>
      <c r="V13" s="1604" t="e">
        <f t="shared" si="1"/>
        <v>#DIV/0!</v>
      </c>
      <c r="W13" s="3332"/>
      <c r="X13" s="1618"/>
      <c r="Y13" s="1615">
        <f>(-0.163*(Y12^2)-0.59*Y12+7617)*(10^(-4))/Y11</f>
        <v>0.14344632768361584</v>
      </c>
      <c r="Z13" s="1615">
        <f t="shared" ref="Z13:AJ13" si="5">(-0.163*(Z12^2)-0.59*Z12+7617)*(10^(-4))/Z11</f>
        <v>0.14344632768361584</v>
      </c>
      <c r="AA13" s="1615">
        <f t="shared" si="5"/>
        <v>0.14344632768361584</v>
      </c>
      <c r="AB13" s="1615">
        <f t="shared" si="5"/>
        <v>0.14344632768361584</v>
      </c>
      <c r="AC13" s="1615">
        <f t="shared" si="5"/>
        <v>0.14344632768361584</v>
      </c>
      <c r="AD13" s="1615">
        <f t="shared" si="5"/>
        <v>0.14344632768361584</v>
      </c>
      <c r="AE13" s="1615">
        <f t="shared" si="5"/>
        <v>0.14344632768361584</v>
      </c>
      <c r="AF13" s="1615">
        <f t="shared" si="5"/>
        <v>0.14344632768361584</v>
      </c>
      <c r="AG13" s="1615">
        <f t="shared" si="5"/>
        <v>0.14344632768361584</v>
      </c>
      <c r="AH13" s="1615">
        <f t="shared" si="5"/>
        <v>0.14344632768361584</v>
      </c>
      <c r="AI13" s="1615">
        <f t="shared" si="5"/>
        <v>0.14344632768361584</v>
      </c>
      <c r="AJ13" s="1615">
        <f t="shared" si="5"/>
        <v>0.14344632768361584</v>
      </c>
    </row>
    <row r="14" spans="1:36" ht="15">
      <c r="A14" s="3339"/>
      <c r="B14" s="2768"/>
      <c r="C14" s="2769"/>
      <c r="D14" s="2770"/>
      <c r="E14" s="2770"/>
      <c r="F14" s="2771"/>
      <c r="G14" s="2772" t="s">
        <v>2875</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40"/>
      <c r="B15" s="2776" t="s">
        <v>2876</v>
      </c>
      <c r="C15" s="229">
        <f>IF(C14="有",1.1,1)</f>
        <v>1</v>
      </c>
      <c r="D15" s="229">
        <f>IF(D14="有",1.1,1)</f>
        <v>1</v>
      </c>
      <c r="E15" s="229">
        <f>IF(E14="有",1.1,1)</f>
        <v>1</v>
      </c>
      <c r="F15" s="229">
        <f>IF(F14="500米范围内",1.2,IF(F14="500-1000米",1.1,1))</f>
        <v>1</v>
      </c>
      <c r="G15" s="948">
        <v>1</v>
      </c>
      <c r="H15" s="948">
        <v>1</v>
      </c>
      <c r="I15" s="948">
        <v>1</v>
      </c>
      <c r="J15" s="949">
        <v>1</v>
      </c>
      <c r="K15" s="1372"/>
      <c r="L15" s="2777" t="s">
        <v>2812</v>
      </c>
      <c r="M15" s="919" t="s">
        <v>2877</v>
      </c>
      <c r="N15" s="919" t="s">
        <v>2878</v>
      </c>
      <c r="O15" s="919" t="s">
        <v>2879</v>
      </c>
      <c r="P15" s="2778" t="s">
        <v>2880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37" t="s">
        <v>2881</v>
      </c>
      <c r="B16" s="2745" t="s">
        <v>2882</v>
      </c>
      <c r="C16" s="1803" t="e">
        <f>ROUND(SUM(G17:J17)/C17,0)</f>
        <v>#DIV/0!</v>
      </c>
      <c r="D16" s="2779" t="s">
        <v>2883</v>
      </c>
      <c r="E16" s="2780"/>
      <c r="F16" s="2781"/>
      <c r="G16" s="2782"/>
      <c r="H16" s="2782"/>
      <c r="I16" s="2782"/>
      <c r="J16" s="2783"/>
      <c r="K16" s="1372"/>
      <c r="L16" s="2784" t="s">
        <v>2884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38"/>
      <c r="B17" s="2785" t="s">
        <v>2885</v>
      </c>
      <c r="C17" s="923">
        <f>SUMPRODUCT((修正!A2:A5=E2)*(修正!B1:M1=G2)*(修正!B2:M5))</f>
        <v>0</v>
      </c>
      <c r="D17" s="2786" t="s">
        <v>2886</v>
      </c>
      <c r="E17" s="922" t="str">
        <f>IF(OR(G2="八级",G2="九级",G2="十级",G2="十一级",G2="十二级"),"五通一平","七通一平")</f>
        <v>七通一平</v>
      </c>
      <c r="F17" s="923" t="s">
        <v>2887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2888</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2889</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2890</v>
      </c>
      <c r="C19" s="926" t="e">
        <f>ROUND(IF(H19="按公示增长率计算",SUMPRODUCT((地价!A3:A22=YEAR(G19)&amp;"-"&amp;ROUNDUP(MONTH(G19)/3,0))*(地价!X2:AB2=E2)*(地价!X3:AB22)),IF(H19="地价指数",M20/M19,(1+I19)^O19)),4)</f>
        <v>#DIV/0!</v>
      </c>
      <c r="D19" s="2797" t="s">
        <v>2891</v>
      </c>
      <c r="E19" s="927">
        <v>41640</v>
      </c>
      <c r="F19" s="2797" t="s">
        <v>2892</v>
      </c>
      <c r="G19" s="928">
        <f>'数据-取费表'!B2</f>
        <v>43202</v>
      </c>
      <c r="H19" s="2798" t="s">
        <v>2893</v>
      </c>
      <c r="I19" s="929" t="str">
        <f>IF(H19="季度增幅（自定义）",SUMIF(N21:N24,E2,O21:O24),"")</f>
        <v/>
      </c>
      <c r="J19" s="2795"/>
      <c r="K19" s="1379"/>
      <c r="L19" s="2799" t="s">
        <v>2894</v>
      </c>
      <c r="M19" s="1736">
        <f>ROUND(SUMIF(地价!B2:F2,E2,地价!B22:F22),0)</f>
        <v>0</v>
      </c>
      <c r="N19" s="2800" t="s">
        <v>2895</v>
      </c>
      <c r="O19" s="930">
        <f>ROUNDDOWN(DATEDIF(E19,G19,"M")/3,0)</f>
        <v>17</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2896</v>
      </c>
      <c r="C20" s="931" t="e">
        <f>ROUND(POWER(1+G20,J20-I20)*(POWER(1+G20,I20)-1)/(POWER(1+G20,J20)-1),4)</f>
        <v>#DIV/0!</v>
      </c>
      <c r="D20" s="2806" t="s">
        <v>2897</v>
      </c>
      <c r="E20" s="1770">
        <f ca="1">存贷款利率!D4/100</f>
        <v>4.3499999999999997E-2</v>
      </c>
      <c r="F20" s="2806" t="s">
        <v>2888</v>
      </c>
      <c r="G20" s="936">
        <f>SUMIF(M15:P15,E2,M17:P17)</f>
        <v>0</v>
      </c>
      <c r="H20" s="2806" t="s">
        <v>2898</v>
      </c>
      <c r="I20" s="937" t="e">
        <f>SUMIF('数据-取费表'!C6:C15,E2,'数据-取费表'!F6:F15)/COUNTIF('数据-取费表'!C6:C15,E2)</f>
        <v>#DIV/0!</v>
      </c>
      <c r="J20" s="938">
        <f>IF(E2="住宅",70,IF(E2="商业",40,50))</f>
        <v>50</v>
      </c>
      <c r="K20" s="1379"/>
      <c r="L20" s="2807" t="s">
        <v>2899</v>
      </c>
      <c r="M20" s="1737">
        <f>ROUND(SUMPRODUCT((地价!A4:A22=YEAR(G19)&amp;"-"&amp;ROUNDUP(MONTH(G19)/3,0))*(地价!B2:F2=E2)*(地价!B4:F22)),0)</f>
        <v>0</v>
      </c>
      <c r="N20" s="2808" t="s">
        <v>2900</v>
      </c>
      <c r="O20" s="2809" t="s">
        <v>2901</v>
      </c>
      <c r="P20" s="2810" t="s">
        <v>2902</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2903</v>
      </c>
      <c r="C21" s="939">
        <f>IF(B21="容积率修正",IF(G3&lt;=10,D22,J22),C23)</f>
        <v>0</v>
      </c>
      <c r="D21" s="2813"/>
      <c r="E21" s="2813"/>
      <c r="F21" s="2813"/>
      <c r="G21" s="2813"/>
      <c r="H21" s="2813"/>
      <c r="I21" s="2813"/>
      <c r="J21" s="2814"/>
      <c r="K21" s="1379"/>
      <c r="N21" s="2815" t="s">
        <v>2904</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38" customFormat="1" ht="14.25">
      <c r="A22" s="2664" t="s">
        <v>2905</v>
      </c>
      <c r="B22" s="2816" t="s">
        <v>2906</v>
      </c>
      <c r="C22" s="1812" t="s">
        <v>2907</v>
      </c>
      <c r="D22" s="1812">
        <f>IF(E22=G22,F22,IF(G3&lt;=10,ROUND(F22+(H22-F22)*(G3-E22)/(G22-E22),4),"——"))</f>
        <v>0</v>
      </c>
      <c r="E22" s="915">
        <f>ROUNDDOWN(G3,1)</f>
        <v>5.3</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5.3999999999999995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0" t="str">
        <f>IF(G3&gt;10,D113,"——")</f>
        <v>——</v>
      </c>
      <c r="K22" s="1379"/>
      <c r="N22" s="2815" t="s">
        <v>2908</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4" t="s">
        <v>2909</v>
      </c>
      <c r="B23" s="2817" t="s">
        <v>2910</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2911</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2912</v>
      </c>
      <c r="C24" s="926">
        <f>SUMIF(A45:A88,E2,B45:B88)</f>
        <v>0</v>
      </c>
      <c r="D24" s="2793"/>
      <c r="E24" s="2823"/>
      <c r="F24" s="2823"/>
      <c r="G24" s="2823"/>
      <c r="H24" s="2823"/>
      <c r="I24" s="2823"/>
      <c r="J24" s="2824"/>
      <c r="K24" s="1379"/>
      <c r="N24" s="2825" t="s">
        <v>2913</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2914</v>
      </c>
      <c r="C25" s="932"/>
      <c r="D25" s="2748"/>
      <c r="E25" s="2748"/>
      <c r="F25" s="2827"/>
      <c r="G25" s="2748"/>
      <c r="H25" s="2748"/>
      <c r="I25" s="2748"/>
      <c r="J25" s="2749"/>
      <c r="K25" s="1372"/>
      <c r="N25" s="2828" t="s">
        <v>2915</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29"/>
      <c r="B26" s="2816" t="s">
        <v>2916</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2917</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2918</v>
      </c>
      <c r="C28" s="2840" t="s">
        <v>2919</v>
      </c>
      <c r="D28" s="2840" t="s">
        <v>2920</v>
      </c>
      <c r="E28" s="2841" t="s">
        <v>2921</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2922</v>
      </c>
      <c r="C29" s="206" t="e">
        <f>ROUND(C5*C18*C19*C20*C21*C24,0)</f>
        <v>#DIV/0!</v>
      </c>
      <c r="D29" s="2845"/>
      <c r="E29" s="944" t="e">
        <f>ROUND(C29*D29/10000,0)</f>
        <v>#DIV/0!</v>
      </c>
      <c r="F29" s="2846" t="s">
        <v>2923</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2924</v>
      </c>
      <c r="C30" s="229" t="e">
        <f>ROUND(IF(E2="工业",C29*M39,C29*M38),0)</f>
        <v>#DIV/0!</v>
      </c>
      <c r="D30" s="2851"/>
      <c r="E30" s="944" t="e">
        <f>ROUND(C30*D30/10000,0)</f>
        <v>#DIV/0!</v>
      </c>
      <c r="F30" s="2852" t="s">
        <v>2925</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347" t="s">
        <v>2930</v>
      </c>
      <c r="B33" s="2861" t="s">
        <v>2931</v>
      </c>
      <c r="C33" s="206" t="e">
        <f>ROUND(D5*C19*C20*C24*F33,0)</f>
        <v>#DIV/0!</v>
      </c>
      <c r="D33" s="2845"/>
      <c r="E33" s="200" t="e">
        <f>ROUND(C33*D33/10000,0)</f>
        <v>#DIV/0!</v>
      </c>
      <c r="F33" s="200">
        <f>SUMIF(修正!A45:A56,G2,修正!B45:B56)</f>
        <v>0</v>
      </c>
      <c r="G33" s="200" t="e">
        <f t="shared" ref="G33:G39"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48"/>
      <c r="B34" s="2765" t="s">
        <v>2932</v>
      </c>
      <c r="C34" s="206" t="e">
        <f>ROUND(D5*C19*C20*C24*F34,0)</f>
        <v>#DIV/0!</v>
      </c>
      <c r="D34" s="2845"/>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48"/>
      <c r="B35" s="2765" t="s">
        <v>2933</v>
      </c>
      <c r="C35" s="206" t="e">
        <f>ROUND(D5*C19*C20*C24*F35,0)</f>
        <v>#DIV/0!</v>
      </c>
      <c r="D35" s="2845"/>
      <c r="E35" s="200" t="e">
        <f t="shared" si="7"/>
        <v>#DIV/0!</v>
      </c>
      <c r="F35" s="200">
        <f>SUMIF(修正!A45:A56,G2,修正!D45:D56)</f>
        <v>0</v>
      </c>
      <c r="G35" s="200" t="e">
        <f t="shared" si="6"/>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349"/>
      <c r="B36" s="2765" t="s">
        <v>2934</v>
      </c>
      <c r="C36" s="206" t="e">
        <f>ROUND(D5*C19*C20*C24*F36,0)</f>
        <v>#DIV/0!</v>
      </c>
      <c r="D36" s="2845"/>
      <c r="E36" s="200" t="e">
        <f t="shared" si="7"/>
        <v>#DIV/0!</v>
      </c>
      <c r="F36" s="200">
        <f>SUMIF(修正!A45:A56,G2,修正!E45:E56)</f>
        <v>0</v>
      </c>
      <c r="G36" s="200" t="e">
        <f t="shared" si="6"/>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2935</v>
      </c>
      <c r="C37" s="200" t="e">
        <f>ROUND(C5*C19*C20*C24*F37,0)</f>
        <v>#DIV/0!</v>
      </c>
      <c r="D37" s="2845"/>
      <c r="E37" s="200" t="e">
        <f t="shared" si="7"/>
        <v>#DIV/0!</v>
      </c>
      <c r="F37" s="206">
        <f>SUMIF(修正!A45:A56,G2,修正!F45:F56)</f>
        <v>0</v>
      </c>
      <c r="G37" s="200" t="e">
        <f t="shared" si="6"/>
        <v>#DIV/0!</v>
      </c>
      <c r="H37" s="200">
        <f t="shared" si="8"/>
        <v>0</v>
      </c>
      <c r="I37" s="200" t="e">
        <f t="shared" si="9"/>
        <v>#DIV/0!</v>
      </c>
      <c r="J37" s="2862"/>
      <c r="K37" s="1372"/>
      <c r="L37" s="2864" t="s">
        <v>2936</v>
      </c>
      <c r="M37" s="2865"/>
      <c r="N37" s="1372"/>
      <c r="O37" s="1372"/>
      <c r="P37" s="1372"/>
      <c r="Q37" s="1372"/>
      <c r="R37" s="1372"/>
      <c r="S37" s="1372"/>
      <c r="T37" s="1372"/>
      <c r="U37" s="1372"/>
      <c r="V37" s="1372"/>
      <c r="W37" s="1372"/>
      <c r="X37" s="1372"/>
      <c r="Y37" s="1372"/>
      <c r="Z37" s="1373"/>
    </row>
    <row r="38" spans="1:37">
      <c r="A38" s="2863"/>
      <c r="B38" s="2765" t="s">
        <v>2937</v>
      </c>
      <c r="C38" s="200" t="e">
        <f>ROUND(C5*C19*C20*C24*F38,0)</f>
        <v>#DIV/0!</v>
      </c>
      <c r="D38" s="2845"/>
      <c r="E38" s="200" t="e">
        <f t="shared" si="7"/>
        <v>#DIV/0!</v>
      </c>
      <c r="F38" s="206">
        <f>SUMIF(修正!A45:A56,G2,修正!G45:G56)</f>
        <v>0</v>
      </c>
      <c r="G38" s="200" t="e">
        <f t="shared" si="6"/>
        <v>#DIV/0!</v>
      </c>
      <c r="H38" s="200">
        <f t="shared" si="8"/>
        <v>0</v>
      </c>
      <c r="I38" s="200" t="e">
        <f t="shared" si="9"/>
        <v>#DIV/0!</v>
      </c>
      <c r="J38" s="2862"/>
      <c r="K38" s="1372"/>
      <c r="L38" s="1889" t="s">
        <v>2938</v>
      </c>
      <c r="M38" s="2866">
        <v>0.25</v>
      </c>
      <c r="N38" s="1372"/>
      <c r="O38" s="1372"/>
      <c r="P38" s="1372"/>
      <c r="Q38" s="1372"/>
      <c r="R38" s="1372"/>
      <c r="S38" s="1372"/>
      <c r="T38" s="1372"/>
      <c r="U38" s="1372"/>
      <c r="V38" s="1372"/>
      <c r="W38" s="1372"/>
      <c r="X38" s="1372"/>
      <c r="Y38" s="1372"/>
      <c r="Z38" s="1373"/>
    </row>
    <row r="39" spans="1:37" ht="13.5" thickBot="1">
      <c r="A39" s="2849"/>
      <c r="B39" s="2867" t="s">
        <v>2939</v>
      </c>
      <c r="C39" s="229" t="e">
        <f>ROUND(C5*C19*C20*C24*F39,0)</f>
        <v>#DIV/0!</v>
      </c>
      <c r="D39" s="2851"/>
      <c r="E39" s="229" t="e">
        <f t="shared" si="7"/>
        <v>#DIV/0!</v>
      </c>
      <c r="F39" s="934">
        <f>SUMIF(修正!A45:A56,G2,修正!H45:H56)</f>
        <v>0</v>
      </c>
      <c r="G39" s="229" t="e">
        <f t="shared" si="6"/>
        <v>#DIV/0!</v>
      </c>
      <c r="H39" s="229">
        <f t="shared" si="8"/>
        <v>0</v>
      </c>
      <c r="I39" s="229" t="e">
        <f t="shared" si="9"/>
        <v>#DIV/0!</v>
      </c>
      <c r="J39" s="2868"/>
      <c r="K39" s="1372"/>
      <c r="L39" s="2869" t="s">
        <v>2880</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2940</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2941</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2942</v>
      </c>
      <c r="B47" s="1811" t="s">
        <v>2943</v>
      </c>
      <c r="C47" s="1811" t="s">
        <v>2944</v>
      </c>
      <c r="D47" s="1811" t="s">
        <v>2945</v>
      </c>
      <c r="E47" s="818" t="s">
        <v>2946</v>
      </c>
      <c r="F47" s="2879" t="s">
        <v>2947</v>
      </c>
      <c r="G47" s="1811" t="s">
        <v>754</v>
      </c>
      <c r="H47" s="2880" t="s">
        <v>2948</v>
      </c>
      <c r="I47" s="1811" t="s">
        <v>2949</v>
      </c>
      <c r="J47" s="603" t="s">
        <v>2595</v>
      </c>
      <c r="K47" s="603" t="s">
        <v>2596</v>
      </c>
      <c r="L47" s="603" t="s">
        <v>2597</v>
      </c>
      <c r="M47" s="603" t="s">
        <v>2598</v>
      </c>
      <c r="N47" s="603" t="s">
        <v>2599</v>
      </c>
      <c r="AA47" s="1373"/>
      <c r="AB47" s="1373"/>
      <c r="AC47" s="1373"/>
      <c r="AD47" s="1373"/>
      <c r="AE47" s="1373"/>
      <c r="AF47" s="1373"/>
      <c r="AG47" s="1373"/>
      <c r="AH47" s="1373"/>
      <c r="AI47" s="1373"/>
      <c r="AJ47" s="1373"/>
      <c r="AK47" s="1373"/>
    </row>
    <row r="48" spans="1:37" s="1372" customFormat="1" ht="38.25">
      <c r="A48" s="2878" t="s">
        <v>2950</v>
      </c>
      <c r="B48" s="2881" t="str">
        <f>估价对象房地状况!C4</f>
        <v>估价对象位于XX商圈，周边商业氛围成熟，人流量大，商业繁华度好</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2951</v>
      </c>
      <c r="B49" s="2882" t="str">
        <f>估价对象房地状况!C18</f>
        <v>估价对象周边道路状况、公共交通通达情况、停车便捷程度，综合评价交通便捷度较好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2952</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2953</v>
      </c>
      <c r="B51" s="2883" t="s">
        <v>2954</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2955</v>
      </c>
      <c r="B52" s="2882">
        <f>估价对象房地状况!C24</f>
        <v>0</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2956</v>
      </c>
      <c r="B53" s="2884" t="s">
        <v>2957</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2958</v>
      </c>
      <c r="B54" s="1727" t="str">
        <f>估价对象房地状况!C21</f>
        <v>估价对象所在区域公共配套设施齐备情况</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2959</v>
      </c>
      <c r="B55" s="2882" t="str">
        <f>估价对象房地状况!C22</f>
        <v>估价对象所在区域基础设施水平</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2960</v>
      </c>
      <c r="B56" s="2887" t="str">
        <f>估价对象房地状况!C20</f>
        <v>区域自然环境：；人文环境；综合评价环境状况一般</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2961</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2942</v>
      </c>
      <c r="B58" s="1811"/>
      <c r="C58" s="1811" t="s">
        <v>2944</v>
      </c>
      <c r="D58" s="1811" t="s">
        <v>2945</v>
      </c>
      <c r="E58" s="818" t="s">
        <v>2946</v>
      </c>
      <c r="F58" s="2879" t="s">
        <v>2962</v>
      </c>
      <c r="G58" s="1811" t="s">
        <v>754</v>
      </c>
      <c r="H58" s="2880" t="s">
        <v>2948</v>
      </c>
      <c r="I58" s="1811" t="s">
        <v>2949</v>
      </c>
      <c r="J58" s="603" t="s">
        <v>2595</v>
      </c>
      <c r="K58" s="603" t="s">
        <v>2596</v>
      </c>
      <c r="L58" s="603" t="s">
        <v>2597</v>
      </c>
      <c r="M58" s="603" t="s">
        <v>2598</v>
      </c>
      <c r="N58" s="603" t="s">
        <v>2599</v>
      </c>
      <c r="AA58" s="1373"/>
      <c r="AB58" s="1373"/>
      <c r="AC58" s="1373"/>
      <c r="AD58" s="1373"/>
      <c r="AE58" s="1373"/>
      <c r="AF58" s="1373"/>
      <c r="AG58" s="1373"/>
      <c r="AH58" s="1373"/>
      <c r="AI58" s="1373"/>
      <c r="AJ58" s="1373"/>
      <c r="AK58" s="1373"/>
    </row>
    <row r="59" spans="1:37" s="1372" customFormat="1" ht="38.25">
      <c r="A59" s="2878" t="s">
        <v>2963</v>
      </c>
      <c r="B59" s="2881" t="str">
        <f>估价对象房地状况!C17</f>
        <v>估价对象位于XX商圈，周边办公楼项目较多，入驻率高，办公集聚程度较好</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8" t="s">
        <v>2951</v>
      </c>
      <c r="B60" s="2882" t="str">
        <f>估价对象房地状况!C18</f>
        <v>估价对象周边道路状况、公共交通通达情况、停车便捷程度，综合评价交通便捷度较好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2952</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2953</v>
      </c>
      <c r="B62" s="2883" t="s">
        <v>2954</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2955</v>
      </c>
      <c r="B63" s="2882">
        <f>估价对象房地状况!C24</f>
        <v>0</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2956</v>
      </c>
      <c r="B64" s="2884" t="s">
        <v>2957</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8" t="s">
        <v>2958</v>
      </c>
      <c r="B65" s="1727" t="str">
        <f>估价对象房地状况!C21</f>
        <v>估价对象所在区域公共配套设施齐备情况</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8" t="s">
        <v>2959</v>
      </c>
      <c r="B66" s="1727" t="str">
        <f>估价对象房地状况!C22</f>
        <v>估价对象所在区域基础设施水平</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6" t="s">
        <v>2960</v>
      </c>
      <c r="B67" s="2888" t="str">
        <f>估价对象房地状况!C20</f>
        <v>区域自然环境：；人文环境；综合评价环境状况一般</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2964</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2942</v>
      </c>
      <c r="B69" s="1811"/>
      <c r="C69" s="1811" t="s">
        <v>2944</v>
      </c>
      <c r="D69" s="1811" t="s">
        <v>2945</v>
      </c>
      <c r="E69" s="818" t="s">
        <v>2946</v>
      </c>
      <c r="F69" s="2879" t="s">
        <v>2962</v>
      </c>
      <c r="G69" s="1811" t="s">
        <v>754</v>
      </c>
      <c r="H69" s="2880" t="s">
        <v>2948</v>
      </c>
      <c r="I69" s="1811" t="s">
        <v>2949</v>
      </c>
      <c r="J69" s="603" t="s">
        <v>2595</v>
      </c>
      <c r="K69" s="603" t="s">
        <v>2596</v>
      </c>
      <c r="L69" s="603" t="s">
        <v>2597</v>
      </c>
      <c r="M69" s="603" t="s">
        <v>2598</v>
      </c>
      <c r="N69" s="603" t="s">
        <v>2599</v>
      </c>
      <c r="AA69" s="1373"/>
      <c r="AB69" s="1373"/>
      <c r="AC69" s="1373"/>
      <c r="AD69" s="1373"/>
      <c r="AE69" s="1373"/>
      <c r="AF69" s="1373"/>
      <c r="AG69" s="1373"/>
      <c r="AH69" s="1373"/>
      <c r="AI69" s="1373"/>
      <c r="AJ69" s="1373"/>
      <c r="AK69" s="1373"/>
    </row>
    <row r="70" spans="1:37" s="1372" customFormat="1" ht="51">
      <c r="A70" s="2878" t="s">
        <v>2965</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2951</v>
      </c>
      <c r="B71" s="2882" t="str">
        <f>估价对象房地状况!C18</f>
        <v>估价对象周边道路状况、公共交通通达情况、停车便捷程度，综合评价交通便捷度较好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2952</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2966</v>
      </c>
      <c r="B73" s="2882">
        <f>估价对象房地状况!C24</f>
        <v>0</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2958</v>
      </c>
      <c r="B74" s="1727" t="str">
        <f>估价对象房地状况!C21</f>
        <v>估价对象所在区域公共配套设施齐备情况</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2959</v>
      </c>
      <c r="B75" s="1727" t="str">
        <f>估价对象房地状况!C22</f>
        <v>估价对象所在区域基础设施水平</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2956</v>
      </c>
      <c r="B76" s="2884" t="s">
        <v>2957</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2960</v>
      </c>
      <c r="B77" s="2881" t="str">
        <f>估价对象房地状况!C20</f>
        <v>区域自然环境：；人文环境；综合评价环境状况一般</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2967</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2968</v>
      </c>
      <c r="B79" s="2875">
        <f>1+E81</f>
        <v>1</v>
      </c>
      <c r="C79" s="813"/>
      <c r="D79" s="813"/>
      <c r="E79" s="814"/>
      <c r="F79" s="2877"/>
      <c r="G79" s="6"/>
      <c r="H79" s="6"/>
      <c r="I79" s="6"/>
      <c r="J79" s="7"/>
      <c r="K79" s="7"/>
      <c r="L79" s="7"/>
      <c r="M79" s="7"/>
      <c r="N79" s="7"/>
      <c r="Z79" s="2720"/>
      <c r="AA79" s="2796"/>
      <c r="AG79" s="1374"/>
      <c r="AK79" s="2796"/>
    </row>
    <row r="80" spans="1:37" ht="24.75">
      <c r="A80" s="2878" t="s">
        <v>2942</v>
      </c>
      <c r="B80" s="1811"/>
      <c r="C80" s="1811" t="s">
        <v>2944</v>
      </c>
      <c r="D80" s="1811" t="s">
        <v>2945</v>
      </c>
      <c r="E80" s="818" t="s">
        <v>2946</v>
      </c>
      <c r="F80" s="2879" t="s">
        <v>2962</v>
      </c>
      <c r="G80" s="1811" t="s">
        <v>754</v>
      </c>
      <c r="H80" s="2880" t="s">
        <v>2948</v>
      </c>
      <c r="I80" s="1811" t="s">
        <v>2949</v>
      </c>
      <c r="J80" s="603" t="s">
        <v>2595</v>
      </c>
      <c r="K80" s="603" t="s">
        <v>2596</v>
      </c>
      <c r="L80" s="603" t="s">
        <v>2597</v>
      </c>
      <c r="M80" s="603" t="s">
        <v>2598</v>
      </c>
      <c r="N80" s="603" t="s">
        <v>2599</v>
      </c>
      <c r="Z80" s="2720"/>
      <c r="AA80" s="2796"/>
      <c r="AG80" s="1374"/>
      <c r="AK80" s="2796"/>
    </row>
    <row r="81" spans="1:37" ht="38.25">
      <c r="A81" s="2878" t="s">
        <v>2969</v>
      </c>
      <c r="B81" s="2882" t="str">
        <f>估价对象房地状况!G15</f>
        <v>估价对象位于XX开发区，园区建设成熟度XX，产业集聚程度XX</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2951</v>
      </c>
      <c r="B82" s="2882" t="str">
        <f>估价对象房地状况!G16</f>
        <v>估价对象周边道路状况、公共交通通达情况、停车便捷程度，综合评价交通便捷度较好</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2952</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2966</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2958</v>
      </c>
      <c r="B85" s="1727" t="str">
        <f>估价对象房地状况!G19</f>
        <v>估价对象所在区域公共配套设施齐备情况</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2959</v>
      </c>
      <c r="B86" s="1727" t="str">
        <f>估价对象房地状况!G20</f>
        <v>估价对象所在区域基础设施水平</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2956</v>
      </c>
      <c r="B87" s="2884" t="s">
        <v>2970</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2971</v>
      </c>
      <c r="B88" s="2891" t="str">
        <f>估价对象房地状况!G18</f>
        <v>该园区内是否有污染型企业，绿化情况，卫生条件，整体环境状况判断</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341" t="s">
        <v>2972</v>
      </c>
      <c r="B90" s="3341"/>
      <c r="C90" s="3341"/>
      <c r="D90" s="3341"/>
      <c r="E90" s="3341"/>
      <c r="F90" s="3341"/>
      <c r="G90" s="3341"/>
      <c r="H90" s="3341"/>
      <c r="I90" s="3341"/>
      <c r="J90" s="3341"/>
      <c r="K90" s="2892"/>
      <c r="L90" s="2892"/>
      <c r="M90" s="2892"/>
      <c r="N90" s="2892"/>
    </row>
    <row r="91" spans="1:37">
      <c r="A91" s="3343" t="s">
        <v>2973</v>
      </c>
      <c r="B91" s="3343" t="s">
        <v>2974</v>
      </c>
      <c r="C91" s="2846" t="s">
        <v>2975</v>
      </c>
      <c r="D91" s="2847"/>
      <c r="E91" s="2847"/>
      <c r="F91" s="2847"/>
      <c r="G91" s="2847"/>
      <c r="H91" s="2847"/>
      <c r="I91" s="2847"/>
      <c r="J91" s="2893"/>
      <c r="K91" s="2894"/>
      <c r="L91" s="2894"/>
      <c r="M91" s="2894"/>
      <c r="N91" s="2894"/>
    </row>
    <row r="92" spans="1:37">
      <c r="A92" s="3343"/>
      <c r="B92" s="3343"/>
      <c r="C92" s="944" t="s">
        <v>2839</v>
      </c>
      <c r="D92" s="944" t="s">
        <v>2840</v>
      </c>
      <c r="E92" s="944" t="s">
        <v>2841</v>
      </c>
      <c r="F92" s="944" t="s">
        <v>2842</v>
      </c>
      <c r="G92" s="944" t="s">
        <v>2843</v>
      </c>
      <c r="H92" s="944" t="s">
        <v>2844</v>
      </c>
      <c r="I92" s="944" t="s">
        <v>2845</v>
      </c>
      <c r="J92" s="944" t="s">
        <v>2846</v>
      </c>
      <c r="K92" s="944" t="s">
        <v>2847</v>
      </c>
      <c r="L92" s="944" t="s">
        <v>2848</v>
      </c>
      <c r="M92" s="944" t="s">
        <v>2849</v>
      </c>
      <c r="N92" s="944" t="s">
        <v>2850</v>
      </c>
    </row>
    <row r="93" spans="1:37">
      <c r="A93" s="3344"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45"/>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45"/>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45"/>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45"/>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45"/>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45"/>
      <c r="B99" s="2895" t="s">
        <v>2855</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46"/>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44" t="s">
        <v>2977</v>
      </c>
      <c r="B101" s="2899" t="s">
        <v>2978</v>
      </c>
      <c r="C101" s="2900">
        <f>$G$3</f>
        <v>5.31</v>
      </c>
      <c r="D101" s="2900">
        <f t="shared" ref="D101:N101" si="31">$G$3</f>
        <v>5.31</v>
      </c>
      <c r="E101" s="2900">
        <f t="shared" si="31"/>
        <v>5.31</v>
      </c>
      <c r="F101" s="2900">
        <f t="shared" si="31"/>
        <v>5.31</v>
      </c>
      <c r="G101" s="2900">
        <f t="shared" si="31"/>
        <v>5.31</v>
      </c>
      <c r="H101" s="2900">
        <f t="shared" si="31"/>
        <v>5.31</v>
      </c>
      <c r="I101" s="2900">
        <f t="shared" si="31"/>
        <v>5.31</v>
      </c>
      <c r="J101" s="2900">
        <f t="shared" si="31"/>
        <v>5.31</v>
      </c>
      <c r="K101" s="2900">
        <f t="shared" si="31"/>
        <v>5.31</v>
      </c>
      <c r="L101" s="2900">
        <f t="shared" si="31"/>
        <v>5.31</v>
      </c>
      <c r="M101" s="2900">
        <f t="shared" si="31"/>
        <v>5.31</v>
      </c>
      <c r="N101" s="2900">
        <f t="shared" si="31"/>
        <v>5.31</v>
      </c>
    </row>
    <row r="102" spans="1:14">
      <c r="A102" s="3345"/>
      <c r="B102" s="2895">
        <v>1</v>
      </c>
      <c r="C102" s="2896">
        <f>1.9362/C101</f>
        <v>0.36463276836158193</v>
      </c>
      <c r="D102" s="2896">
        <f>1.9362/D101</f>
        <v>0.36463276836158193</v>
      </c>
      <c r="E102" s="2896">
        <f>1.8629/E101</f>
        <v>0.35082862523540492</v>
      </c>
      <c r="F102" s="2896">
        <f>1.8629/F101</f>
        <v>0.35082862523540492</v>
      </c>
      <c r="G102" s="2896">
        <f>1.8629/G101</f>
        <v>0.35082862523540492</v>
      </c>
      <c r="H102" s="2896">
        <f>1.8629/H101</f>
        <v>0.35082862523540492</v>
      </c>
      <c r="I102" s="2896">
        <f>1.8629/I101</f>
        <v>0.35082862523540492</v>
      </c>
      <c r="J102" s="2896">
        <f>1.942/J101</f>
        <v>0.3657250470809793</v>
      </c>
      <c r="K102" s="2896">
        <f>1.942/K101</f>
        <v>0.3657250470809793</v>
      </c>
      <c r="L102" s="2896">
        <f>1.942/L101</f>
        <v>0.3657250470809793</v>
      </c>
      <c r="M102" s="2896">
        <f>1.942/M101</f>
        <v>0.3657250470809793</v>
      </c>
      <c r="N102" s="2896">
        <f>1.942/N101</f>
        <v>0.3657250470809793</v>
      </c>
    </row>
    <row r="103" spans="1:14">
      <c r="A103" s="3345"/>
      <c r="B103" s="2895">
        <v>2</v>
      </c>
      <c r="C103" s="2896">
        <f>1.4198/C101</f>
        <v>0.26738229755178911</v>
      </c>
      <c r="D103" s="2896">
        <f>1.4198/D101</f>
        <v>0.26738229755178911</v>
      </c>
      <c r="E103" s="2896">
        <f>1.3372/E101</f>
        <v>0.25182674199623351</v>
      </c>
      <c r="F103" s="2896">
        <f>1.3372/F101</f>
        <v>0.25182674199623351</v>
      </c>
      <c r="G103" s="2896">
        <f>1.3372/G101</f>
        <v>0.25182674199623351</v>
      </c>
      <c r="H103" s="2896">
        <f>1.3372/H101</f>
        <v>0.25182674199623351</v>
      </c>
      <c r="I103" s="2896">
        <f>1.3372/I101</f>
        <v>0.25182674199623351</v>
      </c>
      <c r="J103" s="2896">
        <f>1.2799/J101</f>
        <v>0.24103578154425614</v>
      </c>
      <c r="K103" s="2896">
        <f>1.2799/K101</f>
        <v>0.24103578154425614</v>
      </c>
      <c r="L103" s="2896">
        <f>1.2799/L101</f>
        <v>0.24103578154425614</v>
      </c>
      <c r="M103" s="2896">
        <f>1.2799/M101</f>
        <v>0.24103578154425614</v>
      </c>
      <c r="N103" s="2896">
        <f>1.2799/N101</f>
        <v>0.24103578154425614</v>
      </c>
    </row>
    <row r="104" spans="1:14">
      <c r="A104" s="3345"/>
      <c r="B104" s="2895">
        <v>3</v>
      </c>
      <c r="C104" s="2896">
        <f>1.1594/C101</f>
        <v>0.21834274952919022</v>
      </c>
      <c r="D104" s="2896">
        <f>1.1594/D101</f>
        <v>0.21834274952919022</v>
      </c>
      <c r="E104" s="2896">
        <f>1.0788/E101</f>
        <v>0.20316384180790961</v>
      </c>
      <c r="F104" s="2896">
        <f>1.0788/F101</f>
        <v>0.20316384180790961</v>
      </c>
      <c r="G104" s="2896">
        <f>1.0788/G101</f>
        <v>0.20316384180790961</v>
      </c>
      <c r="H104" s="2896">
        <f>1.0788/H101</f>
        <v>0.20316384180790961</v>
      </c>
      <c r="I104" s="2896">
        <f>1.0788/I101</f>
        <v>0.20316384180790961</v>
      </c>
      <c r="J104" s="2896">
        <f>1.0072/J101</f>
        <v>0.18967984934086632</v>
      </c>
      <c r="K104" s="2896">
        <f>1.0072/K101</f>
        <v>0.18967984934086632</v>
      </c>
      <c r="L104" s="2896">
        <f>1.0072/L101</f>
        <v>0.18967984934086632</v>
      </c>
      <c r="M104" s="2896">
        <f>1.0072/M101</f>
        <v>0.18967984934086632</v>
      </c>
      <c r="N104" s="2896">
        <f>1.0072/N101</f>
        <v>0.18967984934086632</v>
      </c>
    </row>
    <row r="105" spans="1:14">
      <c r="A105" s="3345"/>
      <c r="B105" s="2895">
        <v>4</v>
      </c>
      <c r="C105" s="2896">
        <f>0.9622/C101</f>
        <v>0.18120527306967987</v>
      </c>
      <c r="D105" s="2896">
        <f>0.9622/D101</f>
        <v>0.18120527306967987</v>
      </c>
      <c r="E105" s="2896">
        <f>0.8656/E101</f>
        <v>0.16301318267419965</v>
      </c>
      <c r="F105" s="2896">
        <f>0.8656/F101</f>
        <v>0.16301318267419965</v>
      </c>
      <c r="G105" s="2896">
        <f>0.8656/G101</f>
        <v>0.16301318267419965</v>
      </c>
      <c r="H105" s="2896">
        <f>0.8656/H101</f>
        <v>0.16301318267419965</v>
      </c>
      <c r="I105" s="2896">
        <f>0.8656/I101</f>
        <v>0.16301318267419965</v>
      </c>
      <c r="J105" s="2896">
        <f>0.7525/J101</f>
        <v>0.14171374764595104</v>
      </c>
      <c r="K105" s="2896">
        <f>0.7525/K101</f>
        <v>0.14171374764595104</v>
      </c>
      <c r="L105" s="2896">
        <f>0.7525/L101</f>
        <v>0.14171374764595104</v>
      </c>
      <c r="M105" s="2896">
        <f>0.7525/M101</f>
        <v>0.14171374764595104</v>
      </c>
      <c r="N105" s="2896">
        <f>0.7525/N101</f>
        <v>0.14171374764595104</v>
      </c>
    </row>
    <row r="106" spans="1:14">
      <c r="A106" s="3345"/>
      <c r="B106" s="2895">
        <v>5</v>
      </c>
      <c r="C106" s="2896">
        <f>0.8417/C101</f>
        <v>0.15851224105461395</v>
      </c>
      <c r="D106" s="2896">
        <f>0.8417/D101</f>
        <v>0.15851224105461395</v>
      </c>
      <c r="E106" s="2896">
        <f>0.7371/E101</f>
        <v>0.1388135593220339</v>
      </c>
      <c r="F106" s="2896">
        <f>0.7371/F101</f>
        <v>0.1388135593220339</v>
      </c>
      <c r="G106" s="2896">
        <f>0.7371/G101</f>
        <v>0.1388135593220339</v>
      </c>
      <c r="H106" s="2896">
        <f>0.7371/H101</f>
        <v>0.1388135593220339</v>
      </c>
      <c r="I106" s="2896">
        <f>0.7371/I101</f>
        <v>0.1388135593220339</v>
      </c>
      <c r="J106" s="2896">
        <f>0.5659/J101</f>
        <v>0.10657250470809793</v>
      </c>
      <c r="K106" s="2896">
        <f>0.5659/K101</f>
        <v>0.10657250470809793</v>
      </c>
      <c r="L106" s="2896">
        <f>0.5659/L101</f>
        <v>0.10657250470809793</v>
      </c>
      <c r="M106" s="2896">
        <f>0.5659/M101</f>
        <v>0.10657250470809793</v>
      </c>
      <c r="N106" s="2896">
        <f>0.5659/N101</f>
        <v>0.10657250470809793</v>
      </c>
    </row>
    <row r="107" spans="1:14">
      <c r="A107" s="3345"/>
      <c r="B107" s="2895">
        <v>6</v>
      </c>
      <c r="C107" s="2896">
        <f>0.7608/C101</f>
        <v>0.14327683615819212</v>
      </c>
      <c r="D107" s="2896">
        <f>0.7608/D101</f>
        <v>0.14327683615819212</v>
      </c>
      <c r="E107" s="2896">
        <f>0.6482/E101</f>
        <v>0.12207156308851225</v>
      </c>
      <c r="F107" s="2896">
        <f>0.6482/F101</f>
        <v>0.12207156308851225</v>
      </c>
      <c r="G107" s="2896">
        <f>0.6482/G101</f>
        <v>0.12207156308851225</v>
      </c>
      <c r="H107" s="2896">
        <f>0.6482/H101</f>
        <v>0.12207156308851225</v>
      </c>
      <c r="I107" s="2896">
        <f>0.6482/I101</f>
        <v>0.12207156308851225</v>
      </c>
      <c r="J107" s="2896">
        <f>0.4525/J101</f>
        <v>8.5216572504708113E-2</v>
      </c>
      <c r="K107" s="2896">
        <f>0.4525/K101</f>
        <v>8.5216572504708113E-2</v>
      </c>
      <c r="L107" s="2896">
        <f>0.4525/L101</f>
        <v>8.5216572504708113E-2</v>
      </c>
      <c r="M107" s="2896">
        <f>0.4525/M101</f>
        <v>8.5216572504708113E-2</v>
      </c>
      <c r="N107" s="2896">
        <f>0.4525/N101</f>
        <v>8.5216572504708113E-2</v>
      </c>
    </row>
    <row r="108" spans="1:14">
      <c r="A108" s="3345"/>
      <c r="B108" s="3199" t="s">
        <v>2979</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46"/>
      <c r="B109" s="3200"/>
      <c r="C109" s="2898">
        <f>(-0.163*(C108^2)-0.59*C108+7617)*(10^(-4))/C101</f>
        <v>0.14344632768361584</v>
      </c>
      <c r="D109" s="2898">
        <f>(-0.163*(D108^2)-0.59*D108+7617)*(10^(-4))/D101</f>
        <v>0.14344632768361584</v>
      </c>
      <c r="E109" s="2898">
        <f>(-0.161*(E108^2)-7.509*E108+6533)*(10^(-4))/E101</f>
        <v>0.12303201506591338</v>
      </c>
      <c r="F109" s="2898">
        <f>(-0.161*(F108^2)-7.509*F108+6533)*(10^(-4))/F101</f>
        <v>0.12303201506591338</v>
      </c>
      <c r="G109" s="2898">
        <f>(-0.161*(G108^2)-7.509*G108+6533)*(10^(-4))/G101</f>
        <v>0.12303201506591338</v>
      </c>
      <c r="H109" s="2898">
        <f>(-0.161*(H108^2)-7.509*H108+6533)*(10^(-4))/H101</f>
        <v>0.12303201506591338</v>
      </c>
      <c r="I109" s="2898">
        <f>(-0.161*(I108^2)-7.509*I108+6533)*(10^(-4))/I101</f>
        <v>0.12303201506591338</v>
      </c>
      <c r="J109" s="2898">
        <f>(-0.214*(J108^2)-21.991*J108+4665)*(10^(-4))/J101</f>
        <v>8.785310734463278E-2</v>
      </c>
      <c r="K109" s="2898">
        <f>(-0.214*(K108^2)-21.991*K108+4665)*(10^(-4))/K101</f>
        <v>8.785310734463278E-2</v>
      </c>
      <c r="L109" s="2898">
        <f>(-0.214*(L108^2)-21.991*L108+4665)*(10^(-4))/L101</f>
        <v>8.785310734463278E-2</v>
      </c>
      <c r="M109" s="2898">
        <f>(-0.214*(M108^2)-21.991*M108+4665)*(10^(-4))/M101</f>
        <v>8.785310734463278E-2</v>
      </c>
      <c r="N109" s="2898">
        <f>(-0.214*(N108^2)-21.991*N108+4665)*(10^(-4))/N101</f>
        <v>8.785310734463278E-2</v>
      </c>
    </row>
    <row r="110" spans="1:14">
      <c r="A110" s="3342" t="s">
        <v>2980</v>
      </c>
      <c r="B110" s="3342"/>
      <c r="C110" s="3342"/>
      <c r="D110" s="3342"/>
      <c r="E110" s="3342"/>
      <c r="F110" s="3342"/>
      <c r="G110" s="3342"/>
      <c r="H110" s="3342"/>
      <c r="I110" s="3342"/>
      <c r="J110" s="3342"/>
      <c r="K110" s="2901"/>
      <c r="L110" s="2901"/>
      <c r="M110" s="2901"/>
      <c r="N110" s="2901"/>
    </row>
    <row r="112" spans="1:14" ht="13.5" thickBot="1"/>
    <row r="113" spans="1:13" ht="25.5" thickBot="1">
      <c r="A113" s="902" t="s">
        <v>2981</v>
      </c>
      <c r="B113" s="1289">
        <f>G3</f>
        <v>5.31</v>
      </c>
      <c r="C113" s="903" t="s">
        <v>2982</v>
      </c>
      <c r="D113" s="904">
        <f>SUMPRODUCT((A115:A118=F113)*(B114:M114=H113)*B115:M118)</f>
        <v>0</v>
      </c>
      <c r="E113" s="2724" t="s">
        <v>2812</v>
      </c>
      <c r="F113" s="2903">
        <f>E2</f>
        <v>0</v>
      </c>
      <c r="G113" s="2724" t="s">
        <v>2813</v>
      </c>
      <c r="H113" s="2903">
        <f>G2</f>
        <v>0</v>
      </c>
      <c r="I113" s="2724"/>
      <c r="J113" s="2904"/>
      <c r="K113" s="2904"/>
      <c r="L113" s="2904"/>
      <c r="M113" s="2904"/>
    </row>
    <row r="114" spans="1:13">
      <c r="A114" s="907"/>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8" t="s">
        <v>2877</v>
      </c>
      <c r="B115" s="909">
        <f>ROUND(0.9335-0.0094*B113,4)</f>
        <v>0.88360000000000005</v>
      </c>
      <c r="C115" s="909">
        <f>B115</f>
        <v>0.88360000000000005</v>
      </c>
      <c r="D115" s="909">
        <f>ROUND(0.8331-0.0109*B113,4)</f>
        <v>0.7752</v>
      </c>
      <c r="E115" s="909">
        <f>D115</f>
        <v>0.7752</v>
      </c>
      <c r="F115" s="909">
        <f>E115</f>
        <v>0.7752</v>
      </c>
      <c r="G115" s="909">
        <f>F115</f>
        <v>0.7752</v>
      </c>
      <c r="H115" s="909">
        <f>G115</f>
        <v>0.7752</v>
      </c>
      <c r="I115" s="909">
        <f>ROUND(0.689-0.0155*B113,4)</f>
        <v>0.60670000000000002</v>
      </c>
      <c r="J115" s="909">
        <f t="shared" ref="J115:M118" si="33">I115</f>
        <v>0.60670000000000002</v>
      </c>
      <c r="K115" s="909">
        <f t="shared" si="33"/>
        <v>0.60670000000000002</v>
      </c>
      <c r="L115" s="909">
        <f t="shared" si="33"/>
        <v>0.60670000000000002</v>
      </c>
      <c r="M115" s="910">
        <f t="shared" si="33"/>
        <v>0.60670000000000002</v>
      </c>
    </row>
    <row r="116" spans="1:13">
      <c r="A116" s="908" t="s">
        <v>2878</v>
      </c>
      <c r="B116" s="909">
        <f>ROUND(0.949-0.012*B113,4)</f>
        <v>0.88529999999999998</v>
      </c>
      <c r="C116" s="909">
        <f>B116</f>
        <v>0.88529999999999998</v>
      </c>
      <c r="D116" s="909">
        <f>ROUND(0.8567-0.013*B113,4)</f>
        <v>0.78769999999999996</v>
      </c>
      <c r="E116" s="909">
        <f t="shared" ref="E116:H117" si="34">D116</f>
        <v>0.78769999999999996</v>
      </c>
      <c r="F116" s="909">
        <f t="shared" si="34"/>
        <v>0.78769999999999996</v>
      </c>
      <c r="G116" s="909">
        <f t="shared" si="34"/>
        <v>0.78769999999999996</v>
      </c>
      <c r="H116" s="909">
        <f t="shared" si="34"/>
        <v>0.78769999999999996</v>
      </c>
      <c r="I116" s="909">
        <f>ROUND(0.7694-0.014*B113,4)</f>
        <v>0.69510000000000005</v>
      </c>
      <c r="J116" s="909">
        <f t="shared" si="33"/>
        <v>0.69510000000000005</v>
      </c>
      <c r="K116" s="909">
        <f t="shared" si="33"/>
        <v>0.69510000000000005</v>
      </c>
      <c r="L116" s="909">
        <f t="shared" si="33"/>
        <v>0.69510000000000005</v>
      </c>
      <c r="M116" s="910">
        <f t="shared" si="33"/>
        <v>0.69510000000000005</v>
      </c>
    </row>
    <row r="117" spans="1:13">
      <c r="A117" s="908" t="s">
        <v>2879</v>
      </c>
      <c r="B117" s="909">
        <f>ROUND(0.8808-0.006*B113,4)</f>
        <v>0.84889999999999999</v>
      </c>
      <c r="C117" s="909">
        <f>B117</f>
        <v>0.84889999999999999</v>
      </c>
      <c r="D117" s="909">
        <f>ROUND(0.8748-0.008*B113,4)</f>
        <v>0.83230000000000004</v>
      </c>
      <c r="E117" s="909">
        <f t="shared" si="34"/>
        <v>0.83230000000000004</v>
      </c>
      <c r="F117" s="909">
        <f t="shared" si="34"/>
        <v>0.83230000000000004</v>
      </c>
      <c r="G117" s="909">
        <f t="shared" si="34"/>
        <v>0.83230000000000004</v>
      </c>
      <c r="H117" s="909">
        <f t="shared" si="34"/>
        <v>0.83230000000000004</v>
      </c>
      <c r="I117" s="909">
        <f>ROUND(0.7412-0.0095*B113,4)</f>
        <v>0.69079999999999997</v>
      </c>
      <c r="J117" s="909">
        <f t="shared" si="33"/>
        <v>0.69079999999999997</v>
      </c>
      <c r="K117" s="909">
        <f t="shared" si="33"/>
        <v>0.69079999999999997</v>
      </c>
      <c r="L117" s="909">
        <f t="shared" si="33"/>
        <v>0.69079999999999997</v>
      </c>
      <c r="M117" s="910">
        <f t="shared" si="33"/>
        <v>0.69079999999999997</v>
      </c>
    </row>
    <row r="118" spans="1:13" ht="13.5" thickBot="1">
      <c r="A118" s="713" t="s">
        <v>2880</v>
      </c>
      <c r="B118" s="911">
        <f>ROUND(0.7275-0.01*B113,4)</f>
        <v>0.6744</v>
      </c>
      <c r="C118" s="911">
        <f>B118</f>
        <v>0.6744</v>
      </c>
      <c r="D118" s="911">
        <f>ROUND(0.7043-0.012*B113,4)</f>
        <v>0.64059999999999995</v>
      </c>
      <c r="E118" s="911">
        <f>D118</f>
        <v>0.64059999999999995</v>
      </c>
      <c r="F118" s="911">
        <f>E118</f>
        <v>0.64059999999999995</v>
      </c>
      <c r="G118" s="911">
        <f>ROUND(0.6299-0.0122*B113,4)</f>
        <v>0.56510000000000005</v>
      </c>
      <c r="H118" s="911">
        <f>G118</f>
        <v>0.56510000000000005</v>
      </c>
      <c r="I118" s="911">
        <f>ROUND(0.5667-0.0136*B113,4)</f>
        <v>0.4945</v>
      </c>
      <c r="J118" s="911">
        <f t="shared" si="33"/>
        <v>0.4945</v>
      </c>
      <c r="K118" s="911">
        <f t="shared" si="33"/>
        <v>0.4945</v>
      </c>
      <c r="L118" s="911">
        <f t="shared" si="33"/>
        <v>0.4945</v>
      </c>
      <c r="M118" s="912">
        <f t="shared" si="33"/>
        <v>0.4945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50" t="s">
        <v>183</v>
      </c>
      <c r="B18" s="881" t="s">
        <v>560</v>
      </c>
      <c r="C18" s="882" t="s">
        <v>561</v>
      </c>
      <c r="D18" s="883"/>
      <c r="E18" s="881">
        <v>1</v>
      </c>
      <c r="F18" s="884" t="s">
        <v>562</v>
      </c>
      <c r="G18" s="885"/>
      <c r="H18" s="877"/>
      <c r="I18" s="877"/>
    </row>
    <row r="19" spans="1:9" s="886" customFormat="1" ht="19.5" customHeight="1">
      <c r="A19" s="3350"/>
      <c r="B19" s="3350" t="s">
        <v>563</v>
      </c>
      <c r="C19" s="882" t="s">
        <v>564</v>
      </c>
      <c r="D19" s="883"/>
      <c r="E19" s="881">
        <v>0.9</v>
      </c>
      <c r="F19" s="884" t="s">
        <v>565</v>
      </c>
      <c r="G19" s="885"/>
      <c r="H19" s="877"/>
      <c r="I19" s="877"/>
    </row>
    <row r="20" spans="1:9" s="886" customFormat="1" ht="19.5" customHeight="1">
      <c r="A20" s="3350"/>
      <c r="B20" s="3350"/>
      <c r="C20" s="882" t="s">
        <v>566</v>
      </c>
      <c r="D20" s="883"/>
      <c r="E20" s="881">
        <v>1.1000000000000001</v>
      </c>
      <c r="F20" s="884" t="s">
        <v>567</v>
      </c>
      <c r="G20" s="885"/>
      <c r="H20" s="877"/>
      <c r="I20" s="877"/>
    </row>
    <row r="21" spans="1:9" s="886" customFormat="1" ht="19.5" customHeight="1">
      <c r="A21" s="3350"/>
      <c r="B21" s="3350"/>
      <c r="C21" s="882" t="s">
        <v>568</v>
      </c>
      <c r="D21" s="883"/>
      <c r="E21" s="881">
        <v>0.8</v>
      </c>
      <c r="F21" s="884" t="s">
        <v>569</v>
      </c>
      <c r="G21" s="885"/>
      <c r="H21" s="877"/>
      <c r="I21" s="877"/>
    </row>
    <row r="22" spans="1:9" s="886" customFormat="1" ht="19.5" customHeight="1">
      <c r="A22" s="3350"/>
      <c r="B22" s="3350"/>
      <c r="C22" s="882" t="s">
        <v>570</v>
      </c>
      <c r="D22" s="883"/>
      <c r="E22" s="881">
        <v>0.5</v>
      </c>
      <c r="F22" s="884"/>
      <c r="G22" s="885"/>
      <c r="H22" s="877"/>
      <c r="I22" s="877"/>
    </row>
    <row r="23" spans="1:9" s="886" customFormat="1" ht="19.5" customHeight="1">
      <c r="A23" s="3350" t="s">
        <v>184</v>
      </c>
      <c r="B23" s="881" t="s">
        <v>560</v>
      </c>
      <c r="C23" s="882" t="s">
        <v>571</v>
      </c>
      <c r="D23" s="883"/>
      <c r="E23" s="881">
        <v>1</v>
      </c>
      <c r="F23" s="884" t="s">
        <v>572</v>
      </c>
      <c r="G23" s="885"/>
      <c r="H23" s="877"/>
      <c r="I23" s="877"/>
    </row>
    <row r="24" spans="1:9" s="886" customFormat="1" ht="19.5" customHeight="1">
      <c r="A24" s="3350"/>
      <c r="B24" s="3350" t="s">
        <v>563</v>
      </c>
      <c r="C24" s="882" t="s">
        <v>573</v>
      </c>
      <c r="D24" s="883"/>
      <c r="E24" s="881">
        <v>0.5</v>
      </c>
      <c r="F24" s="884"/>
      <c r="G24" s="885"/>
      <c r="H24" s="877"/>
      <c r="I24" s="877"/>
    </row>
    <row r="25" spans="1:9" s="886" customFormat="1" ht="19.5" customHeight="1">
      <c r="A25" s="3350"/>
      <c r="B25" s="3350"/>
      <c r="C25" s="882" t="s">
        <v>574</v>
      </c>
      <c r="D25" s="883"/>
      <c r="E25" s="881">
        <v>1.1000000000000001</v>
      </c>
      <c r="F25" s="884"/>
      <c r="G25" s="885"/>
      <c r="H25" s="877"/>
      <c r="I25" s="877"/>
    </row>
    <row r="26" spans="1:9" s="886" customFormat="1" ht="19.5" customHeight="1">
      <c r="A26" s="3350"/>
      <c r="B26" s="3350"/>
      <c r="C26" s="882" t="s">
        <v>575</v>
      </c>
      <c r="D26" s="883"/>
      <c r="E26" s="881">
        <v>1.1000000000000001</v>
      </c>
      <c r="F26" s="884"/>
      <c r="G26" s="885"/>
      <c r="H26" s="877"/>
      <c r="I26" s="877"/>
    </row>
    <row r="27" spans="1:9" s="886" customFormat="1" ht="19.5" customHeight="1">
      <c r="A27" s="3350"/>
      <c r="B27" s="3350"/>
      <c r="C27" s="882" t="s">
        <v>576</v>
      </c>
      <c r="D27" s="883"/>
      <c r="E27" s="881">
        <v>0.9</v>
      </c>
      <c r="F27" s="884" t="s">
        <v>577</v>
      </c>
      <c r="G27" s="885"/>
      <c r="H27" s="877"/>
      <c r="I27" s="877"/>
    </row>
    <row r="28" spans="1:9" s="886" customFormat="1" ht="19.5" customHeight="1">
      <c r="A28" s="3350"/>
      <c r="B28" s="3350"/>
      <c r="C28" s="882" t="s">
        <v>578</v>
      </c>
      <c r="D28" s="883"/>
      <c r="E28" s="881">
        <v>0.9</v>
      </c>
      <c r="F28" s="884" t="s">
        <v>579</v>
      </c>
      <c r="G28" s="885"/>
      <c r="H28" s="877"/>
      <c r="I28" s="877"/>
    </row>
    <row r="29" spans="1:9" s="886" customFormat="1" ht="19.5" customHeight="1">
      <c r="A29" s="3350"/>
      <c r="B29" s="3350"/>
      <c r="C29" s="882" t="s">
        <v>580</v>
      </c>
      <c r="D29" s="883"/>
      <c r="E29" s="881">
        <v>0.9</v>
      </c>
      <c r="F29" s="884" t="s">
        <v>581</v>
      </c>
      <c r="G29" s="885"/>
      <c r="H29" s="877"/>
      <c r="I29" s="877"/>
    </row>
    <row r="30" spans="1:9" s="886" customFormat="1" ht="19.5" customHeight="1">
      <c r="A30" s="3350"/>
      <c r="B30" s="3350"/>
      <c r="C30" s="882" t="s">
        <v>582</v>
      </c>
      <c r="D30" s="883"/>
      <c r="E30" s="881">
        <v>0.9</v>
      </c>
      <c r="F30" s="884" t="s">
        <v>583</v>
      </c>
      <c r="G30" s="885"/>
      <c r="H30" s="877"/>
      <c r="I30" s="877"/>
    </row>
    <row r="31" spans="1:9" s="886" customFormat="1" ht="19.5" customHeight="1">
      <c r="A31" s="3350"/>
      <c r="B31" s="3350"/>
      <c r="C31" s="882" t="s">
        <v>584</v>
      </c>
      <c r="D31" s="883"/>
      <c r="E31" s="881">
        <v>0.8</v>
      </c>
      <c r="F31" s="884" t="s">
        <v>585</v>
      </c>
      <c r="G31" s="885"/>
      <c r="H31" s="877"/>
      <c r="I31" s="877"/>
    </row>
    <row r="32" spans="1:9" s="886" customFormat="1" ht="19.5" customHeight="1">
      <c r="A32" s="3350"/>
      <c r="B32" s="3350"/>
      <c r="C32" s="882" t="s">
        <v>586</v>
      </c>
      <c r="D32" s="883"/>
      <c r="E32" s="881">
        <v>0.8</v>
      </c>
      <c r="F32" s="884" t="s">
        <v>587</v>
      </c>
      <c r="G32" s="885"/>
      <c r="H32" s="877"/>
      <c r="I32" s="877"/>
    </row>
    <row r="33" spans="1:9" s="886" customFormat="1" ht="19.5" customHeight="1">
      <c r="A33" s="3350" t="s">
        <v>185</v>
      </c>
      <c r="B33" s="881" t="s">
        <v>560</v>
      </c>
      <c r="C33" s="882" t="s">
        <v>588</v>
      </c>
      <c r="D33" s="883"/>
      <c r="E33" s="881">
        <v>1</v>
      </c>
      <c r="F33" s="884" t="s">
        <v>589</v>
      </c>
      <c r="G33" s="885"/>
      <c r="H33" s="877"/>
      <c r="I33" s="877"/>
    </row>
    <row r="34" spans="1:9" s="886" customFormat="1" ht="19.5" customHeight="1">
      <c r="A34" s="3350"/>
      <c r="B34" s="881" t="s">
        <v>563</v>
      </c>
      <c r="C34" s="882" t="s">
        <v>590</v>
      </c>
      <c r="D34" s="883"/>
      <c r="E34" s="881">
        <v>1.5</v>
      </c>
      <c r="F34" s="884" t="s">
        <v>591</v>
      </c>
      <c r="G34" s="885"/>
      <c r="H34" s="877"/>
      <c r="I34" s="877"/>
    </row>
    <row r="35" spans="1:9" s="886" customFormat="1" ht="19.5" customHeight="1">
      <c r="A35" s="3350" t="s">
        <v>186</v>
      </c>
      <c r="B35" s="881" t="s">
        <v>560</v>
      </c>
      <c r="C35" s="882" t="s">
        <v>592</v>
      </c>
      <c r="D35" s="883"/>
      <c r="E35" s="881">
        <v>1</v>
      </c>
      <c r="F35" s="884" t="s">
        <v>593</v>
      </c>
      <c r="G35" s="885"/>
      <c r="H35" s="877"/>
      <c r="I35" s="877"/>
    </row>
    <row r="36" spans="1:9" s="886" customFormat="1" ht="19.5" customHeight="1">
      <c r="A36" s="3350"/>
      <c r="B36" s="3350" t="s">
        <v>563</v>
      </c>
      <c r="C36" s="882" t="s">
        <v>594</v>
      </c>
      <c r="D36" s="883"/>
      <c r="E36" s="881">
        <v>1</v>
      </c>
      <c r="F36" s="884" t="s">
        <v>595</v>
      </c>
      <c r="G36" s="885"/>
      <c r="H36" s="877"/>
      <c r="I36" s="877"/>
    </row>
    <row r="37" spans="1:9" s="886" customFormat="1" ht="19.5" customHeight="1">
      <c r="A37" s="3350"/>
      <c r="B37" s="3350"/>
      <c r="C37" s="882" t="s">
        <v>596</v>
      </c>
      <c r="D37" s="883"/>
      <c r="E37" s="881">
        <v>1.5</v>
      </c>
      <c r="F37" s="884" t="s">
        <v>597</v>
      </c>
      <c r="G37" s="885"/>
      <c r="H37" s="877"/>
      <c r="I37" s="877"/>
    </row>
    <row r="38" spans="1:9" s="886" customFormat="1" ht="19.5" customHeight="1">
      <c r="A38" s="3350"/>
      <c r="B38" s="3350"/>
      <c r="C38" s="882" t="s">
        <v>598</v>
      </c>
      <c r="D38" s="883"/>
      <c r="E38" s="881">
        <v>1</v>
      </c>
      <c r="F38" s="884" t="s">
        <v>599</v>
      </c>
      <c r="G38" s="885"/>
      <c r="H38" s="877"/>
      <c r="I38" s="877"/>
    </row>
    <row r="39" spans="1:9" s="886" customFormat="1" ht="19.5" customHeight="1">
      <c r="A39" s="3350"/>
      <c r="B39" s="335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50" t="s">
        <v>614</v>
      </c>
      <c r="C61" s="817" t="s">
        <v>615</v>
      </c>
      <c r="D61" s="817" t="s">
        <v>616</v>
      </c>
      <c r="E61" s="894">
        <v>0.5</v>
      </c>
      <c r="F61" s="881">
        <v>80</v>
      </c>
    </row>
    <row r="62" spans="1:8" s="877" customFormat="1" ht="24">
      <c r="A62" s="881">
        <v>2</v>
      </c>
      <c r="B62" s="3350"/>
      <c r="C62" s="817" t="s">
        <v>617</v>
      </c>
      <c r="D62" s="817" t="s">
        <v>618</v>
      </c>
      <c r="E62" s="894">
        <v>0.5</v>
      </c>
      <c r="F62" s="881">
        <v>80</v>
      </c>
    </row>
    <row r="63" spans="1:8" s="877" customFormat="1" ht="36">
      <c r="A63" s="881">
        <v>3</v>
      </c>
      <c r="B63" s="3350"/>
      <c r="C63" s="817" t="s">
        <v>619</v>
      </c>
      <c r="D63" s="817" t="s">
        <v>620</v>
      </c>
      <c r="E63" s="894">
        <v>0.5</v>
      </c>
      <c r="F63" s="881">
        <v>80</v>
      </c>
    </row>
    <row r="64" spans="1:8" s="877" customFormat="1" ht="36">
      <c r="A64" s="881">
        <v>4</v>
      </c>
      <c r="B64" s="3350"/>
      <c r="C64" s="817" t="s">
        <v>621</v>
      </c>
      <c r="D64" s="817" t="s">
        <v>622</v>
      </c>
      <c r="E64" s="894">
        <v>0.4</v>
      </c>
      <c r="F64" s="881">
        <v>60</v>
      </c>
    </row>
    <row r="65" spans="1:6" s="877" customFormat="1" ht="36">
      <c r="A65" s="881">
        <v>5</v>
      </c>
      <c r="B65" s="3350"/>
      <c r="C65" s="817" t="s">
        <v>623</v>
      </c>
      <c r="D65" s="817" t="s">
        <v>624</v>
      </c>
      <c r="E65" s="894">
        <v>0.2</v>
      </c>
      <c r="F65" s="881">
        <v>30</v>
      </c>
    </row>
    <row r="66" spans="1:6" s="877" customFormat="1" ht="36">
      <c r="A66" s="881">
        <v>6</v>
      </c>
      <c r="B66" s="3350"/>
      <c r="C66" s="817" t="s">
        <v>625</v>
      </c>
      <c r="D66" s="817" t="s">
        <v>626</v>
      </c>
      <c r="E66" s="894">
        <v>0.3</v>
      </c>
      <c r="F66" s="881">
        <v>50</v>
      </c>
    </row>
    <row r="67" spans="1:6" s="877" customFormat="1" ht="36">
      <c r="A67" s="881">
        <v>7</v>
      </c>
      <c r="B67" s="3350"/>
      <c r="C67" s="817" t="s">
        <v>627</v>
      </c>
      <c r="D67" s="817" t="s">
        <v>628</v>
      </c>
      <c r="E67" s="894">
        <v>0.2</v>
      </c>
      <c r="F67" s="881">
        <v>30</v>
      </c>
    </row>
    <row r="68" spans="1:6" s="877" customFormat="1" ht="36">
      <c r="A68" s="881">
        <v>8</v>
      </c>
      <c r="B68" s="3350"/>
      <c r="C68" s="817" t="s">
        <v>629</v>
      </c>
      <c r="D68" s="817" t="s">
        <v>630</v>
      </c>
      <c r="E68" s="894">
        <v>0.2</v>
      </c>
      <c r="F68" s="881">
        <v>30</v>
      </c>
    </row>
    <row r="69" spans="1:6" s="877" customFormat="1" ht="36">
      <c r="A69" s="881">
        <v>9</v>
      </c>
      <c r="B69" s="3350"/>
      <c r="C69" s="817" t="s">
        <v>631</v>
      </c>
      <c r="D69" s="817" t="s">
        <v>632</v>
      </c>
      <c r="E69" s="894">
        <v>0.2</v>
      </c>
      <c r="F69" s="881">
        <v>30</v>
      </c>
    </row>
    <row r="70" spans="1:6" s="877" customFormat="1" ht="48">
      <c r="A70" s="881">
        <v>10</v>
      </c>
      <c r="B70" s="3350"/>
      <c r="C70" s="817" t="s">
        <v>633</v>
      </c>
      <c r="D70" s="817" t="s">
        <v>634</v>
      </c>
      <c r="E70" s="894">
        <v>0.2</v>
      </c>
      <c r="F70" s="881">
        <v>30</v>
      </c>
    </row>
    <row r="71" spans="1:6" s="877" customFormat="1" ht="48">
      <c r="A71" s="881">
        <v>11</v>
      </c>
      <c r="B71" s="3350"/>
      <c r="C71" s="817" t="s">
        <v>635</v>
      </c>
      <c r="D71" s="817" t="s">
        <v>636</v>
      </c>
      <c r="E71" s="894">
        <v>0.2</v>
      </c>
      <c r="F71" s="881">
        <v>30</v>
      </c>
    </row>
    <row r="72" spans="1:6" s="877" customFormat="1" ht="36">
      <c r="A72" s="881">
        <v>12</v>
      </c>
      <c r="B72" s="3350"/>
      <c r="C72" s="817" t="s">
        <v>637</v>
      </c>
      <c r="D72" s="817" t="s">
        <v>638</v>
      </c>
      <c r="E72" s="894">
        <v>0.5</v>
      </c>
      <c r="F72" s="881">
        <v>80</v>
      </c>
    </row>
    <row r="73" spans="1:6" s="877" customFormat="1" ht="24">
      <c r="A73" s="881">
        <v>13</v>
      </c>
      <c r="B73" s="3350"/>
      <c r="C73" s="817" t="s">
        <v>639</v>
      </c>
      <c r="D73" s="817" t="s">
        <v>640</v>
      </c>
      <c r="E73" s="894">
        <v>0.4</v>
      </c>
      <c r="F73" s="881">
        <v>60</v>
      </c>
    </row>
    <row r="74" spans="1:6" s="877" customFormat="1" ht="24">
      <c r="A74" s="881">
        <v>14</v>
      </c>
      <c r="B74" s="3350"/>
      <c r="C74" s="817" t="s">
        <v>641</v>
      </c>
      <c r="D74" s="817" t="s">
        <v>642</v>
      </c>
      <c r="E74" s="894">
        <v>0.2</v>
      </c>
      <c r="F74" s="881">
        <v>30</v>
      </c>
    </row>
    <row r="75" spans="1:6" s="877" customFormat="1" ht="24">
      <c r="A75" s="881">
        <v>15</v>
      </c>
      <c r="B75" s="3350"/>
      <c r="C75" s="817" t="s">
        <v>643</v>
      </c>
      <c r="D75" s="817" t="s">
        <v>644</v>
      </c>
      <c r="E75" s="894">
        <v>0.2</v>
      </c>
      <c r="F75" s="881">
        <v>30</v>
      </c>
    </row>
    <row r="76" spans="1:6" s="877" customFormat="1" ht="24">
      <c r="A76" s="881">
        <v>16</v>
      </c>
      <c r="B76" s="3350" t="s">
        <v>645</v>
      </c>
      <c r="C76" s="817" t="s">
        <v>646</v>
      </c>
      <c r="D76" s="817" t="s">
        <v>647</v>
      </c>
      <c r="E76" s="894">
        <v>0.5</v>
      </c>
      <c r="F76" s="881">
        <v>80</v>
      </c>
    </row>
    <row r="77" spans="1:6" s="877" customFormat="1" ht="24">
      <c r="A77" s="881">
        <v>17</v>
      </c>
      <c r="B77" s="3350"/>
      <c r="C77" s="817" t="s">
        <v>648</v>
      </c>
      <c r="D77" s="817" t="s">
        <v>649</v>
      </c>
      <c r="E77" s="894">
        <v>0.5</v>
      </c>
      <c r="F77" s="881">
        <v>80</v>
      </c>
    </row>
    <row r="78" spans="1:6" s="877" customFormat="1" ht="24">
      <c r="A78" s="881">
        <v>18</v>
      </c>
      <c r="B78" s="3350"/>
      <c r="C78" s="817" t="s">
        <v>650</v>
      </c>
      <c r="D78" s="817" t="s">
        <v>651</v>
      </c>
      <c r="E78" s="894">
        <v>0.2</v>
      </c>
      <c r="F78" s="881">
        <v>30</v>
      </c>
    </row>
    <row r="79" spans="1:6" s="877" customFormat="1" ht="24">
      <c r="A79" s="881">
        <v>19</v>
      </c>
      <c r="B79" s="3350"/>
      <c r="C79" s="817" t="s">
        <v>652</v>
      </c>
      <c r="D79" s="817" t="s">
        <v>653</v>
      </c>
      <c r="E79" s="894">
        <v>0.5</v>
      </c>
      <c r="F79" s="881">
        <v>80</v>
      </c>
    </row>
    <row r="80" spans="1:6" s="877" customFormat="1" ht="36">
      <c r="A80" s="881">
        <v>20</v>
      </c>
      <c r="B80" s="3350"/>
      <c r="C80" s="817" t="s">
        <v>654</v>
      </c>
      <c r="D80" s="817" t="s">
        <v>655</v>
      </c>
      <c r="E80" s="894">
        <v>0.2</v>
      </c>
      <c r="F80" s="881">
        <v>30</v>
      </c>
    </row>
    <row r="81" spans="1:6" s="877" customFormat="1" ht="36">
      <c r="A81" s="881">
        <v>21</v>
      </c>
      <c r="B81" s="3350"/>
      <c r="C81" s="817" t="s">
        <v>656</v>
      </c>
      <c r="D81" s="817" t="s">
        <v>657</v>
      </c>
      <c r="E81" s="894">
        <v>0.2</v>
      </c>
      <c r="F81" s="881">
        <v>30</v>
      </c>
    </row>
    <row r="82" spans="1:6" s="877" customFormat="1" ht="48">
      <c r="A82" s="881">
        <v>22</v>
      </c>
      <c r="B82" s="3350"/>
      <c r="C82" s="817" t="s">
        <v>658</v>
      </c>
      <c r="D82" s="817" t="s">
        <v>659</v>
      </c>
      <c r="E82" s="894">
        <v>0.2</v>
      </c>
      <c r="F82" s="881">
        <v>30</v>
      </c>
    </row>
    <row r="83" spans="1:6" s="877" customFormat="1" ht="48">
      <c r="A83" s="881">
        <v>23</v>
      </c>
      <c r="B83" s="3350"/>
      <c r="C83" s="817" t="s">
        <v>660</v>
      </c>
      <c r="D83" s="817" t="s">
        <v>661</v>
      </c>
      <c r="E83" s="894">
        <v>0.2</v>
      </c>
      <c r="F83" s="881">
        <v>30</v>
      </c>
    </row>
    <row r="84" spans="1:6" s="877" customFormat="1" ht="36">
      <c r="A84" s="881">
        <v>24</v>
      </c>
      <c r="B84" s="3350"/>
      <c r="C84" s="817" t="s">
        <v>662</v>
      </c>
      <c r="D84" s="817" t="s">
        <v>663</v>
      </c>
      <c r="E84" s="894">
        <v>0.2</v>
      </c>
      <c r="F84" s="881">
        <v>30</v>
      </c>
    </row>
    <row r="85" spans="1:6" s="877" customFormat="1" ht="36">
      <c r="A85" s="881">
        <v>25</v>
      </c>
      <c r="B85" s="3350"/>
      <c r="C85" s="817" t="s">
        <v>664</v>
      </c>
      <c r="D85" s="817" t="s">
        <v>665</v>
      </c>
      <c r="E85" s="894">
        <v>0.5</v>
      </c>
      <c r="F85" s="881">
        <v>80</v>
      </c>
    </row>
    <row r="86" spans="1:6" s="877" customFormat="1" ht="36">
      <c r="A86" s="881">
        <v>26</v>
      </c>
      <c r="B86" s="3350"/>
      <c r="C86" s="817" t="s">
        <v>666</v>
      </c>
      <c r="D86" s="817" t="s">
        <v>667</v>
      </c>
      <c r="E86" s="894">
        <v>0.2</v>
      </c>
      <c r="F86" s="881">
        <v>30</v>
      </c>
    </row>
    <row r="87" spans="1:6" s="877" customFormat="1" ht="36">
      <c r="A87" s="881">
        <v>27</v>
      </c>
      <c r="B87" s="3350"/>
      <c r="C87" s="817" t="s">
        <v>668</v>
      </c>
      <c r="D87" s="817" t="s">
        <v>669</v>
      </c>
      <c r="E87" s="894">
        <v>0.2</v>
      </c>
      <c r="F87" s="881">
        <v>30</v>
      </c>
    </row>
    <row r="88" spans="1:6" s="877" customFormat="1" ht="36">
      <c r="A88" s="881">
        <v>28</v>
      </c>
      <c r="B88" s="3350"/>
      <c r="C88" s="817" t="s">
        <v>670</v>
      </c>
      <c r="D88" s="817" t="s">
        <v>671</v>
      </c>
      <c r="E88" s="894">
        <v>0.2</v>
      </c>
      <c r="F88" s="881">
        <v>30</v>
      </c>
    </row>
    <row r="89" spans="1:6" s="877" customFormat="1" ht="24">
      <c r="A89" s="881">
        <v>29</v>
      </c>
      <c r="B89" s="3350"/>
      <c r="C89" s="817" t="s">
        <v>672</v>
      </c>
      <c r="D89" s="817" t="s">
        <v>673</v>
      </c>
      <c r="E89" s="894">
        <v>0.2</v>
      </c>
      <c r="F89" s="881">
        <v>30</v>
      </c>
    </row>
    <row r="90" spans="1:6" s="877" customFormat="1" ht="24">
      <c r="A90" s="881">
        <v>30</v>
      </c>
      <c r="B90" s="3350"/>
      <c r="C90" s="817" t="s">
        <v>674</v>
      </c>
      <c r="D90" s="817" t="s">
        <v>675</v>
      </c>
      <c r="E90" s="894">
        <v>0.2</v>
      </c>
      <c r="F90" s="881">
        <v>30</v>
      </c>
    </row>
    <row r="91" spans="1:6" s="877" customFormat="1" ht="36">
      <c r="A91" s="881">
        <v>31</v>
      </c>
      <c r="B91" s="3350"/>
      <c r="C91" s="817" t="s">
        <v>676</v>
      </c>
      <c r="D91" s="817" t="s">
        <v>677</v>
      </c>
      <c r="E91" s="894">
        <v>0.2</v>
      </c>
      <c r="F91" s="881">
        <v>30</v>
      </c>
    </row>
    <row r="92" spans="1:6" s="877" customFormat="1" ht="24">
      <c r="A92" s="881">
        <v>32</v>
      </c>
      <c r="B92" s="3350" t="s">
        <v>678</v>
      </c>
      <c r="C92" s="881" t="s">
        <v>679</v>
      </c>
      <c r="D92" s="817" t="s">
        <v>680</v>
      </c>
      <c r="E92" s="894">
        <v>0.2</v>
      </c>
      <c r="F92" s="881">
        <v>30</v>
      </c>
    </row>
    <row r="93" spans="1:6" s="877" customFormat="1" ht="36">
      <c r="A93" s="881">
        <v>33</v>
      </c>
      <c r="B93" s="3350"/>
      <c r="C93" s="881" t="s">
        <v>681</v>
      </c>
      <c r="D93" s="817" t="s">
        <v>682</v>
      </c>
      <c r="E93" s="894">
        <v>0.2</v>
      </c>
      <c r="F93" s="881">
        <v>30</v>
      </c>
    </row>
    <row r="94" spans="1:6" s="877" customFormat="1" ht="48">
      <c r="A94" s="881">
        <v>34</v>
      </c>
      <c r="B94" s="3350"/>
      <c r="C94" s="881" t="s">
        <v>683</v>
      </c>
      <c r="D94" s="817" t="s">
        <v>684</v>
      </c>
      <c r="E94" s="894">
        <v>0.2</v>
      </c>
      <c r="F94" s="881">
        <v>30</v>
      </c>
    </row>
    <row r="95" spans="1:6" s="877" customFormat="1" ht="36">
      <c r="A95" s="881">
        <v>35</v>
      </c>
      <c r="B95" s="3350"/>
      <c r="C95" s="881" t="s">
        <v>685</v>
      </c>
      <c r="D95" s="817" t="s">
        <v>686</v>
      </c>
      <c r="E95" s="894">
        <v>0.2</v>
      </c>
      <c r="F95" s="881">
        <v>30</v>
      </c>
    </row>
    <row r="96" spans="1:6" s="877" customFormat="1" ht="48">
      <c r="A96" s="881">
        <v>36</v>
      </c>
      <c r="B96" s="3350"/>
      <c r="C96" s="817" t="s">
        <v>687</v>
      </c>
      <c r="D96" s="817" t="s">
        <v>688</v>
      </c>
      <c r="E96" s="894">
        <v>0.2</v>
      </c>
      <c r="F96" s="881">
        <v>30</v>
      </c>
    </row>
    <row r="97" spans="1:6" s="877" customFormat="1" ht="36">
      <c r="A97" s="881">
        <v>37</v>
      </c>
      <c r="B97" s="3350"/>
      <c r="C97" s="881" t="s">
        <v>689</v>
      </c>
      <c r="D97" s="817" t="s">
        <v>690</v>
      </c>
      <c r="E97" s="894">
        <v>0.2</v>
      </c>
      <c r="F97" s="881">
        <v>30</v>
      </c>
    </row>
    <row r="98" spans="1:6" s="877" customFormat="1" ht="36">
      <c r="A98" s="881">
        <v>38</v>
      </c>
      <c r="B98" s="3350"/>
      <c r="C98" s="881" t="s">
        <v>691</v>
      </c>
      <c r="D98" s="817" t="s">
        <v>692</v>
      </c>
      <c r="E98" s="894">
        <v>0.2</v>
      </c>
      <c r="F98" s="881">
        <v>30</v>
      </c>
    </row>
    <row r="99" spans="1:6" s="877" customFormat="1" ht="36">
      <c r="A99" s="881">
        <v>39</v>
      </c>
      <c r="B99" s="3350" t="s">
        <v>693</v>
      </c>
      <c r="C99" s="881" t="s">
        <v>694</v>
      </c>
      <c r="D99" s="817" t="s">
        <v>695</v>
      </c>
      <c r="E99" s="894">
        <v>0.3</v>
      </c>
      <c r="F99" s="881">
        <v>50</v>
      </c>
    </row>
    <row r="100" spans="1:6" s="877" customFormat="1" ht="24">
      <c r="A100" s="881">
        <v>40</v>
      </c>
      <c r="B100" s="3350"/>
      <c r="C100" s="881" t="s">
        <v>696</v>
      </c>
      <c r="D100" s="817" t="s">
        <v>697</v>
      </c>
      <c r="E100" s="894">
        <v>0.2</v>
      </c>
      <c r="F100" s="881">
        <v>30</v>
      </c>
    </row>
    <row r="101" spans="1:6" s="877" customFormat="1" ht="36">
      <c r="A101" s="881">
        <v>41</v>
      </c>
      <c r="B101" s="335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0" t="s">
        <v>708</v>
      </c>
      <c r="C105" s="881" t="s">
        <v>709</v>
      </c>
      <c r="D105" s="817" t="s">
        <v>710</v>
      </c>
      <c r="E105" s="894">
        <v>0.2</v>
      </c>
      <c r="F105" s="881">
        <v>30</v>
      </c>
    </row>
    <row r="106" spans="1:6" s="877" customFormat="1" ht="36">
      <c r="A106" s="881">
        <v>46</v>
      </c>
      <c r="B106" s="3350"/>
      <c r="C106" s="881" t="s">
        <v>711</v>
      </c>
      <c r="D106" s="817" t="s">
        <v>712</v>
      </c>
      <c r="E106" s="894">
        <v>0.2</v>
      </c>
      <c r="F106" s="881">
        <v>30</v>
      </c>
    </row>
    <row r="107" spans="1:6" s="877" customFormat="1" ht="36">
      <c r="A107" s="881">
        <v>47</v>
      </c>
      <c r="B107" s="3350" t="s">
        <v>713</v>
      </c>
      <c r="C107" s="881" t="s">
        <v>714</v>
      </c>
      <c r="D107" s="817" t="s">
        <v>715</v>
      </c>
      <c r="E107" s="894">
        <v>0.3</v>
      </c>
      <c r="F107" s="881">
        <v>50</v>
      </c>
    </row>
    <row r="108" spans="1:6" s="877" customFormat="1" ht="36">
      <c r="A108" s="881">
        <v>48</v>
      </c>
      <c r="B108" s="335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0" t="s">
        <v>724</v>
      </c>
      <c r="C111" s="881" t="s">
        <v>725</v>
      </c>
      <c r="D111" s="817" t="s">
        <v>726</v>
      </c>
      <c r="E111" s="894">
        <v>0.2</v>
      </c>
      <c r="F111" s="881">
        <v>30</v>
      </c>
    </row>
    <row r="112" spans="1:6" s="877" customFormat="1" ht="24">
      <c r="A112" s="881">
        <v>52</v>
      </c>
      <c r="B112" s="3350"/>
      <c r="C112" s="881" t="s">
        <v>727</v>
      </c>
      <c r="D112" s="817" t="s">
        <v>728</v>
      </c>
      <c r="E112" s="894">
        <v>0.2</v>
      </c>
      <c r="F112" s="881">
        <v>30</v>
      </c>
    </row>
    <row r="113" spans="1:6" s="877" customFormat="1" ht="24">
      <c r="A113" s="881">
        <v>53</v>
      </c>
      <c r="B113" s="335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0" t="s">
        <v>737</v>
      </c>
      <c r="C116" s="881" t="s">
        <v>738</v>
      </c>
      <c r="D116" s="817" t="s">
        <v>739</v>
      </c>
      <c r="E116" s="894">
        <v>0.2</v>
      </c>
      <c r="F116" s="881">
        <v>30</v>
      </c>
    </row>
    <row r="117" spans="1:6" ht="36">
      <c r="A117" s="881">
        <v>57</v>
      </c>
      <c r="B117" s="335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3003</v>
      </c>
    </row>
    <row r="2" spans="1:5" ht="15.75">
      <c r="A2" s="2910" t="s">
        <v>2995</v>
      </c>
      <c r="B2" s="2911" t="e">
        <f ca="1">SUMIF(B6:B13,"&lt;&gt;#ref!",B6:B13)</f>
        <v>#DIV/0!</v>
      </c>
      <c r="C2" s="2910" t="s">
        <v>2996</v>
      </c>
      <c r="D2" s="2910" t="s">
        <v>2997</v>
      </c>
      <c r="E2" s="2911" t="e">
        <f ca="1">SUM(E6:E13)</f>
        <v>#REF!</v>
      </c>
    </row>
    <row r="3" spans="1:5" ht="15.75">
      <c r="A3" s="2910" t="s">
        <v>2998</v>
      </c>
      <c r="B3" s="2911" t="e">
        <f ca="1">ROUND(B2*10000/E2,0)</f>
        <v>#DIV/0!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t="e">
        <f ca="1">SUMIF(INDIRECT("'"&amp;A6&amp;"'"&amp;"!A:A"),"总价",INDIRECT("'"&amp;A6&amp;"'"&amp;"!B:B"))</f>
        <v>#DIV/0!</v>
      </c>
      <c r="C6" s="2910" t="s">
        <v>2996</v>
      </c>
      <c r="D6" s="2912"/>
      <c r="E6" s="2575">
        <f ca="1">SUMIF(INDIRECT("'"&amp;A6&amp;"'"&amp;"!C:C"),"建筑面积",INDIRECT("'"&amp;A6&amp;"'"&amp;"!D:D"))</f>
        <v>0</v>
      </c>
    </row>
    <row r="7" spans="1:5" ht="15.75">
      <c r="A7" s="2915"/>
      <c r="B7" s="2911" t="e">
        <f ca="1">SUMIF(INDIRECT("'"&amp;A7&amp;"'"&amp;"!A:A"),"总价",INDIRECT("'"&amp;A7&amp;"'"&amp;"!B:B"))</f>
        <v>#REF!</v>
      </c>
      <c r="C7" s="2910" t="s">
        <v>2996</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5" t="e">
        <f t="shared" ca="1" si="0"/>
        <v>#REF!</v>
      </c>
    </row>
    <row r="9" spans="1:5" ht="15.75">
      <c r="A9" s="2915"/>
      <c r="B9" s="2911" t="e">
        <f t="shared" ca="1" si="1"/>
        <v>#REF!</v>
      </c>
      <c r="C9" s="2910" t="s">
        <v>2996</v>
      </c>
      <c r="D9" s="2912"/>
      <c r="E9" s="2575" t="e">
        <f t="shared" ca="1" si="0"/>
        <v>#REF!</v>
      </c>
    </row>
    <row r="10" spans="1:5" ht="15.75">
      <c r="A10" s="2915"/>
      <c r="B10" s="2911" t="e">
        <f t="shared" ca="1" si="1"/>
        <v>#REF!</v>
      </c>
      <c r="C10" s="2910" t="s">
        <v>2996</v>
      </c>
      <c r="D10" s="2912"/>
      <c r="E10" s="2575" t="e">
        <f t="shared" ca="1" si="0"/>
        <v>#REF!</v>
      </c>
    </row>
    <row r="11" spans="1:5" ht="15.75">
      <c r="A11" s="2915"/>
      <c r="B11" s="2911" t="e">
        <f t="shared" ca="1" si="1"/>
        <v>#REF!</v>
      </c>
      <c r="C11" s="2910" t="s">
        <v>2996</v>
      </c>
      <c r="D11" s="2912"/>
      <c r="E11" s="2575" t="e">
        <f t="shared" ca="1" si="0"/>
        <v>#REF!</v>
      </c>
    </row>
    <row r="12" spans="1:5" ht="15.75">
      <c r="A12" s="2915"/>
      <c r="B12" s="2911" t="e">
        <f t="shared" ca="1" si="1"/>
        <v>#REF!</v>
      </c>
      <c r="C12" s="2910" t="s">
        <v>2996</v>
      </c>
      <c r="D12" s="2912"/>
      <c r="E12" s="2575" t="e">
        <f t="shared" ca="1" si="0"/>
        <v>#REF!</v>
      </c>
    </row>
    <row r="13" spans="1:5" ht="15.75">
      <c r="A13" s="2915"/>
      <c r="B13" s="2911" t="e">
        <f t="shared" ca="1" si="1"/>
        <v>#REF!</v>
      </c>
      <c r="C13" s="2910" t="s">
        <v>2996</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56" t="s">
        <v>1150</v>
      </c>
      <c r="C1" s="3356"/>
      <c r="D1" s="3356"/>
      <c r="E1" s="3356"/>
      <c r="F1" s="3356"/>
      <c r="G1" s="3355" t="s">
        <v>1151</v>
      </c>
      <c r="H1" s="3355"/>
      <c r="I1" s="3355"/>
      <c r="J1" s="3355"/>
      <c r="K1" s="3355"/>
      <c r="L1" s="3355"/>
      <c r="N1" s="3355" t="s">
        <v>1152</v>
      </c>
      <c r="O1" s="3355"/>
      <c r="P1" s="3355"/>
      <c r="Q1" s="3355"/>
      <c r="R1" s="1448"/>
      <c r="S1" s="3355" t="s">
        <v>1153</v>
      </c>
      <c r="T1" s="3355"/>
      <c r="U1" s="3355"/>
      <c r="V1" s="3355"/>
      <c r="X1" s="3354" t="s">
        <v>1154</v>
      </c>
      <c r="Y1" s="3355"/>
      <c r="Z1" s="3355"/>
      <c r="AA1" s="3355"/>
      <c r="AB1" s="3355"/>
      <c r="AD1" s="3354" t="s">
        <v>1155</v>
      </c>
      <c r="AE1" s="3355"/>
      <c r="AF1" s="3355"/>
      <c r="AG1" s="3355"/>
      <c r="AH1" s="3355"/>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3036</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3042</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9">
        <v>2018</v>
      </c>
      <c r="H5" s="1732">
        <v>2</v>
      </c>
      <c r="I5" s="2924">
        <v>0</v>
      </c>
      <c r="J5" s="2924">
        <v>0</v>
      </c>
      <c r="K5" s="2924">
        <v>0</v>
      </c>
      <c r="L5" s="2924">
        <v>0</v>
      </c>
      <c r="N5" s="1469">
        <f t="shared" ref="N5" si="7">I5/100</f>
        <v>0</v>
      </c>
      <c r="O5" s="1469">
        <f t="shared" ref="O5" si="8">J5/100</f>
        <v>0</v>
      </c>
      <c r="P5" s="1469">
        <f t="shared" ref="P5" si="9">K5/100</f>
        <v>0</v>
      </c>
      <c r="Q5" s="1469">
        <f t="shared" ref="Q5" si="10">L5/100</f>
        <v>0</v>
      </c>
      <c r="R5" s="1734"/>
      <c r="S5" s="1735"/>
      <c r="T5" s="1734"/>
      <c r="U5" s="1734"/>
      <c r="V5" s="1734"/>
      <c r="W5" s="2928" t="s">
        <v>3037</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3035</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0">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3032</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26">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3033</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2"/>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1"/>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2"/>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57">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52"/>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52"/>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53"/>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51">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52"/>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52"/>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53"/>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51">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52"/>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52"/>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53"/>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58">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59"/>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59"/>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60"/>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51">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52"/>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52"/>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53"/>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51">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52">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52">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53">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51">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52">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52">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53">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51">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52">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52">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53">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51">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52">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52">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53">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51">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52">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52">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53">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51">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52">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52">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53">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51">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52">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52">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53">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51">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52">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52">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53">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51">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52">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52">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53">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51">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52">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52">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53">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tabSelected="1" zoomScale="90" zoomScaleNormal="90" workbookViewId="0">
      <pane ySplit="24" topLeftCell="A123" activePane="bottomLeft" state="frozen"/>
      <selection activeCell="C50" sqref="C50"/>
      <selection pane="bottomLeft" activeCell="V23" sqref="V2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3005</v>
      </c>
      <c r="C1" s="3362" t="s">
        <v>3006</v>
      </c>
      <c r="D1" s="3363"/>
      <c r="E1" s="3363"/>
      <c r="F1" s="3363"/>
      <c r="G1" s="3363"/>
      <c r="H1" s="3363"/>
      <c r="I1" s="3363"/>
      <c r="J1" s="3363"/>
      <c r="K1" s="3363"/>
      <c r="L1" s="3363"/>
      <c r="M1" s="3363"/>
      <c r="N1" s="3363"/>
      <c r="O1" s="3363"/>
      <c r="P1" s="3363"/>
      <c r="Q1" s="3363"/>
      <c r="R1" s="3363"/>
      <c r="S1" s="3364"/>
      <c r="T1" s="1206" t="s">
        <v>3007</v>
      </c>
    </row>
    <row r="2" spans="1:45" s="706" customFormat="1" ht="38.25">
      <c r="A2" s="1207"/>
      <c r="B2" s="702" t="s">
        <v>3008</v>
      </c>
      <c r="C2" s="703" t="str">
        <f t="shared" ref="C2:L2" si="0">C3&amp;"(含)"&amp;"-"&amp;D3</f>
        <v>0(含)-100</v>
      </c>
      <c r="D2" s="704" t="str">
        <f t="shared" si="0"/>
        <v>100(含)-200</v>
      </c>
      <c r="E2" s="704" t="str">
        <f t="shared" si="0"/>
        <v>200(含)-300</v>
      </c>
      <c r="F2" s="704" t="str">
        <f t="shared" si="0"/>
        <v>300(含)-400</v>
      </c>
      <c r="G2" s="704" t="str">
        <f t="shared" si="0"/>
        <v>400(含)-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100</v>
      </c>
      <c r="E3" s="709">
        <v>200</v>
      </c>
      <c r="F3" s="1706">
        <v>300</v>
      </c>
      <c r="G3" s="1706">
        <v>400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3010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3011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3012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3013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3014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3015</v>
      </c>
      <c r="B17" s="2917" t="s">
        <v>3016</v>
      </c>
      <c r="C17" s="1233" t="s">
        <v>3436</v>
      </c>
      <c r="D17" s="1234" t="s">
        <v>3437</v>
      </c>
      <c r="E17" s="1234" t="s">
        <v>3438</v>
      </c>
      <c r="F17" s="1234" t="s">
        <v>3439</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70</v>
      </c>
      <c r="E18" s="1246">
        <v>55</v>
      </c>
      <c r="F18" s="1246">
        <v>45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3017</v>
      </c>
      <c r="E19" s="1794"/>
      <c r="F19" s="1794"/>
      <c r="G19" s="1794"/>
      <c r="H19" s="1282"/>
      <c r="I19" s="168"/>
      <c r="J19" s="168"/>
      <c r="K19" s="168"/>
      <c r="L19" s="168"/>
      <c r="M19" s="168"/>
      <c r="N19" s="168"/>
      <c r="O19" s="168"/>
      <c r="P19" s="168"/>
      <c r="Q19" s="168"/>
      <c r="R19" s="787"/>
      <c r="S19" s="138"/>
    </row>
    <row r="20" spans="1:45" ht="16.5" thickBot="1">
      <c r="A20" s="714" t="s">
        <v>3018</v>
      </c>
      <c r="B20" s="338">
        <f ca="1">IF(D20="——",S22,S22-F20)</f>
        <v>13477</v>
      </c>
      <c r="C20" s="168"/>
      <c r="D20" s="2919" t="s">
        <v>70</v>
      </c>
      <c r="E20" s="1795"/>
      <c r="F20" s="1206">
        <f ca="1">SUMIF(INDIRECT("'"&amp;H20&amp;"'"&amp;"!A:A"),"承租人权益价值",INDIRECT("'"&amp;H20&amp;"'"&amp;"!c:c"))</f>
        <v>0</v>
      </c>
      <c r="G20" s="1206" t="s">
        <v>3019</v>
      </c>
      <c r="H20" s="2920" t="s">
        <v>3443</v>
      </c>
      <c r="I20" s="168"/>
      <c r="J20" s="168"/>
      <c r="K20" s="168"/>
      <c r="L20" s="168"/>
      <c r="M20" s="168"/>
      <c r="N20" s="168"/>
      <c r="O20" s="168"/>
      <c r="P20" s="168"/>
      <c r="Q20" s="168"/>
      <c r="R20" s="787"/>
      <c r="S20" s="138"/>
    </row>
    <row r="21" spans="1:45" ht="15.75">
      <c r="A21" s="714" t="s">
        <v>3020</v>
      </c>
      <c r="B21" s="338">
        <f ca="1">R22</f>
        <v>27880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4833.9999999999973</v>
      </c>
      <c r="C22" s="3221" t="s">
        <v>33</v>
      </c>
      <c r="D22" s="3222"/>
      <c r="E22" s="3222"/>
      <c r="F22" s="3222"/>
      <c r="G22" s="3222"/>
      <c r="H22" s="3222"/>
      <c r="I22" s="3222"/>
      <c r="J22" s="3222"/>
      <c r="K22" s="3222"/>
      <c r="L22" s="3222"/>
      <c r="M22" s="3222"/>
      <c r="N22" s="3222"/>
      <c r="O22" s="3222"/>
      <c r="P22" s="3222"/>
      <c r="Q22" s="3361"/>
      <c r="R22" s="715">
        <f ca="1">ROUND(S22*10000/B22,0)</f>
        <v>27880</v>
      </c>
      <c r="S22" s="24">
        <f ca="1">SUM(S24:S10000)</f>
        <v>13477</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6"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Sheet1!B3</f>
        <v>D1-203</v>
      </c>
      <c r="B24" s="717">
        <f>Sheet1!E3</f>
        <v>168.91</v>
      </c>
      <c r="C24" s="718">
        <v>1</v>
      </c>
      <c r="D24" s="719"/>
      <c r="E24" s="718">
        <v>1</v>
      </c>
      <c r="F24" s="719"/>
      <c r="G24" s="718">
        <v>1</v>
      </c>
      <c r="H24" s="719"/>
      <c r="I24" s="718">
        <v>1</v>
      </c>
      <c r="J24" s="719"/>
      <c r="K24" s="718">
        <v>1</v>
      </c>
      <c r="L24" s="719"/>
      <c r="M24" s="718">
        <v>1</v>
      </c>
      <c r="N24" s="719"/>
      <c r="O24" s="718">
        <v>1</v>
      </c>
      <c r="P24" s="719" t="s">
        <v>3432</v>
      </c>
      <c r="Q24" s="718">
        <v>1</v>
      </c>
      <c r="R24" s="720">
        <f ca="1">结果表!G20</f>
        <v>39417</v>
      </c>
      <c r="S24" s="718">
        <f t="shared" ref="S24:S54" ca="1" si="11">ROUND(R24*B24/10000,0)</f>
        <v>666</v>
      </c>
      <c r="T24" s="799"/>
      <c r="U24" s="799"/>
      <c r="V24" s="799">
        <f>Sheet1!C3</f>
        <v>1</v>
      </c>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Sheet1!B4</f>
        <v>A1-030</v>
      </c>
      <c r="B25" s="717">
        <f>Sheet1!E4</f>
        <v>54.49</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3432</v>
      </c>
      <c r="Q25" s="24">
        <f>(SUMIF($17:$17,P25,$18:$18)-SUMIF($17:$17,$P$24,$18:$18)+100)/100</f>
        <v>1</v>
      </c>
      <c r="R25" s="715">
        <f ca="1">IF(B25="",0,ROUND($R$24*C25*E25*G25*I25*K25*M25*O25*Q25,0))</f>
        <v>39811</v>
      </c>
      <c r="S25" s="361">
        <f t="shared" ca="1" si="11"/>
        <v>217</v>
      </c>
      <c r="V25" s="799">
        <f>Sheet1!C4</f>
        <v>1</v>
      </c>
    </row>
    <row r="26" spans="1:45">
      <c r="A26" s="717" t="str">
        <f>Sheet1!B5</f>
        <v>A1-031</v>
      </c>
      <c r="B26" s="717">
        <f>Sheet1!E5</f>
        <v>78.400000000000006</v>
      </c>
      <c r="C26" s="24">
        <f t="shared" ref="C26:C89" si="12">IF(B26="",1,(LOOKUP(B26,$3:$3,$4:$4)-LOOKUP($B$24,$3:$3,$4:$4)+100)/100)</f>
        <v>1.01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3432</v>
      </c>
      <c r="Q26" s="24">
        <f t="shared" ref="Q26:Q89" si="19">(SUMIF($17:$17,P26,$18:$18)-SUMIF($17:$17,$P$24,$18:$18)+100)/100</f>
        <v>1</v>
      </c>
      <c r="R26" s="715">
        <f t="shared" ref="R26:R89" ca="1" si="20">IF(B26="",0,ROUND($R$24*C26*E26*G26*I26*K26*M26*O26*Q26,0))</f>
        <v>39811</v>
      </c>
      <c r="S26" s="361">
        <f t="shared" ca="1" si="11"/>
        <v>312</v>
      </c>
      <c r="V26" s="799">
        <f>Sheet1!C5</f>
        <v>1</v>
      </c>
    </row>
    <row r="27" spans="1:45">
      <c r="A27" s="717" t="str">
        <f>Sheet1!B6</f>
        <v>A1-035</v>
      </c>
      <c r="B27" s="717">
        <f>Sheet1!E6</f>
        <v>40.26</v>
      </c>
      <c r="C27" s="24">
        <f t="shared" si="12"/>
        <v>1.01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3432</v>
      </c>
      <c r="Q27" s="24">
        <f t="shared" si="19"/>
        <v>1</v>
      </c>
      <c r="R27" s="715">
        <f t="shared" ca="1" si="20"/>
        <v>39811</v>
      </c>
      <c r="S27" s="361">
        <f t="shared" ca="1" si="11"/>
        <v>160</v>
      </c>
      <c r="V27" s="799">
        <f>Sheet1!C6</f>
        <v>1</v>
      </c>
    </row>
    <row r="28" spans="1:45">
      <c r="A28" s="717" t="str">
        <f>Sheet1!B7</f>
        <v>A1-036</v>
      </c>
      <c r="B28" s="717">
        <f>Sheet1!E7</f>
        <v>52.64</v>
      </c>
      <c r="C28" s="24">
        <f t="shared" si="12"/>
        <v>1.01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t="s">
        <v>3432</v>
      </c>
      <c r="Q28" s="24">
        <f t="shared" si="19"/>
        <v>1</v>
      </c>
      <c r="R28" s="715">
        <f t="shared" ca="1" si="20"/>
        <v>39811</v>
      </c>
      <c r="S28" s="361">
        <f t="shared" ca="1" si="11"/>
        <v>210</v>
      </c>
      <c r="V28" s="799">
        <f>Sheet1!C7</f>
        <v>1</v>
      </c>
    </row>
    <row r="29" spans="1:45">
      <c r="A29" s="717" t="str">
        <f>Sheet1!B8</f>
        <v>A1-037</v>
      </c>
      <c r="B29" s="717">
        <f>Sheet1!E8</f>
        <v>71.48</v>
      </c>
      <c r="C29" s="24">
        <f t="shared" si="12"/>
        <v>1.01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t="s">
        <v>3432</v>
      </c>
      <c r="Q29" s="24">
        <f t="shared" si="19"/>
        <v>1</v>
      </c>
      <c r="R29" s="715">
        <f t="shared" ca="1" si="20"/>
        <v>39811</v>
      </c>
      <c r="S29" s="361">
        <f t="shared" ca="1" si="11"/>
        <v>285</v>
      </c>
      <c r="V29" s="799">
        <f>Sheet1!C8</f>
        <v>1</v>
      </c>
    </row>
    <row r="30" spans="1:45">
      <c r="A30" s="717" t="str">
        <f>Sheet1!B9</f>
        <v>A1-038</v>
      </c>
      <c r="B30" s="717">
        <f>Sheet1!E9</f>
        <v>42.13</v>
      </c>
      <c r="C30" s="24">
        <f t="shared" si="12"/>
        <v>1.01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t="s">
        <v>3432</v>
      </c>
      <c r="Q30" s="24">
        <f t="shared" si="19"/>
        <v>1</v>
      </c>
      <c r="R30" s="715">
        <f t="shared" ca="1" si="20"/>
        <v>39811</v>
      </c>
      <c r="S30" s="361">
        <f t="shared" ca="1" si="11"/>
        <v>168</v>
      </c>
      <c r="V30" s="799">
        <f>Sheet1!C9</f>
        <v>1</v>
      </c>
    </row>
    <row r="31" spans="1:45">
      <c r="A31" s="717" t="str">
        <f>Sheet1!B10</f>
        <v>A1-045</v>
      </c>
      <c r="B31" s="717">
        <f>Sheet1!E10</f>
        <v>87.18</v>
      </c>
      <c r="C31" s="24">
        <f t="shared" si="12"/>
        <v>1.01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t="s">
        <v>3432</v>
      </c>
      <c r="Q31" s="24">
        <f t="shared" si="19"/>
        <v>1</v>
      </c>
      <c r="R31" s="715">
        <f t="shared" ca="1" si="20"/>
        <v>39811</v>
      </c>
      <c r="S31" s="361">
        <f t="shared" ca="1" si="11"/>
        <v>347</v>
      </c>
      <c r="V31" s="799">
        <f>Sheet1!C10</f>
        <v>1</v>
      </c>
    </row>
    <row r="32" spans="1:45">
      <c r="A32" s="717" t="str">
        <f>Sheet1!B11</f>
        <v>D1-201</v>
      </c>
      <c r="B32" s="717">
        <f>Sheet1!E11</f>
        <v>69</v>
      </c>
      <c r="C32" s="24">
        <f t="shared" si="12"/>
        <v>1.01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t="s">
        <v>3432</v>
      </c>
      <c r="Q32" s="24">
        <f t="shared" si="19"/>
        <v>1</v>
      </c>
      <c r="R32" s="715">
        <f t="shared" ca="1" si="20"/>
        <v>39811</v>
      </c>
      <c r="S32" s="361">
        <f t="shared" ca="1" si="11"/>
        <v>275</v>
      </c>
      <c r="V32" s="799">
        <f>Sheet1!C11</f>
        <v>1</v>
      </c>
    </row>
    <row r="33" spans="1:22">
      <c r="A33" s="717" t="str">
        <f>Sheet1!B12</f>
        <v>C1-003</v>
      </c>
      <c r="B33" s="717">
        <f>Sheet1!E12</f>
        <v>364.9</v>
      </c>
      <c r="C33" s="24">
        <f t="shared" si="12"/>
        <v>0.98</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t="s">
        <v>3432</v>
      </c>
      <c r="Q33" s="24">
        <f t="shared" si="19"/>
        <v>1</v>
      </c>
      <c r="R33" s="715">
        <f t="shared" ca="1" si="20"/>
        <v>38629</v>
      </c>
      <c r="S33" s="361">
        <f t="shared" ca="1" si="11"/>
        <v>1410</v>
      </c>
      <c r="V33" s="799">
        <f>Sheet1!C12</f>
        <v>1</v>
      </c>
    </row>
    <row r="34" spans="1:22">
      <c r="A34" s="717" t="str">
        <f>Sheet1!B13</f>
        <v>C1-004</v>
      </c>
      <c r="B34" s="717">
        <f>Sheet1!E13</f>
        <v>300.77999999999997</v>
      </c>
      <c r="C34" s="24">
        <f t="shared" si="12"/>
        <v>0.98</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t="s">
        <v>3432</v>
      </c>
      <c r="Q34" s="24">
        <f t="shared" si="19"/>
        <v>1</v>
      </c>
      <c r="R34" s="715">
        <f t="shared" ca="1" si="20"/>
        <v>38629</v>
      </c>
      <c r="S34" s="361">
        <f t="shared" ca="1" si="11"/>
        <v>1162</v>
      </c>
      <c r="V34" s="799">
        <f>Sheet1!C13</f>
        <v>1</v>
      </c>
    </row>
    <row r="35" spans="1:22">
      <c r="A35" s="717" t="str">
        <f>Sheet1!B14</f>
        <v>C1-005</v>
      </c>
      <c r="B35" s="717">
        <f>Sheet1!E14</f>
        <v>320.88</v>
      </c>
      <c r="C35" s="24">
        <f t="shared" si="12"/>
        <v>0.98</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t="s">
        <v>3432</v>
      </c>
      <c r="Q35" s="24">
        <f t="shared" si="19"/>
        <v>1</v>
      </c>
      <c r="R35" s="715">
        <f t="shared" ca="1" si="20"/>
        <v>38629</v>
      </c>
      <c r="S35" s="361">
        <f t="shared" ca="1" si="11"/>
        <v>1240</v>
      </c>
      <c r="V35" s="799">
        <f>Sheet1!C14</f>
        <v>1</v>
      </c>
    </row>
    <row r="36" spans="1:22">
      <c r="A36" s="717" t="str">
        <f>Sheet1!B15</f>
        <v>C2-004</v>
      </c>
      <c r="B36" s="717">
        <f>Sheet1!E15</f>
        <v>191.27</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t="s">
        <v>3440</v>
      </c>
      <c r="Q36" s="24">
        <f t="shared" si="19"/>
        <v>0.7</v>
      </c>
      <c r="R36" s="715">
        <f t="shared" ca="1" si="20"/>
        <v>27592</v>
      </c>
      <c r="S36" s="361">
        <f t="shared" ca="1" si="11"/>
        <v>528</v>
      </c>
      <c r="V36" s="799">
        <f>Sheet1!C15</f>
        <v>2</v>
      </c>
    </row>
    <row r="37" spans="1:22">
      <c r="A37" s="717" t="str">
        <f>Sheet1!B16</f>
        <v>A3-002</v>
      </c>
      <c r="B37" s="717">
        <f>Sheet1!E16</f>
        <v>72.510000000000005</v>
      </c>
      <c r="C37" s="24">
        <f t="shared" si="12"/>
        <v>1.01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t="s">
        <v>3441</v>
      </c>
      <c r="Q37" s="24">
        <f t="shared" si="19"/>
        <v>0.55000000000000004</v>
      </c>
      <c r="R37" s="715">
        <f t="shared" ca="1" si="20"/>
        <v>21896</v>
      </c>
      <c r="S37" s="361">
        <f t="shared" ca="1" si="11"/>
        <v>159</v>
      </c>
      <c r="V37" s="799">
        <f>Sheet1!C16</f>
        <v>3</v>
      </c>
    </row>
    <row r="38" spans="1:22">
      <c r="A38" s="717" t="str">
        <f>Sheet1!B17</f>
        <v>A3-003</v>
      </c>
      <c r="B38" s="717">
        <f>Sheet1!E17</f>
        <v>46.67</v>
      </c>
      <c r="C38" s="24">
        <f t="shared" si="12"/>
        <v>1.01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t="s">
        <v>3441</v>
      </c>
      <c r="Q38" s="24">
        <f t="shared" si="19"/>
        <v>0.55000000000000004</v>
      </c>
      <c r="R38" s="715">
        <f t="shared" ca="1" si="20"/>
        <v>21896</v>
      </c>
      <c r="S38" s="361">
        <f t="shared" ca="1" si="11"/>
        <v>102</v>
      </c>
      <c r="V38" s="799">
        <f>Sheet1!C17</f>
        <v>3</v>
      </c>
    </row>
    <row r="39" spans="1:22">
      <c r="A39" s="717" t="str">
        <f>Sheet1!B18</f>
        <v>A3-004</v>
      </c>
      <c r="B39" s="717">
        <f>Sheet1!E18</f>
        <v>46.67</v>
      </c>
      <c r="C39" s="24">
        <f t="shared" si="12"/>
        <v>1.01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t="s">
        <v>3441</v>
      </c>
      <c r="Q39" s="24">
        <f t="shared" si="19"/>
        <v>0.55000000000000004</v>
      </c>
      <c r="R39" s="715">
        <f t="shared" ca="1" si="20"/>
        <v>21896</v>
      </c>
      <c r="S39" s="361">
        <f t="shared" ca="1" si="11"/>
        <v>102</v>
      </c>
      <c r="V39" s="799">
        <f>Sheet1!C18</f>
        <v>3</v>
      </c>
    </row>
    <row r="40" spans="1:22">
      <c r="A40" s="717" t="str">
        <f>Sheet1!B19</f>
        <v>A3-005</v>
      </c>
      <c r="B40" s="717">
        <f>Sheet1!E19</f>
        <v>46.67</v>
      </c>
      <c r="C40" s="24">
        <f t="shared" si="12"/>
        <v>1.01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t="s">
        <v>3441</v>
      </c>
      <c r="Q40" s="24">
        <f t="shared" si="19"/>
        <v>0.55000000000000004</v>
      </c>
      <c r="R40" s="715">
        <f t="shared" ca="1" si="20"/>
        <v>21896</v>
      </c>
      <c r="S40" s="361">
        <f t="shared" ca="1" si="11"/>
        <v>102</v>
      </c>
      <c r="V40" s="799">
        <f>Sheet1!C19</f>
        <v>3</v>
      </c>
    </row>
    <row r="41" spans="1:22">
      <c r="A41" s="717" t="str">
        <f>Sheet1!B20</f>
        <v>A3-006</v>
      </c>
      <c r="B41" s="717">
        <f>Sheet1!E20</f>
        <v>46.67</v>
      </c>
      <c r="C41" s="24">
        <f t="shared" si="12"/>
        <v>1.01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t="s">
        <v>3441</v>
      </c>
      <c r="Q41" s="24">
        <f t="shared" si="19"/>
        <v>0.55000000000000004</v>
      </c>
      <c r="R41" s="715">
        <f t="shared" ca="1" si="20"/>
        <v>21896</v>
      </c>
      <c r="S41" s="361">
        <f t="shared" ca="1" si="11"/>
        <v>102</v>
      </c>
      <c r="V41" s="799">
        <f>Sheet1!C20</f>
        <v>3</v>
      </c>
    </row>
    <row r="42" spans="1:22">
      <c r="A42" s="717" t="str">
        <f>Sheet1!B21</f>
        <v>A3-007</v>
      </c>
      <c r="B42" s="717">
        <f>Sheet1!E21</f>
        <v>46.67</v>
      </c>
      <c r="C42" s="24">
        <f t="shared" si="12"/>
        <v>1.01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t="s">
        <v>3441</v>
      </c>
      <c r="Q42" s="24">
        <f t="shared" si="19"/>
        <v>0.55000000000000004</v>
      </c>
      <c r="R42" s="715">
        <f t="shared" ca="1" si="20"/>
        <v>21896</v>
      </c>
      <c r="S42" s="361">
        <f t="shared" ca="1" si="11"/>
        <v>102</v>
      </c>
      <c r="V42" s="799">
        <f>Sheet1!C21</f>
        <v>3</v>
      </c>
    </row>
    <row r="43" spans="1:22">
      <c r="A43" s="717" t="str">
        <f>Sheet1!B22</f>
        <v>A3-008</v>
      </c>
      <c r="B43" s="717">
        <f>Sheet1!E22</f>
        <v>48.34</v>
      </c>
      <c r="C43" s="24">
        <f t="shared" si="12"/>
        <v>1.01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t="s">
        <v>3441</v>
      </c>
      <c r="Q43" s="24">
        <f t="shared" si="19"/>
        <v>0.55000000000000004</v>
      </c>
      <c r="R43" s="715">
        <f t="shared" ca="1" si="20"/>
        <v>21896</v>
      </c>
      <c r="S43" s="361">
        <f t="shared" ca="1" si="11"/>
        <v>106</v>
      </c>
      <c r="V43" s="799">
        <f>Sheet1!C22</f>
        <v>3</v>
      </c>
    </row>
    <row r="44" spans="1:22">
      <c r="A44" s="717" t="str">
        <f>Sheet1!B23</f>
        <v>A3-009</v>
      </c>
      <c r="B44" s="717">
        <f>Sheet1!E23</f>
        <v>69.989999999999995</v>
      </c>
      <c r="C44" s="24">
        <f t="shared" si="12"/>
        <v>1.01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t="s">
        <v>3441</v>
      </c>
      <c r="Q44" s="24">
        <f t="shared" si="19"/>
        <v>0.55000000000000004</v>
      </c>
      <c r="R44" s="715">
        <f t="shared" ca="1" si="20"/>
        <v>21896</v>
      </c>
      <c r="S44" s="361">
        <f t="shared" ca="1" si="11"/>
        <v>153</v>
      </c>
      <c r="V44" s="799">
        <f>Sheet1!C23</f>
        <v>3</v>
      </c>
    </row>
    <row r="45" spans="1:22">
      <c r="A45" s="717" t="str">
        <f>Sheet1!B24</f>
        <v>A3-019</v>
      </c>
      <c r="B45" s="717">
        <f>Sheet1!E24</f>
        <v>44.73</v>
      </c>
      <c r="C45" s="24">
        <f t="shared" si="12"/>
        <v>1.01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t="s">
        <v>3441</v>
      </c>
      <c r="Q45" s="24">
        <f t="shared" si="19"/>
        <v>0.55000000000000004</v>
      </c>
      <c r="R45" s="715">
        <f t="shared" ca="1" si="20"/>
        <v>21896</v>
      </c>
      <c r="S45" s="361">
        <f t="shared" ca="1" si="11"/>
        <v>98</v>
      </c>
      <c r="V45" s="799">
        <f>Sheet1!C24</f>
        <v>3</v>
      </c>
    </row>
    <row r="46" spans="1:22">
      <c r="A46" s="717" t="str">
        <f>Sheet1!B25</f>
        <v>A3-020</v>
      </c>
      <c r="B46" s="717">
        <f>Sheet1!E25</f>
        <v>62.77</v>
      </c>
      <c r="C46" s="24">
        <f t="shared" si="12"/>
        <v>1.01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t="s">
        <v>3441</v>
      </c>
      <c r="Q46" s="24">
        <f t="shared" si="19"/>
        <v>0.55000000000000004</v>
      </c>
      <c r="R46" s="715">
        <f t="shared" ca="1" si="20"/>
        <v>21896</v>
      </c>
      <c r="S46" s="361">
        <f t="shared" ca="1" si="11"/>
        <v>137</v>
      </c>
      <c r="V46" s="799">
        <f>Sheet1!C25</f>
        <v>3</v>
      </c>
    </row>
    <row r="47" spans="1:22">
      <c r="A47" s="717" t="str">
        <f>Sheet1!B26</f>
        <v>A3-021</v>
      </c>
      <c r="B47" s="717">
        <f>Sheet1!E26</f>
        <v>60.93</v>
      </c>
      <c r="C47" s="24">
        <f t="shared" si="12"/>
        <v>1.01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t="s">
        <v>3441</v>
      </c>
      <c r="Q47" s="24">
        <f t="shared" si="19"/>
        <v>0.55000000000000004</v>
      </c>
      <c r="R47" s="715">
        <f t="shared" ca="1" si="20"/>
        <v>21896</v>
      </c>
      <c r="S47" s="361">
        <f t="shared" ca="1" si="11"/>
        <v>133</v>
      </c>
      <c r="V47" s="799">
        <f>Sheet1!C26</f>
        <v>3</v>
      </c>
    </row>
    <row r="48" spans="1:22">
      <c r="A48" s="717" t="str">
        <f>Sheet1!B27</f>
        <v>A3-022</v>
      </c>
      <c r="B48" s="717">
        <f>Sheet1!E27</f>
        <v>61.49</v>
      </c>
      <c r="C48" s="24">
        <f t="shared" si="12"/>
        <v>1.01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t="s">
        <v>3441</v>
      </c>
      <c r="Q48" s="24">
        <f t="shared" si="19"/>
        <v>0.55000000000000004</v>
      </c>
      <c r="R48" s="715">
        <f t="shared" ca="1" si="20"/>
        <v>21896</v>
      </c>
      <c r="S48" s="361">
        <f t="shared" ca="1" si="11"/>
        <v>135</v>
      </c>
      <c r="V48" s="799">
        <f>Sheet1!C27</f>
        <v>3</v>
      </c>
    </row>
    <row r="49" spans="1:22">
      <c r="A49" s="717" t="str">
        <f>Sheet1!B28</f>
        <v>A3-023</v>
      </c>
      <c r="B49" s="717">
        <f>Sheet1!E28</f>
        <v>55.64</v>
      </c>
      <c r="C49" s="24">
        <f t="shared" si="12"/>
        <v>1.01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t="s">
        <v>3441</v>
      </c>
      <c r="Q49" s="24">
        <f t="shared" si="19"/>
        <v>0.55000000000000004</v>
      </c>
      <c r="R49" s="715">
        <f t="shared" ca="1" si="20"/>
        <v>21896</v>
      </c>
      <c r="S49" s="361">
        <f t="shared" ca="1" si="11"/>
        <v>122</v>
      </c>
      <c r="V49" s="799">
        <f>Sheet1!C28</f>
        <v>3</v>
      </c>
    </row>
    <row r="50" spans="1:22">
      <c r="A50" s="717" t="str">
        <f>Sheet1!B29</f>
        <v>A3-024</v>
      </c>
      <c r="B50" s="717">
        <f>Sheet1!E29</f>
        <v>42.44</v>
      </c>
      <c r="C50" s="24">
        <f t="shared" si="12"/>
        <v>1.01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t="s">
        <v>3441</v>
      </c>
      <c r="Q50" s="24">
        <f t="shared" si="19"/>
        <v>0.55000000000000004</v>
      </c>
      <c r="R50" s="715">
        <f t="shared" ca="1" si="20"/>
        <v>21896</v>
      </c>
      <c r="S50" s="361">
        <f t="shared" ca="1" si="11"/>
        <v>93</v>
      </c>
      <c r="V50" s="799">
        <f>Sheet1!C29</f>
        <v>3</v>
      </c>
    </row>
    <row r="51" spans="1:22">
      <c r="A51" s="717" t="str">
        <f>Sheet1!B30</f>
        <v>D3-003</v>
      </c>
      <c r="B51" s="717">
        <f>Sheet1!E30</f>
        <v>176.07</v>
      </c>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t="s">
        <v>3441</v>
      </c>
      <c r="Q51" s="24">
        <f t="shared" si="19"/>
        <v>0.55000000000000004</v>
      </c>
      <c r="R51" s="715">
        <f t="shared" ca="1" si="20"/>
        <v>21679</v>
      </c>
      <c r="S51" s="361">
        <f t="shared" ca="1" si="11"/>
        <v>382</v>
      </c>
      <c r="V51" s="799">
        <f>Sheet1!C30</f>
        <v>3</v>
      </c>
    </row>
    <row r="52" spans="1:22">
      <c r="A52" s="717" t="str">
        <f>Sheet1!B31</f>
        <v>D3-004</v>
      </c>
      <c r="B52" s="717">
        <f>Sheet1!E31</f>
        <v>17.489999999999998</v>
      </c>
      <c r="C52" s="24">
        <f t="shared" si="12"/>
        <v>1.01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t="s">
        <v>3441</v>
      </c>
      <c r="Q52" s="24">
        <f t="shared" si="19"/>
        <v>0.55000000000000004</v>
      </c>
      <c r="R52" s="715">
        <f t="shared" ca="1" si="20"/>
        <v>21896</v>
      </c>
      <c r="S52" s="361">
        <f t="shared" ca="1" si="11"/>
        <v>38</v>
      </c>
      <c r="V52" s="799">
        <f>Sheet1!C31</f>
        <v>3</v>
      </c>
    </row>
    <row r="53" spans="1:22">
      <c r="A53" s="717" t="str">
        <f>Sheet1!B32</f>
        <v>D3-004-1</v>
      </c>
      <c r="B53" s="717">
        <f>Sheet1!E32</f>
        <v>16.14</v>
      </c>
      <c r="C53" s="24">
        <f t="shared" si="12"/>
        <v>1.01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t="s">
        <v>3441</v>
      </c>
      <c r="Q53" s="24">
        <f t="shared" si="19"/>
        <v>0.55000000000000004</v>
      </c>
      <c r="R53" s="715">
        <f t="shared" ca="1" si="20"/>
        <v>21896</v>
      </c>
      <c r="S53" s="361">
        <f t="shared" ca="1" si="11"/>
        <v>35</v>
      </c>
      <c r="V53" s="799">
        <f>Sheet1!C32</f>
        <v>3</v>
      </c>
    </row>
    <row r="54" spans="1:22">
      <c r="A54" s="717" t="str">
        <f>Sheet1!B33</f>
        <v>D3-049</v>
      </c>
      <c r="B54" s="717">
        <f>Sheet1!E33</f>
        <v>17.2</v>
      </c>
      <c r="C54" s="24">
        <f t="shared" si="12"/>
        <v>1.01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t="s">
        <v>3441</v>
      </c>
      <c r="Q54" s="24">
        <f t="shared" si="19"/>
        <v>0.55000000000000004</v>
      </c>
      <c r="R54" s="715">
        <f t="shared" ca="1" si="20"/>
        <v>21896</v>
      </c>
      <c r="S54" s="361">
        <f t="shared" ca="1" si="11"/>
        <v>38</v>
      </c>
      <c r="V54" s="799">
        <f>Sheet1!C33</f>
        <v>3</v>
      </c>
    </row>
    <row r="55" spans="1:22">
      <c r="A55" s="717" t="str">
        <f>Sheet1!B34</f>
        <v>D3-076</v>
      </c>
      <c r="B55" s="717">
        <f>Sheet1!E34</f>
        <v>48.26</v>
      </c>
      <c r="C55" s="24">
        <f t="shared" si="12"/>
        <v>1.01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t="s">
        <v>3441</v>
      </c>
      <c r="Q55" s="24">
        <f t="shared" si="19"/>
        <v>0.55000000000000004</v>
      </c>
      <c r="R55" s="715">
        <f t="shared" ca="1" si="20"/>
        <v>21896</v>
      </c>
      <c r="S55" s="361">
        <f t="shared" ref="S55:S77" ca="1" si="21">ROUND(R55*B55/10000,0)</f>
        <v>106</v>
      </c>
      <c r="V55" s="799">
        <f>Sheet1!C34</f>
        <v>3</v>
      </c>
    </row>
    <row r="56" spans="1:22">
      <c r="A56" s="717" t="str">
        <f>Sheet1!B35</f>
        <v>D3-077</v>
      </c>
      <c r="B56" s="717">
        <f>Sheet1!E35</f>
        <v>46.93</v>
      </c>
      <c r="C56" s="24">
        <f t="shared" si="12"/>
        <v>1.01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t="s">
        <v>3441</v>
      </c>
      <c r="Q56" s="24">
        <f t="shared" si="19"/>
        <v>0.55000000000000004</v>
      </c>
      <c r="R56" s="715">
        <f t="shared" ca="1" si="20"/>
        <v>21896</v>
      </c>
      <c r="S56" s="361">
        <f t="shared" ca="1" si="21"/>
        <v>103</v>
      </c>
      <c r="V56" s="799">
        <f>Sheet1!C35</f>
        <v>3</v>
      </c>
    </row>
    <row r="57" spans="1:22">
      <c r="A57" s="717" t="str">
        <f>Sheet1!B36</f>
        <v>D3-078</v>
      </c>
      <c r="B57" s="717">
        <f>Sheet1!E36</f>
        <v>45.6</v>
      </c>
      <c r="C57" s="24">
        <f t="shared" si="12"/>
        <v>1.01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t="s">
        <v>3441</v>
      </c>
      <c r="Q57" s="24">
        <f t="shared" si="19"/>
        <v>0.55000000000000004</v>
      </c>
      <c r="R57" s="715">
        <f t="shared" ca="1" si="20"/>
        <v>21896</v>
      </c>
      <c r="S57" s="361">
        <f t="shared" ca="1" si="21"/>
        <v>100</v>
      </c>
      <c r="V57" s="799">
        <f>Sheet1!C36</f>
        <v>3</v>
      </c>
    </row>
    <row r="58" spans="1:22">
      <c r="A58" s="717" t="str">
        <f>Sheet1!B37</f>
        <v>D3-080</v>
      </c>
      <c r="B58" s="717">
        <f>Sheet1!E37</f>
        <v>36.159999999999997</v>
      </c>
      <c r="C58" s="24">
        <f t="shared" si="12"/>
        <v>1.01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t="s">
        <v>3441</v>
      </c>
      <c r="Q58" s="24">
        <f t="shared" si="19"/>
        <v>0.55000000000000004</v>
      </c>
      <c r="R58" s="715">
        <f t="shared" ca="1" si="20"/>
        <v>21896</v>
      </c>
      <c r="S58" s="361">
        <f t="shared" ca="1" si="21"/>
        <v>79</v>
      </c>
      <c r="V58" s="799">
        <f>Sheet1!C37</f>
        <v>3</v>
      </c>
    </row>
    <row r="59" spans="1:22">
      <c r="A59" s="717" t="str">
        <f>Sheet1!B38</f>
        <v>D3-081</v>
      </c>
      <c r="B59" s="717">
        <f>Sheet1!E38</f>
        <v>26.9</v>
      </c>
      <c r="C59" s="24">
        <f t="shared" si="12"/>
        <v>1.01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t="s">
        <v>3441</v>
      </c>
      <c r="Q59" s="24">
        <f t="shared" si="19"/>
        <v>0.55000000000000004</v>
      </c>
      <c r="R59" s="715">
        <f t="shared" ca="1" si="20"/>
        <v>21896</v>
      </c>
      <c r="S59" s="361">
        <f t="shared" ca="1" si="21"/>
        <v>59</v>
      </c>
      <c r="V59" s="799">
        <f>Sheet1!C38</f>
        <v>3</v>
      </c>
    </row>
    <row r="60" spans="1:22">
      <c r="A60" s="717" t="str">
        <f>Sheet1!B39</f>
        <v>D3-082</v>
      </c>
      <c r="B60" s="717">
        <f>Sheet1!E39</f>
        <v>31.35</v>
      </c>
      <c r="C60" s="24">
        <f t="shared" si="12"/>
        <v>1.01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t="s">
        <v>3441</v>
      </c>
      <c r="Q60" s="24">
        <f t="shared" si="19"/>
        <v>0.55000000000000004</v>
      </c>
      <c r="R60" s="715">
        <f t="shared" ca="1" si="20"/>
        <v>21896</v>
      </c>
      <c r="S60" s="361">
        <f t="shared" ca="1" si="21"/>
        <v>69</v>
      </c>
      <c r="V60" s="799">
        <f>Sheet1!C39</f>
        <v>3</v>
      </c>
    </row>
    <row r="61" spans="1:22">
      <c r="A61" s="717" t="str">
        <f>Sheet1!B40</f>
        <v>D3-083</v>
      </c>
      <c r="B61" s="717">
        <f>Sheet1!E40</f>
        <v>36.18</v>
      </c>
      <c r="C61" s="24">
        <f t="shared" si="12"/>
        <v>1.01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t="s">
        <v>3441</v>
      </c>
      <c r="Q61" s="24">
        <f t="shared" si="19"/>
        <v>0.55000000000000004</v>
      </c>
      <c r="R61" s="715">
        <f t="shared" ca="1" si="20"/>
        <v>21896</v>
      </c>
      <c r="S61" s="361">
        <f t="shared" ca="1" si="21"/>
        <v>79</v>
      </c>
      <c r="V61" s="799">
        <f>Sheet1!C40</f>
        <v>3</v>
      </c>
    </row>
    <row r="62" spans="1:22">
      <c r="A62" s="717" t="str">
        <f>Sheet1!B41</f>
        <v>D3-085</v>
      </c>
      <c r="B62" s="717">
        <f>Sheet1!E41</f>
        <v>21.92</v>
      </c>
      <c r="C62" s="24">
        <f t="shared" si="12"/>
        <v>1.01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t="s">
        <v>3441</v>
      </c>
      <c r="Q62" s="24">
        <f t="shared" si="19"/>
        <v>0.55000000000000004</v>
      </c>
      <c r="R62" s="715">
        <f t="shared" ca="1" si="20"/>
        <v>21896</v>
      </c>
      <c r="S62" s="361">
        <f t="shared" ca="1" si="21"/>
        <v>48</v>
      </c>
      <c r="V62" s="799">
        <f>Sheet1!C41</f>
        <v>3</v>
      </c>
    </row>
    <row r="63" spans="1:22">
      <c r="A63" s="717" t="str">
        <f>Sheet1!B42</f>
        <v>D3-085-1</v>
      </c>
      <c r="B63" s="717">
        <f>Sheet1!E42</f>
        <v>17.36</v>
      </c>
      <c r="C63" s="24">
        <f t="shared" si="12"/>
        <v>1.01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t="s">
        <v>3441</v>
      </c>
      <c r="Q63" s="24">
        <f t="shared" si="19"/>
        <v>0.55000000000000004</v>
      </c>
      <c r="R63" s="715">
        <f t="shared" ca="1" si="20"/>
        <v>21896</v>
      </c>
      <c r="S63" s="361">
        <f t="shared" ca="1" si="21"/>
        <v>38</v>
      </c>
      <c r="V63" s="799">
        <f>Sheet1!C42</f>
        <v>3</v>
      </c>
    </row>
    <row r="64" spans="1:22">
      <c r="A64" s="717" t="str">
        <f>Sheet1!B43</f>
        <v>D3-089</v>
      </c>
      <c r="B64" s="717">
        <f>Sheet1!E43</f>
        <v>31.3</v>
      </c>
      <c r="C64" s="24">
        <f t="shared" si="12"/>
        <v>1.01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t="s">
        <v>3441</v>
      </c>
      <c r="Q64" s="24">
        <f t="shared" si="19"/>
        <v>0.55000000000000004</v>
      </c>
      <c r="R64" s="715">
        <f t="shared" ca="1" si="20"/>
        <v>21896</v>
      </c>
      <c r="S64" s="361">
        <f t="shared" ca="1" si="21"/>
        <v>69</v>
      </c>
      <c r="V64" s="799">
        <f>Sheet1!C43</f>
        <v>3</v>
      </c>
    </row>
    <row r="65" spans="1:22">
      <c r="A65" s="717" t="str">
        <f>Sheet1!B44</f>
        <v>D3-090-1</v>
      </c>
      <c r="B65" s="717">
        <f>Sheet1!E44</f>
        <v>25.19</v>
      </c>
      <c r="C65" s="24">
        <f t="shared" si="12"/>
        <v>1.01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t="s">
        <v>3441</v>
      </c>
      <c r="Q65" s="24">
        <f t="shared" si="19"/>
        <v>0.55000000000000004</v>
      </c>
      <c r="R65" s="715">
        <f t="shared" ca="1" si="20"/>
        <v>21896</v>
      </c>
      <c r="S65" s="361">
        <f t="shared" ca="1" si="21"/>
        <v>55</v>
      </c>
      <c r="V65" s="799">
        <f>Sheet1!C44</f>
        <v>3</v>
      </c>
    </row>
    <row r="66" spans="1:22">
      <c r="A66" s="717" t="str">
        <f>Sheet1!B45</f>
        <v>D3-090-2</v>
      </c>
      <c r="B66" s="717">
        <f>Sheet1!E45</f>
        <v>23.33</v>
      </c>
      <c r="C66" s="24">
        <f t="shared" si="12"/>
        <v>1.01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t="s">
        <v>3441</v>
      </c>
      <c r="Q66" s="24">
        <f t="shared" si="19"/>
        <v>0.55000000000000004</v>
      </c>
      <c r="R66" s="715">
        <f t="shared" ca="1" si="20"/>
        <v>21896</v>
      </c>
      <c r="S66" s="361">
        <f t="shared" ca="1" si="21"/>
        <v>51</v>
      </c>
      <c r="V66" s="799">
        <f>Sheet1!C45</f>
        <v>3</v>
      </c>
    </row>
    <row r="67" spans="1:22">
      <c r="A67" s="717" t="str">
        <f>Sheet1!B46</f>
        <v>D3-097</v>
      </c>
      <c r="B67" s="717">
        <f>Sheet1!E46</f>
        <v>29.55</v>
      </c>
      <c r="C67" s="24">
        <f t="shared" si="12"/>
        <v>1.01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t="s">
        <v>3441</v>
      </c>
      <c r="Q67" s="24">
        <f t="shared" si="19"/>
        <v>0.55000000000000004</v>
      </c>
      <c r="R67" s="715">
        <f t="shared" ca="1" si="20"/>
        <v>21896</v>
      </c>
      <c r="S67" s="361">
        <f t="shared" ca="1" si="21"/>
        <v>65</v>
      </c>
      <c r="V67" s="799">
        <f>Sheet1!C46</f>
        <v>3</v>
      </c>
    </row>
    <row r="68" spans="1:22">
      <c r="A68" s="717" t="str">
        <f>Sheet1!B47</f>
        <v>D3-097-1</v>
      </c>
      <c r="B68" s="717">
        <f>Sheet1!E47</f>
        <v>29.97</v>
      </c>
      <c r="C68" s="24">
        <f t="shared" si="12"/>
        <v>1.01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t="s">
        <v>3441</v>
      </c>
      <c r="Q68" s="24">
        <f t="shared" si="19"/>
        <v>0.55000000000000004</v>
      </c>
      <c r="R68" s="715">
        <f t="shared" ca="1" si="20"/>
        <v>21896</v>
      </c>
      <c r="S68" s="361">
        <f t="shared" ca="1" si="21"/>
        <v>66</v>
      </c>
      <c r="V68" s="799">
        <f>Sheet1!C47</f>
        <v>3</v>
      </c>
    </row>
    <row r="69" spans="1:22">
      <c r="A69" s="717" t="str">
        <f>Sheet1!B48</f>
        <v>D3-098-1</v>
      </c>
      <c r="B69" s="717">
        <f>Sheet1!E48</f>
        <v>27.74</v>
      </c>
      <c r="C69" s="24">
        <f t="shared" si="12"/>
        <v>1.01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t="s">
        <v>3441</v>
      </c>
      <c r="Q69" s="24">
        <f t="shared" si="19"/>
        <v>0.55000000000000004</v>
      </c>
      <c r="R69" s="715">
        <f t="shared" ca="1" si="20"/>
        <v>21896</v>
      </c>
      <c r="S69" s="361">
        <f t="shared" ca="1" si="21"/>
        <v>61</v>
      </c>
      <c r="V69" s="799">
        <f>Sheet1!C48</f>
        <v>3</v>
      </c>
    </row>
    <row r="70" spans="1:22">
      <c r="A70" s="717" t="str">
        <f>Sheet1!B49</f>
        <v>D3-099-1</v>
      </c>
      <c r="B70" s="717">
        <f>Sheet1!E49</f>
        <v>20.37</v>
      </c>
      <c r="C70" s="24">
        <f t="shared" si="12"/>
        <v>1.01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t="s">
        <v>3441</v>
      </c>
      <c r="Q70" s="24">
        <f t="shared" si="19"/>
        <v>0.55000000000000004</v>
      </c>
      <c r="R70" s="715">
        <f t="shared" ca="1" si="20"/>
        <v>21896</v>
      </c>
      <c r="S70" s="361">
        <f t="shared" ca="1" si="21"/>
        <v>45</v>
      </c>
      <c r="V70" s="799">
        <f>Sheet1!C49</f>
        <v>3</v>
      </c>
    </row>
    <row r="71" spans="1:22">
      <c r="A71" s="717" t="str">
        <f>Sheet1!B50</f>
        <v>D3-100</v>
      </c>
      <c r="B71" s="717">
        <f>Sheet1!E50</f>
        <v>27.74</v>
      </c>
      <c r="C71" s="24">
        <f t="shared" si="12"/>
        <v>1.01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t="s">
        <v>3441</v>
      </c>
      <c r="Q71" s="24">
        <f t="shared" si="19"/>
        <v>0.55000000000000004</v>
      </c>
      <c r="R71" s="715">
        <f t="shared" ca="1" si="20"/>
        <v>21896</v>
      </c>
      <c r="S71" s="361">
        <f t="shared" ca="1" si="21"/>
        <v>61</v>
      </c>
      <c r="V71" s="799">
        <f>Sheet1!C50</f>
        <v>3</v>
      </c>
    </row>
    <row r="72" spans="1:22">
      <c r="A72" s="717" t="str">
        <f>Sheet1!B51</f>
        <v>D3-007</v>
      </c>
      <c r="B72" s="717">
        <f>Sheet1!E51</f>
        <v>16.510000000000002</v>
      </c>
      <c r="C72" s="24">
        <f t="shared" si="12"/>
        <v>1.01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t="s">
        <v>3441</v>
      </c>
      <c r="Q72" s="24">
        <f t="shared" si="19"/>
        <v>0.55000000000000004</v>
      </c>
      <c r="R72" s="715">
        <f t="shared" ca="1" si="20"/>
        <v>21896</v>
      </c>
      <c r="S72" s="361">
        <f t="shared" ca="1" si="21"/>
        <v>36</v>
      </c>
      <c r="V72" s="799">
        <f>Sheet1!C51</f>
        <v>3</v>
      </c>
    </row>
    <row r="73" spans="1:22">
      <c r="A73" s="717" t="str">
        <f>Sheet1!B52</f>
        <v>D3-008</v>
      </c>
      <c r="B73" s="717">
        <f>Sheet1!E52</f>
        <v>23.44</v>
      </c>
      <c r="C73" s="24">
        <f t="shared" si="12"/>
        <v>1.01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t="s">
        <v>3441</v>
      </c>
      <c r="Q73" s="24">
        <f t="shared" si="19"/>
        <v>0.55000000000000004</v>
      </c>
      <c r="R73" s="715">
        <f t="shared" ca="1" si="20"/>
        <v>21896</v>
      </c>
      <c r="S73" s="361">
        <f t="shared" ca="1" si="21"/>
        <v>51</v>
      </c>
      <c r="V73" s="799">
        <f>Sheet1!C52</f>
        <v>3</v>
      </c>
    </row>
    <row r="74" spans="1:22">
      <c r="A74" s="717" t="str">
        <f>Sheet1!B53</f>
        <v>D3-008-1</v>
      </c>
      <c r="B74" s="717">
        <f>Sheet1!E53</f>
        <v>23.01</v>
      </c>
      <c r="C74" s="24">
        <f t="shared" si="12"/>
        <v>1.01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t="s">
        <v>3441</v>
      </c>
      <c r="Q74" s="24">
        <f t="shared" si="19"/>
        <v>0.55000000000000004</v>
      </c>
      <c r="R74" s="715">
        <f t="shared" ca="1" si="20"/>
        <v>21896</v>
      </c>
      <c r="S74" s="361">
        <f t="shared" ca="1" si="21"/>
        <v>50</v>
      </c>
      <c r="V74" s="799">
        <f>Sheet1!C53</f>
        <v>3</v>
      </c>
    </row>
    <row r="75" spans="1:22">
      <c r="A75" s="717" t="str">
        <f>Sheet1!B54</f>
        <v>D3-014</v>
      </c>
      <c r="B75" s="717">
        <f>Sheet1!E54</f>
        <v>30.12</v>
      </c>
      <c r="C75" s="24">
        <f t="shared" si="12"/>
        <v>1.01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t="s">
        <v>3441</v>
      </c>
      <c r="Q75" s="24">
        <f t="shared" si="19"/>
        <v>0.55000000000000004</v>
      </c>
      <c r="R75" s="715">
        <f t="shared" ca="1" si="20"/>
        <v>21896</v>
      </c>
      <c r="S75" s="361">
        <f t="shared" ca="1" si="21"/>
        <v>66</v>
      </c>
      <c r="V75" s="799">
        <f>Sheet1!C54</f>
        <v>3</v>
      </c>
    </row>
    <row r="76" spans="1:22">
      <c r="A76" s="717" t="str">
        <f>Sheet1!B55</f>
        <v>D3-016</v>
      </c>
      <c r="B76" s="717">
        <f>Sheet1!E55</f>
        <v>19.89</v>
      </c>
      <c r="C76" s="24">
        <f t="shared" si="12"/>
        <v>1.01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t="s">
        <v>3441</v>
      </c>
      <c r="Q76" s="24">
        <f t="shared" si="19"/>
        <v>0.55000000000000004</v>
      </c>
      <c r="R76" s="715">
        <f t="shared" ca="1" si="20"/>
        <v>21896</v>
      </c>
      <c r="S76" s="361">
        <f t="shared" ca="1" si="21"/>
        <v>44</v>
      </c>
      <c r="V76" s="799">
        <f>Sheet1!C55</f>
        <v>3</v>
      </c>
    </row>
    <row r="77" spans="1:22">
      <c r="A77" s="717" t="str">
        <f>Sheet1!B56</f>
        <v>D3-017</v>
      </c>
      <c r="B77" s="717">
        <f>Sheet1!E56</f>
        <v>23.76</v>
      </c>
      <c r="C77" s="24">
        <f t="shared" si="12"/>
        <v>1.01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t="s">
        <v>3441</v>
      </c>
      <c r="Q77" s="24">
        <f t="shared" si="19"/>
        <v>0.55000000000000004</v>
      </c>
      <c r="R77" s="715">
        <f t="shared" ca="1" si="20"/>
        <v>21896</v>
      </c>
      <c r="S77" s="361">
        <f t="shared" ca="1" si="21"/>
        <v>52</v>
      </c>
      <c r="V77" s="799">
        <f>Sheet1!C56</f>
        <v>3</v>
      </c>
    </row>
    <row r="78" spans="1:22">
      <c r="A78" s="717" t="str">
        <f>Sheet1!B57</f>
        <v>D3-018</v>
      </c>
      <c r="B78" s="717">
        <f>Sheet1!E57</f>
        <v>24.68</v>
      </c>
      <c r="C78" s="24">
        <f t="shared" si="12"/>
        <v>1.01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t="s">
        <v>3441</v>
      </c>
      <c r="Q78" s="24">
        <f t="shared" si="19"/>
        <v>0.55000000000000004</v>
      </c>
      <c r="R78" s="715">
        <f t="shared" ca="1" si="20"/>
        <v>21896</v>
      </c>
      <c r="S78" s="361">
        <f t="shared" ref="S78:S122" ca="1" si="22">ROUND(R78*B78/10000,0)</f>
        <v>54</v>
      </c>
      <c r="V78" s="799">
        <f>Sheet1!C57</f>
        <v>3</v>
      </c>
    </row>
    <row r="79" spans="1:22">
      <c r="A79" s="717" t="str">
        <f>Sheet1!B58</f>
        <v>D3-019</v>
      </c>
      <c r="B79" s="717">
        <f>Sheet1!E58</f>
        <v>24.68</v>
      </c>
      <c r="C79" s="24">
        <f t="shared" si="12"/>
        <v>1.01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t="s">
        <v>3441</v>
      </c>
      <c r="Q79" s="24">
        <f t="shared" si="19"/>
        <v>0.55000000000000004</v>
      </c>
      <c r="R79" s="715">
        <f t="shared" ca="1" si="20"/>
        <v>21896</v>
      </c>
      <c r="S79" s="361">
        <f t="shared" ca="1" si="22"/>
        <v>54</v>
      </c>
      <c r="V79" s="799">
        <f>Sheet1!C58</f>
        <v>3</v>
      </c>
    </row>
    <row r="80" spans="1:22">
      <c r="A80" s="717" t="str">
        <f>Sheet1!B59</f>
        <v>D3-020</v>
      </c>
      <c r="B80" s="717">
        <f>Sheet1!E59</f>
        <v>16.059999999999999</v>
      </c>
      <c r="C80" s="24">
        <f t="shared" si="12"/>
        <v>1.01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t="s">
        <v>3441</v>
      </c>
      <c r="Q80" s="24">
        <f t="shared" si="19"/>
        <v>0.55000000000000004</v>
      </c>
      <c r="R80" s="715">
        <f t="shared" ca="1" si="20"/>
        <v>21896</v>
      </c>
      <c r="S80" s="361">
        <f t="shared" ca="1" si="22"/>
        <v>35</v>
      </c>
      <c r="V80" s="799">
        <f>Sheet1!C59</f>
        <v>3</v>
      </c>
    </row>
    <row r="81" spans="1:22">
      <c r="A81" s="717" t="str">
        <f>Sheet1!B60</f>
        <v>D3-020-1</v>
      </c>
      <c r="B81" s="717">
        <f>Sheet1!E60</f>
        <v>15.18</v>
      </c>
      <c r="C81" s="24">
        <f t="shared" si="12"/>
        <v>1.01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t="s">
        <v>3441</v>
      </c>
      <c r="Q81" s="24">
        <f t="shared" si="19"/>
        <v>0.55000000000000004</v>
      </c>
      <c r="R81" s="715">
        <f t="shared" ca="1" si="20"/>
        <v>21896</v>
      </c>
      <c r="S81" s="361">
        <f t="shared" ca="1" si="22"/>
        <v>33</v>
      </c>
      <c r="V81" s="799">
        <f>Sheet1!C60</f>
        <v>3</v>
      </c>
    </row>
    <row r="82" spans="1:22">
      <c r="A82" s="717" t="str">
        <f>Sheet1!B61</f>
        <v>D3-021</v>
      </c>
      <c r="B82" s="717">
        <f>Sheet1!E61</f>
        <v>34.97</v>
      </c>
      <c r="C82" s="24">
        <f t="shared" si="12"/>
        <v>1.01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t="s">
        <v>3441</v>
      </c>
      <c r="Q82" s="24">
        <f t="shared" si="19"/>
        <v>0.55000000000000004</v>
      </c>
      <c r="R82" s="715">
        <f t="shared" ca="1" si="20"/>
        <v>21896</v>
      </c>
      <c r="S82" s="361">
        <f t="shared" ca="1" si="22"/>
        <v>77</v>
      </c>
      <c r="V82" s="799">
        <f>Sheet1!C61</f>
        <v>3</v>
      </c>
    </row>
    <row r="83" spans="1:22">
      <c r="A83" s="717" t="str">
        <f>Sheet1!B62</f>
        <v>D3-022</v>
      </c>
      <c r="B83" s="717">
        <f>Sheet1!E62</f>
        <v>31.94</v>
      </c>
      <c r="C83" s="24">
        <f t="shared" si="12"/>
        <v>1.01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t="s">
        <v>3441</v>
      </c>
      <c r="Q83" s="24">
        <f t="shared" si="19"/>
        <v>0.55000000000000004</v>
      </c>
      <c r="R83" s="715">
        <f t="shared" ca="1" si="20"/>
        <v>21896</v>
      </c>
      <c r="S83" s="361">
        <f t="shared" ca="1" si="22"/>
        <v>70</v>
      </c>
      <c r="V83" s="799">
        <f>Sheet1!C62</f>
        <v>3</v>
      </c>
    </row>
    <row r="84" spans="1:22">
      <c r="A84" s="717" t="str">
        <f>Sheet1!B63</f>
        <v>D3-023</v>
      </c>
      <c r="B84" s="717">
        <f>Sheet1!E63</f>
        <v>31.95</v>
      </c>
      <c r="C84" s="24">
        <f t="shared" si="12"/>
        <v>1.01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t="s">
        <v>3441</v>
      </c>
      <c r="Q84" s="24">
        <f t="shared" si="19"/>
        <v>0.55000000000000004</v>
      </c>
      <c r="R84" s="715">
        <f t="shared" ca="1" si="20"/>
        <v>21896</v>
      </c>
      <c r="S84" s="361">
        <f t="shared" ca="1" si="22"/>
        <v>70</v>
      </c>
      <c r="V84" s="799">
        <f>Sheet1!C63</f>
        <v>3</v>
      </c>
    </row>
    <row r="85" spans="1:22">
      <c r="A85" s="717" t="str">
        <f>Sheet1!B64</f>
        <v>D3-024</v>
      </c>
      <c r="B85" s="717">
        <f>Sheet1!E64</f>
        <v>31.12</v>
      </c>
      <c r="C85" s="24">
        <f t="shared" si="12"/>
        <v>1.01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t="s">
        <v>3441</v>
      </c>
      <c r="Q85" s="24">
        <f t="shared" si="19"/>
        <v>0.55000000000000004</v>
      </c>
      <c r="R85" s="715">
        <f t="shared" ca="1" si="20"/>
        <v>21896</v>
      </c>
      <c r="S85" s="361">
        <f t="shared" ca="1" si="22"/>
        <v>68</v>
      </c>
      <c r="V85" s="799">
        <f>Sheet1!C64</f>
        <v>3</v>
      </c>
    </row>
    <row r="86" spans="1:22">
      <c r="A86" s="717" t="str">
        <f>Sheet1!B65</f>
        <v>D3-025</v>
      </c>
      <c r="B86" s="717">
        <f>Sheet1!E65</f>
        <v>31.12</v>
      </c>
      <c r="C86" s="24">
        <f t="shared" si="12"/>
        <v>1.01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t="s">
        <v>3441</v>
      </c>
      <c r="Q86" s="24">
        <f t="shared" si="19"/>
        <v>0.55000000000000004</v>
      </c>
      <c r="R86" s="715">
        <f t="shared" ca="1" si="20"/>
        <v>21896</v>
      </c>
      <c r="S86" s="361">
        <f t="shared" ca="1" si="22"/>
        <v>68</v>
      </c>
      <c r="V86" s="799">
        <f>Sheet1!C65</f>
        <v>3</v>
      </c>
    </row>
    <row r="87" spans="1:22">
      <c r="A87" s="717" t="str">
        <f>Sheet1!B66</f>
        <v>D3-026</v>
      </c>
      <c r="B87" s="717">
        <f>Sheet1!E66</f>
        <v>20</v>
      </c>
      <c r="C87" s="24">
        <f t="shared" si="12"/>
        <v>1.01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t="s">
        <v>3441</v>
      </c>
      <c r="Q87" s="24">
        <f t="shared" si="19"/>
        <v>0.55000000000000004</v>
      </c>
      <c r="R87" s="715">
        <f t="shared" ca="1" si="20"/>
        <v>21896</v>
      </c>
      <c r="S87" s="361">
        <f t="shared" ca="1" si="22"/>
        <v>44</v>
      </c>
      <c r="V87" s="799">
        <f>Sheet1!C66</f>
        <v>3</v>
      </c>
    </row>
    <row r="88" spans="1:22">
      <c r="A88" s="717" t="str">
        <f>Sheet1!B67</f>
        <v>D3-026-1</v>
      </c>
      <c r="B88" s="717">
        <f>Sheet1!E67</f>
        <v>20</v>
      </c>
      <c r="C88" s="24">
        <f t="shared" si="12"/>
        <v>1.01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t="s">
        <v>3441</v>
      </c>
      <c r="Q88" s="24">
        <f t="shared" si="19"/>
        <v>0.55000000000000004</v>
      </c>
      <c r="R88" s="715">
        <f t="shared" ca="1" si="20"/>
        <v>21896</v>
      </c>
      <c r="S88" s="361">
        <f t="shared" ca="1" si="22"/>
        <v>44</v>
      </c>
      <c r="V88" s="799">
        <f>Sheet1!C67</f>
        <v>3</v>
      </c>
    </row>
    <row r="89" spans="1:22">
      <c r="A89" s="717" t="str">
        <f>Sheet1!B68</f>
        <v>D3-028</v>
      </c>
      <c r="B89" s="717">
        <f>Sheet1!E68</f>
        <v>18.97</v>
      </c>
      <c r="C89" s="24">
        <f t="shared" si="12"/>
        <v>1.01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t="s">
        <v>3441</v>
      </c>
      <c r="Q89" s="24">
        <f t="shared" si="19"/>
        <v>0.55000000000000004</v>
      </c>
      <c r="R89" s="715">
        <f t="shared" ca="1" si="20"/>
        <v>21896</v>
      </c>
      <c r="S89" s="361">
        <f t="shared" ca="1" si="22"/>
        <v>42</v>
      </c>
      <c r="V89" s="799">
        <f>Sheet1!C68</f>
        <v>3</v>
      </c>
    </row>
    <row r="90" spans="1:22">
      <c r="A90" s="717" t="str">
        <f>Sheet1!B69</f>
        <v>D3-028-1</v>
      </c>
      <c r="B90" s="717">
        <f>Sheet1!E69</f>
        <v>19.36</v>
      </c>
      <c r="C90" s="24">
        <f t="shared" ref="C90:C153" si="23">IF(B90="",1,(LOOKUP(B90,$3:$3,$4:$4)-LOOKUP($B$24,$3:$3,$4:$4)+100)/100)</f>
        <v>1.01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t="s">
        <v>3441</v>
      </c>
      <c r="Q90" s="24">
        <f t="shared" ref="Q90:Q153" si="30">(SUMIF($17:$17,P90,$18:$18)-SUMIF($17:$17,$P$24,$18:$18)+100)/100</f>
        <v>0.55000000000000004</v>
      </c>
      <c r="R90" s="715">
        <f t="shared" ref="R90:R153" ca="1" si="31">IF(B90="",0,ROUND($R$24*C90*E90*G90*I90*K90*M90*O90*Q90,0))</f>
        <v>21896</v>
      </c>
      <c r="S90" s="361">
        <f t="shared" ca="1" si="22"/>
        <v>42</v>
      </c>
      <c r="V90" s="799">
        <f>Sheet1!C69</f>
        <v>3</v>
      </c>
    </row>
    <row r="91" spans="1:22">
      <c r="A91" s="717" t="str">
        <f>Sheet1!B70</f>
        <v>D3-029</v>
      </c>
      <c r="B91" s="717">
        <f>Sheet1!E70</f>
        <v>15.82</v>
      </c>
      <c r="C91" s="24">
        <f t="shared" si="23"/>
        <v>1.01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t="s">
        <v>3441</v>
      </c>
      <c r="Q91" s="24">
        <f t="shared" si="30"/>
        <v>0.55000000000000004</v>
      </c>
      <c r="R91" s="715">
        <f t="shared" ca="1" si="31"/>
        <v>21896</v>
      </c>
      <c r="S91" s="361">
        <f t="shared" ca="1" si="22"/>
        <v>35</v>
      </c>
      <c r="V91" s="799">
        <f>Sheet1!C70</f>
        <v>3</v>
      </c>
    </row>
    <row r="92" spans="1:22">
      <c r="A92" s="717" t="str">
        <f>Sheet1!B71</f>
        <v>D3-029-1</v>
      </c>
      <c r="B92" s="717">
        <f>Sheet1!E71</f>
        <v>19.16</v>
      </c>
      <c r="C92" s="24">
        <f t="shared" si="23"/>
        <v>1.01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t="s">
        <v>3441</v>
      </c>
      <c r="Q92" s="24">
        <f t="shared" si="30"/>
        <v>0.55000000000000004</v>
      </c>
      <c r="R92" s="715">
        <f t="shared" ca="1" si="31"/>
        <v>21896</v>
      </c>
      <c r="S92" s="361">
        <f t="shared" ca="1" si="22"/>
        <v>42</v>
      </c>
      <c r="V92" s="799">
        <f>Sheet1!C71</f>
        <v>3</v>
      </c>
    </row>
    <row r="93" spans="1:22">
      <c r="A93" s="717" t="str">
        <f>Sheet1!B72</f>
        <v>D3-030</v>
      </c>
      <c r="B93" s="717">
        <f>Sheet1!E72</f>
        <v>17.36</v>
      </c>
      <c r="C93" s="24">
        <f t="shared" si="23"/>
        <v>1.01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t="s">
        <v>3441</v>
      </c>
      <c r="Q93" s="24">
        <f t="shared" si="30"/>
        <v>0.55000000000000004</v>
      </c>
      <c r="R93" s="715">
        <f t="shared" ca="1" si="31"/>
        <v>21896</v>
      </c>
      <c r="S93" s="361">
        <f t="shared" ca="1" si="22"/>
        <v>38</v>
      </c>
      <c r="V93" s="799">
        <f>Sheet1!C72</f>
        <v>3</v>
      </c>
    </row>
    <row r="94" spans="1:22">
      <c r="A94" s="717" t="str">
        <f>Sheet1!B73</f>
        <v>D3-030-1</v>
      </c>
      <c r="B94" s="717">
        <f>Sheet1!E73</f>
        <v>17.36</v>
      </c>
      <c r="C94" s="24">
        <f t="shared" si="23"/>
        <v>1.01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t="s">
        <v>3441</v>
      </c>
      <c r="Q94" s="24">
        <f t="shared" si="30"/>
        <v>0.55000000000000004</v>
      </c>
      <c r="R94" s="715">
        <f t="shared" ca="1" si="31"/>
        <v>21896</v>
      </c>
      <c r="S94" s="361">
        <f t="shared" ca="1" si="22"/>
        <v>38</v>
      </c>
      <c r="V94" s="799">
        <f>Sheet1!C73</f>
        <v>3</v>
      </c>
    </row>
    <row r="95" spans="1:22">
      <c r="A95" s="717" t="str">
        <f>Sheet1!B74</f>
        <v>D3-031</v>
      </c>
      <c r="B95" s="717">
        <f>Sheet1!E74</f>
        <v>19.64</v>
      </c>
      <c r="C95" s="24">
        <f t="shared" si="23"/>
        <v>1.01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t="s">
        <v>3441</v>
      </c>
      <c r="Q95" s="24">
        <f t="shared" si="30"/>
        <v>0.55000000000000004</v>
      </c>
      <c r="R95" s="715">
        <f t="shared" ca="1" si="31"/>
        <v>21896</v>
      </c>
      <c r="S95" s="361">
        <f t="shared" ca="1" si="22"/>
        <v>43</v>
      </c>
      <c r="V95" s="799">
        <f>Sheet1!C74</f>
        <v>3</v>
      </c>
    </row>
    <row r="96" spans="1:22">
      <c r="A96" s="717" t="str">
        <f>Sheet1!B75</f>
        <v>D3-032</v>
      </c>
      <c r="B96" s="717">
        <f>Sheet1!E75</f>
        <v>25.25</v>
      </c>
      <c r="C96" s="24">
        <f t="shared" si="23"/>
        <v>1.01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t="s">
        <v>3441</v>
      </c>
      <c r="Q96" s="24">
        <f t="shared" si="30"/>
        <v>0.55000000000000004</v>
      </c>
      <c r="R96" s="715">
        <f t="shared" ca="1" si="31"/>
        <v>21896</v>
      </c>
      <c r="S96" s="361">
        <f t="shared" ca="1" si="22"/>
        <v>55</v>
      </c>
      <c r="V96" s="799">
        <f>Sheet1!C75</f>
        <v>3</v>
      </c>
    </row>
    <row r="97" spans="1:22">
      <c r="A97" s="717" t="str">
        <f>Sheet1!B76</f>
        <v>D3-038</v>
      </c>
      <c r="B97" s="717">
        <f>Sheet1!E76</f>
        <v>18.7</v>
      </c>
      <c r="C97" s="24">
        <f t="shared" si="23"/>
        <v>1.01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t="s">
        <v>3441</v>
      </c>
      <c r="Q97" s="24">
        <f t="shared" si="30"/>
        <v>0.55000000000000004</v>
      </c>
      <c r="R97" s="715">
        <f t="shared" ca="1" si="31"/>
        <v>21896</v>
      </c>
      <c r="S97" s="361">
        <f t="shared" ca="1" si="22"/>
        <v>41</v>
      </c>
      <c r="V97" s="799">
        <f>Sheet1!C76</f>
        <v>3</v>
      </c>
    </row>
    <row r="98" spans="1:22">
      <c r="A98" s="717" t="str">
        <f>Sheet1!B77</f>
        <v>D3-038-1</v>
      </c>
      <c r="B98" s="717">
        <f>Sheet1!E77</f>
        <v>22.19</v>
      </c>
      <c r="C98" s="24">
        <f t="shared" si="23"/>
        <v>1.01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t="s">
        <v>3441</v>
      </c>
      <c r="Q98" s="24">
        <f t="shared" si="30"/>
        <v>0.55000000000000004</v>
      </c>
      <c r="R98" s="715">
        <f t="shared" ca="1" si="31"/>
        <v>21896</v>
      </c>
      <c r="S98" s="361">
        <f t="shared" ca="1" si="22"/>
        <v>49</v>
      </c>
      <c r="V98" s="799">
        <f>Sheet1!C77</f>
        <v>3</v>
      </c>
    </row>
    <row r="99" spans="1:22">
      <c r="A99" s="717" t="str">
        <f>Sheet1!B78</f>
        <v>D3-039</v>
      </c>
      <c r="B99" s="717">
        <f>Sheet1!E78</f>
        <v>35.42</v>
      </c>
      <c r="C99" s="24">
        <f t="shared" si="23"/>
        <v>1.01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t="s">
        <v>3441</v>
      </c>
      <c r="Q99" s="24">
        <f t="shared" si="30"/>
        <v>0.55000000000000004</v>
      </c>
      <c r="R99" s="715">
        <f t="shared" ca="1" si="31"/>
        <v>21896</v>
      </c>
      <c r="S99" s="361">
        <f t="shared" ca="1" si="22"/>
        <v>78</v>
      </c>
      <c r="V99" s="799">
        <f>Sheet1!C78</f>
        <v>3</v>
      </c>
    </row>
    <row r="100" spans="1:22">
      <c r="A100" s="717" t="str">
        <f>Sheet1!B79</f>
        <v>D3-040</v>
      </c>
      <c r="B100" s="717">
        <f>Sheet1!E79</f>
        <v>29.39</v>
      </c>
      <c r="C100" s="24">
        <f t="shared" si="23"/>
        <v>1.01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t="s">
        <v>3441</v>
      </c>
      <c r="Q100" s="24">
        <f t="shared" si="30"/>
        <v>0.55000000000000004</v>
      </c>
      <c r="R100" s="715">
        <f t="shared" ca="1" si="31"/>
        <v>21896</v>
      </c>
      <c r="S100" s="361">
        <f t="shared" ca="1" si="22"/>
        <v>64</v>
      </c>
      <c r="V100" s="799">
        <f>Sheet1!C79</f>
        <v>3</v>
      </c>
    </row>
    <row r="101" spans="1:22">
      <c r="A101" s="717" t="str">
        <f>Sheet1!B80</f>
        <v>D3-122</v>
      </c>
      <c r="B101" s="717">
        <f>Sheet1!E80</f>
        <v>26.07</v>
      </c>
      <c r="C101" s="24">
        <f t="shared" si="23"/>
        <v>1.01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t="s">
        <v>3441</v>
      </c>
      <c r="Q101" s="24">
        <f t="shared" si="30"/>
        <v>0.55000000000000004</v>
      </c>
      <c r="R101" s="715">
        <f t="shared" ca="1" si="31"/>
        <v>21896</v>
      </c>
      <c r="S101" s="361">
        <f t="shared" ca="1" si="22"/>
        <v>57</v>
      </c>
      <c r="V101" s="799">
        <f>Sheet1!C80</f>
        <v>3</v>
      </c>
    </row>
    <row r="102" spans="1:22">
      <c r="A102" s="717" t="str">
        <f>Sheet1!B81</f>
        <v>D3-123</v>
      </c>
      <c r="B102" s="717">
        <f>Sheet1!E81</f>
        <v>22.18</v>
      </c>
      <c r="C102" s="24">
        <f t="shared" si="23"/>
        <v>1.01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t="s">
        <v>3441</v>
      </c>
      <c r="Q102" s="24">
        <f t="shared" si="30"/>
        <v>0.55000000000000004</v>
      </c>
      <c r="R102" s="715">
        <f t="shared" ca="1" si="31"/>
        <v>21896</v>
      </c>
      <c r="S102" s="361">
        <f t="shared" ca="1" si="22"/>
        <v>49</v>
      </c>
      <c r="V102" s="799">
        <f>Sheet1!C81</f>
        <v>3</v>
      </c>
    </row>
    <row r="103" spans="1:22">
      <c r="A103" s="717" t="str">
        <f>Sheet1!B82</f>
        <v>D3-123-1</v>
      </c>
      <c r="B103" s="717">
        <f>Sheet1!E82</f>
        <v>14.35</v>
      </c>
      <c r="C103" s="24">
        <f t="shared" si="23"/>
        <v>1.01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t="s">
        <v>3441</v>
      </c>
      <c r="Q103" s="24">
        <f t="shared" si="30"/>
        <v>0.55000000000000004</v>
      </c>
      <c r="R103" s="715">
        <f t="shared" ca="1" si="31"/>
        <v>21896</v>
      </c>
      <c r="S103" s="361">
        <f t="shared" ca="1" si="22"/>
        <v>31</v>
      </c>
      <c r="V103" s="799">
        <f>Sheet1!C82</f>
        <v>3</v>
      </c>
    </row>
    <row r="104" spans="1:22">
      <c r="A104" s="717" t="str">
        <f>Sheet1!B83</f>
        <v>D3-124</v>
      </c>
      <c r="B104" s="717">
        <f>Sheet1!E83</f>
        <v>22.18</v>
      </c>
      <c r="C104" s="24">
        <f t="shared" si="23"/>
        <v>1.01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t="s">
        <v>3441</v>
      </c>
      <c r="Q104" s="24">
        <f t="shared" si="30"/>
        <v>0.55000000000000004</v>
      </c>
      <c r="R104" s="715">
        <f t="shared" ca="1" si="31"/>
        <v>21896</v>
      </c>
      <c r="S104" s="361">
        <f t="shared" ca="1" si="22"/>
        <v>49</v>
      </c>
      <c r="V104" s="799">
        <f>Sheet1!C83</f>
        <v>3</v>
      </c>
    </row>
    <row r="105" spans="1:22">
      <c r="A105" s="717" t="str">
        <f>Sheet1!B84</f>
        <v>D3-124-1</v>
      </c>
      <c r="B105" s="717">
        <f>Sheet1!E84</f>
        <v>21.37</v>
      </c>
      <c r="C105" s="24">
        <f t="shared" si="23"/>
        <v>1.01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t="s">
        <v>3441</v>
      </c>
      <c r="Q105" s="24">
        <f t="shared" si="30"/>
        <v>0.55000000000000004</v>
      </c>
      <c r="R105" s="715">
        <f t="shared" ca="1" si="31"/>
        <v>21896</v>
      </c>
      <c r="S105" s="361">
        <f t="shared" ca="1" si="22"/>
        <v>47</v>
      </c>
      <c r="V105" s="799">
        <f>Sheet1!C84</f>
        <v>3</v>
      </c>
    </row>
    <row r="106" spans="1:22">
      <c r="A106" s="717" t="str">
        <f>Sheet1!B85</f>
        <v>D3-125</v>
      </c>
      <c r="B106" s="717">
        <f>Sheet1!E85</f>
        <v>22.18</v>
      </c>
      <c r="C106" s="24">
        <f t="shared" si="23"/>
        <v>1.01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t="s">
        <v>3441</v>
      </c>
      <c r="Q106" s="24">
        <f t="shared" si="30"/>
        <v>0.55000000000000004</v>
      </c>
      <c r="R106" s="715">
        <f t="shared" ca="1" si="31"/>
        <v>21896</v>
      </c>
      <c r="S106" s="361">
        <f t="shared" ca="1" si="22"/>
        <v>49</v>
      </c>
      <c r="V106" s="799">
        <f>Sheet1!C85</f>
        <v>3</v>
      </c>
    </row>
    <row r="107" spans="1:22">
      <c r="A107" s="717" t="str">
        <f>Sheet1!B86</f>
        <v>D3-125-1</v>
      </c>
      <c r="B107" s="717">
        <f>Sheet1!E86</f>
        <v>21.37</v>
      </c>
      <c r="C107" s="24">
        <f t="shared" si="23"/>
        <v>1.01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t="s">
        <v>3441</v>
      </c>
      <c r="Q107" s="24">
        <f t="shared" si="30"/>
        <v>0.55000000000000004</v>
      </c>
      <c r="R107" s="715">
        <f t="shared" ca="1" si="31"/>
        <v>21896</v>
      </c>
      <c r="S107" s="361">
        <f t="shared" ca="1" si="22"/>
        <v>47</v>
      </c>
      <c r="V107" s="799">
        <f>Sheet1!C86</f>
        <v>3</v>
      </c>
    </row>
    <row r="108" spans="1:22">
      <c r="A108" s="717" t="str">
        <f>Sheet1!B87</f>
        <v>D3-126</v>
      </c>
      <c r="B108" s="717">
        <f>Sheet1!E87</f>
        <v>22.17</v>
      </c>
      <c r="C108" s="24">
        <f t="shared" si="23"/>
        <v>1.01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t="s">
        <v>3441</v>
      </c>
      <c r="Q108" s="24">
        <f t="shared" si="30"/>
        <v>0.55000000000000004</v>
      </c>
      <c r="R108" s="715">
        <f t="shared" ca="1" si="31"/>
        <v>21896</v>
      </c>
      <c r="S108" s="361">
        <f t="shared" ca="1" si="22"/>
        <v>49</v>
      </c>
      <c r="V108" s="799">
        <f>Sheet1!C87</f>
        <v>3</v>
      </c>
    </row>
    <row r="109" spans="1:22">
      <c r="A109" s="717" t="str">
        <f>Sheet1!B88</f>
        <v>D3-126-1</v>
      </c>
      <c r="B109" s="717">
        <f>Sheet1!E88</f>
        <v>21.37</v>
      </c>
      <c r="C109" s="24">
        <f t="shared" si="23"/>
        <v>1.01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t="s">
        <v>3441</v>
      </c>
      <c r="Q109" s="24">
        <f t="shared" si="30"/>
        <v>0.55000000000000004</v>
      </c>
      <c r="R109" s="715">
        <f t="shared" ca="1" si="31"/>
        <v>21896</v>
      </c>
      <c r="S109" s="361">
        <f t="shared" ca="1" si="22"/>
        <v>47</v>
      </c>
      <c r="V109" s="799">
        <f>Sheet1!C88</f>
        <v>3</v>
      </c>
    </row>
    <row r="110" spans="1:22">
      <c r="A110" s="717" t="str">
        <f>Sheet1!B89</f>
        <v>D3-127</v>
      </c>
      <c r="B110" s="717">
        <f>Sheet1!E89</f>
        <v>22.18</v>
      </c>
      <c r="C110" s="24">
        <f t="shared" si="23"/>
        <v>1.01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t="s">
        <v>3441</v>
      </c>
      <c r="Q110" s="24">
        <f t="shared" si="30"/>
        <v>0.55000000000000004</v>
      </c>
      <c r="R110" s="715">
        <f t="shared" ca="1" si="31"/>
        <v>21896</v>
      </c>
      <c r="S110" s="361">
        <f t="shared" ca="1" si="22"/>
        <v>49</v>
      </c>
      <c r="V110" s="799">
        <f>Sheet1!C89</f>
        <v>3</v>
      </c>
    </row>
    <row r="111" spans="1:22">
      <c r="A111" s="717" t="str">
        <f>Sheet1!B90</f>
        <v>D3-127-1</v>
      </c>
      <c r="B111" s="717">
        <f>Sheet1!E90</f>
        <v>21.38</v>
      </c>
      <c r="C111" s="24">
        <f t="shared" si="23"/>
        <v>1.01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t="s">
        <v>3441</v>
      </c>
      <c r="Q111" s="24">
        <f t="shared" si="30"/>
        <v>0.55000000000000004</v>
      </c>
      <c r="R111" s="715">
        <f t="shared" ca="1" si="31"/>
        <v>21896</v>
      </c>
      <c r="S111" s="361">
        <f t="shared" ca="1" si="22"/>
        <v>47</v>
      </c>
      <c r="V111" s="799">
        <f>Sheet1!C90</f>
        <v>3</v>
      </c>
    </row>
    <row r="112" spans="1:22">
      <c r="A112" s="717" t="str">
        <f>Sheet1!B91</f>
        <v>D3-128</v>
      </c>
      <c r="B112" s="717">
        <f>Sheet1!E91</f>
        <v>22.18</v>
      </c>
      <c r="C112" s="24">
        <f t="shared" si="23"/>
        <v>1.01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t="s">
        <v>3441</v>
      </c>
      <c r="Q112" s="24">
        <f t="shared" si="30"/>
        <v>0.55000000000000004</v>
      </c>
      <c r="R112" s="715">
        <f t="shared" ca="1" si="31"/>
        <v>21896</v>
      </c>
      <c r="S112" s="361">
        <f t="shared" ca="1" si="22"/>
        <v>49</v>
      </c>
      <c r="V112" s="799">
        <f>Sheet1!C91</f>
        <v>3</v>
      </c>
    </row>
    <row r="113" spans="1:22">
      <c r="A113" s="717" t="str">
        <f>Sheet1!B92</f>
        <v>D3-128-1</v>
      </c>
      <c r="B113" s="717">
        <f>Sheet1!E92</f>
        <v>21.37</v>
      </c>
      <c r="C113" s="24">
        <f t="shared" si="23"/>
        <v>1.01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t="s">
        <v>3441</v>
      </c>
      <c r="Q113" s="24">
        <f t="shared" si="30"/>
        <v>0.55000000000000004</v>
      </c>
      <c r="R113" s="715">
        <f t="shared" ca="1" si="31"/>
        <v>21896</v>
      </c>
      <c r="S113" s="361">
        <f t="shared" ca="1" si="22"/>
        <v>47</v>
      </c>
      <c r="V113" s="799">
        <f>Sheet1!C92</f>
        <v>3</v>
      </c>
    </row>
    <row r="114" spans="1:22">
      <c r="A114" s="717" t="str">
        <f>Sheet1!B93</f>
        <v>D3-129</v>
      </c>
      <c r="B114" s="717">
        <f>Sheet1!E93</f>
        <v>22.18</v>
      </c>
      <c r="C114" s="24">
        <f t="shared" si="23"/>
        <v>1.01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t="s">
        <v>3441</v>
      </c>
      <c r="Q114" s="24">
        <f t="shared" si="30"/>
        <v>0.55000000000000004</v>
      </c>
      <c r="R114" s="715">
        <f t="shared" ca="1" si="31"/>
        <v>21896</v>
      </c>
      <c r="S114" s="361">
        <f t="shared" ca="1" si="22"/>
        <v>49</v>
      </c>
      <c r="V114" s="799">
        <f>Sheet1!C93</f>
        <v>3</v>
      </c>
    </row>
    <row r="115" spans="1:22">
      <c r="A115" s="717" t="str">
        <f>Sheet1!B94</f>
        <v>D3-129-1</v>
      </c>
      <c r="B115" s="717">
        <f>Sheet1!E94</f>
        <v>19.53</v>
      </c>
      <c r="C115" s="24">
        <f t="shared" si="23"/>
        <v>1.01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t="s">
        <v>3441</v>
      </c>
      <c r="Q115" s="24">
        <f t="shared" si="30"/>
        <v>0.55000000000000004</v>
      </c>
      <c r="R115" s="715">
        <f t="shared" ca="1" si="31"/>
        <v>21896</v>
      </c>
      <c r="S115" s="361">
        <f t="shared" ca="1" si="22"/>
        <v>43</v>
      </c>
      <c r="V115" s="799">
        <f>Sheet1!C94</f>
        <v>3</v>
      </c>
    </row>
    <row r="116" spans="1:22">
      <c r="A116" s="717" t="str">
        <f>Sheet1!B95</f>
        <v>D3-130</v>
      </c>
      <c r="B116" s="717">
        <f>Sheet1!E95</f>
        <v>20.56</v>
      </c>
      <c r="C116" s="24">
        <f t="shared" si="23"/>
        <v>1.01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t="s">
        <v>3441</v>
      </c>
      <c r="Q116" s="24">
        <f t="shared" si="30"/>
        <v>0.55000000000000004</v>
      </c>
      <c r="R116" s="715">
        <f t="shared" ca="1" si="31"/>
        <v>21896</v>
      </c>
      <c r="S116" s="361">
        <f t="shared" ca="1" si="22"/>
        <v>45</v>
      </c>
      <c r="V116" s="799">
        <f>Sheet1!C95</f>
        <v>3</v>
      </c>
    </row>
    <row r="117" spans="1:22">
      <c r="A117" s="717" t="str">
        <f>Sheet1!B96</f>
        <v>D3-131</v>
      </c>
      <c r="B117" s="717">
        <f>Sheet1!E96</f>
        <v>38.58</v>
      </c>
      <c r="C117" s="24">
        <f t="shared" si="23"/>
        <v>1.01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t="s">
        <v>3441</v>
      </c>
      <c r="Q117" s="24">
        <f t="shared" si="30"/>
        <v>0.55000000000000004</v>
      </c>
      <c r="R117" s="715">
        <f t="shared" ca="1" si="31"/>
        <v>21896</v>
      </c>
      <c r="S117" s="361">
        <f t="shared" ca="1" si="22"/>
        <v>84</v>
      </c>
      <c r="V117" s="799">
        <f>Sheet1!C96</f>
        <v>3</v>
      </c>
    </row>
    <row r="118" spans="1:22">
      <c r="A118" s="717" t="str">
        <f>Sheet1!B97</f>
        <v>D3-132</v>
      </c>
      <c r="B118" s="717">
        <f>Sheet1!E97</f>
        <v>44.1</v>
      </c>
      <c r="C118" s="24">
        <f t="shared" si="23"/>
        <v>1.01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t="s">
        <v>3441</v>
      </c>
      <c r="Q118" s="24">
        <f t="shared" si="30"/>
        <v>0.55000000000000004</v>
      </c>
      <c r="R118" s="715">
        <f t="shared" ca="1" si="31"/>
        <v>21896</v>
      </c>
      <c r="S118" s="361">
        <f t="shared" ca="1" si="22"/>
        <v>97</v>
      </c>
      <c r="V118" s="799">
        <f>Sheet1!C97</f>
        <v>3</v>
      </c>
    </row>
    <row r="119" spans="1:22">
      <c r="A119" s="717" t="str">
        <f>Sheet1!B98</f>
        <v>D3-133</v>
      </c>
      <c r="B119" s="717">
        <f>Sheet1!E98</f>
        <v>44.57</v>
      </c>
      <c r="C119" s="24">
        <f t="shared" si="23"/>
        <v>1.01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t="s">
        <v>3441</v>
      </c>
      <c r="Q119" s="24">
        <f t="shared" si="30"/>
        <v>0.55000000000000004</v>
      </c>
      <c r="R119" s="715">
        <f t="shared" ca="1" si="31"/>
        <v>21896</v>
      </c>
      <c r="S119" s="361">
        <f t="shared" ca="1" si="22"/>
        <v>98</v>
      </c>
      <c r="V119" s="799">
        <f>Sheet1!C98</f>
        <v>3</v>
      </c>
    </row>
    <row r="120" spans="1:22">
      <c r="A120" s="717" t="str">
        <f>Sheet1!B99</f>
        <v>D3-134</v>
      </c>
      <c r="B120" s="717">
        <f>Sheet1!E99</f>
        <v>44.72</v>
      </c>
      <c r="C120" s="24">
        <f t="shared" si="23"/>
        <v>1.01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t="s">
        <v>3441</v>
      </c>
      <c r="Q120" s="24">
        <f t="shared" si="30"/>
        <v>0.55000000000000004</v>
      </c>
      <c r="R120" s="715">
        <f t="shared" ca="1" si="31"/>
        <v>21896</v>
      </c>
      <c r="S120" s="361">
        <f t="shared" ca="1" si="22"/>
        <v>98</v>
      </c>
      <c r="V120" s="799">
        <f>Sheet1!C99</f>
        <v>3</v>
      </c>
    </row>
    <row r="121" spans="1:22">
      <c r="A121" s="717" t="str">
        <f>Sheet1!B100</f>
        <v>D3-139</v>
      </c>
      <c r="B121" s="717">
        <f>Sheet1!E100</f>
        <v>26.23</v>
      </c>
      <c r="C121" s="24">
        <f t="shared" si="23"/>
        <v>1.01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t="s">
        <v>3441</v>
      </c>
      <c r="Q121" s="24">
        <f t="shared" si="30"/>
        <v>0.55000000000000004</v>
      </c>
      <c r="R121" s="715">
        <f t="shared" ca="1" si="31"/>
        <v>21896</v>
      </c>
      <c r="S121" s="361">
        <f t="shared" ca="1" si="22"/>
        <v>57</v>
      </c>
      <c r="V121" s="799">
        <f>Sheet1!C100</f>
        <v>3</v>
      </c>
    </row>
    <row r="122" spans="1:22">
      <c r="A122" s="717" t="str">
        <f>Sheet1!B101</f>
        <v>D3-139-1</v>
      </c>
      <c r="B122" s="717">
        <f>Sheet1!E101</f>
        <v>25.65</v>
      </c>
      <c r="C122" s="24">
        <f t="shared" si="23"/>
        <v>1.01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t="s">
        <v>3441</v>
      </c>
      <c r="Q122" s="24">
        <f t="shared" si="30"/>
        <v>0.55000000000000004</v>
      </c>
      <c r="R122" s="715">
        <f t="shared" ca="1" si="31"/>
        <v>21896</v>
      </c>
      <c r="S122" s="361">
        <f t="shared" ca="1" si="22"/>
        <v>56</v>
      </c>
      <c r="V122" s="799">
        <f>Sheet1!C101</f>
        <v>3</v>
      </c>
    </row>
    <row r="123" spans="1:22">
      <c r="A123" s="717" t="str">
        <f>Sheet1!B102</f>
        <v>D3-142</v>
      </c>
      <c r="B123" s="717">
        <f>Sheet1!E102</f>
        <v>20.12</v>
      </c>
      <c r="C123" s="24">
        <f t="shared" si="23"/>
        <v>1.01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t="s">
        <v>3441</v>
      </c>
      <c r="Q123" s="24">
        <f t="shared" si="30"/>
        <v>0.55000000000000004</v>
      </c>
      <c r="R123" s="715">
        <f t="shared" ca="1" si="31"/>
        <v>21896</v>
      </c>
      <c r="S123" s="361">
        <f t="shared" ref="S123:S186" ca="1" si="32">ROUND(R123*B123/10000,0)</f>
        <v>44</v>
      </c>
      <c r="V123" s="799">
        <f>Sheet1!C102</f>
        <v>3</v>
      </c>
    </row>
    <row r="124" spans="1:22">
      <c r="A124" s="717" t="str">
        <f>Sheet1!B103</f>
        <v>D3-142-1</v>
      </c>
      <c r="B124" s="717">
        <f>Sheet1!E103</f>
        <v>32.5</v>
      </c>
      <c r="C124" s="24">
        <f t="shared" si="23"/>
        <v>1.01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t="s">
        <v>3441</v>
      </c>
      <c r="Q124" s="24">
        <f t="shared" si="30"/>
        <v>0.55000000000000004</v>
      </c>
      <c r="R124" s="715">
        <f t="shared" ca="1" si="31"/>
        <v>21896</v>
      </c>
      <c r="S124" s="361">
        <f t="shared" ca="1" si="32"/>
        <v>71</v>
      </c>
      <c r="V124" s="799">
        <f>Sheet1!C103</f>
        <v>3</v>
      </c>
    </row>
    <row r="125" spans="1:22">
      <c r="A125" s="717" t="str">
        <f>Sheet1!B104</f>
        <v>D3-143</v>
      </c>
      <c r="B125" s="717">
        <f>Sheet1!E104</f>
        <v>26.82</v>
      </c>
      <c r="C125" s="24">
        <f t="shared" si="23"/>
        <v>1.01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t="s">
        <v>3441</v>
      </c>
      <c r="Q125" s="24">
        <f t="shared" si="30"/>
        <v>0.55000000000000004</v>
      </c>
      <c r="R125" s="715">
        <f t="shared" ca="1" si="31"/>
        <v>21896</v>
      </c>
      <c r="S125" s="361">
        <f t="shared" ca="1" si="32"/>
        <v>59</v>
      </c>
      <c r="V125" s="799">
        <f>Sheet1!C104</f>
        <v>3</v>
      </c>
    </row>
    <row r="126" spans="1:22">
      <c r="A126" s="717" t="str">
        <f>Sheet1!B105</f>
        <v>D3-143-1</v>
      </c>
      <c r="B126" s="717">
        <f>Sheet1!E105</f>
        <v>24.36</v>
      </c>
      <c r="C126" s="24">
        <f t="shared" si="23"/>
        <v>1.01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t="s">
        <v>3441</v>
      </c>
      <c r="Q126" s="24">
        <f t="shared" si="30"/>
        <v>0.55000000000000004</v>
      </c>
      <c r="R126" s="715">
        <f t="shared" ca="1" si="31"/>
        <v>21896</v>
      </c>
      <c r="S126" s="361">
        <f t="shared" ca="1" si="32"/>
        <v>53</v>
      </c>
      <c r="V126" s="799">
        <f>Sheet1!C105</f>
        <v>3</v>
      </c>
    </row>
    <row r="127" spans="1:22">
      <c r="A127" s="717" t="str">
        <f>Sheet1!B106</f>
        <v>D4-043</v>
      </c>
      <c r="B127" s="717">
        <f>Sheet1!E106</f>
        <v>24.8</v>
      </c>
      <c r="C127" s="24">
        <f t="shared" si="23"/>
        <v>1.01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t="s">
        <v>3442</v>
      </c>
      <c r="Q127" s="24">
        <f t="shared" si="30"/>
        <v>0.45</v>
      </c>
      <c r="R127" s="715">
        <f t="shared" ca="1" si="31"/>
        <v>17915</v>
      </c>
      <c r="S127" s="361">
        <f t="shared" ca="1" si="32"/>
        <v>44</v>
      </c>
      <c r="V127" s="799">
        <f>Sheet1!C106</f>
        <v>4</v>
      </c>
    </row>
    <row r="128" spans="1:22">
      <c r="A128" s="717" t="str">
        <f>Sheet1!B107</f>
        <v>D4-046</v>
      </c>
      <c r="B128" s="717">
        <f>Sheet1!E107</f>
        <v>21.5</v>
      </c>
      <c r="C128" s="24">
        <f t="shared" si="23"/>
        <v>1.01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t="s">
        <v>3442</v>
      </c>
      <c r="Q128" s="24">
        <f t="shared" si="30"/>
        <v>0.45</v>
      </c>
      <c r="R128" s="715">
        <f t="shared" ca="1" si="31"/>
        <v>17915</v>
      </c>
      <c r="S128" s="361">
        <f t="shared" ca="1" si="32"/>
        <v>39</v>
      </c>
      <c r="V128" s="799">
        <f>Sheet1!C107</f>
        <v>4</v>
      </c>
    </row>
    <row r="129" spans="1:22">
      <c r="A129" s="717" t="str">
        <f>Sheet1!B108</f>
        <v>D4-087</v>
      </c>
      <c r="B129" s="717">
        <f>Sheet1!E108</f>
        <v>22.75</v>
      </c>
      <c r="C129" s="24">
        <f t="shared" si="23"/>
        <v>1.01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t="s">
        <v>3442</v>
      </c>
      <c r="Q129" s="24">
        <f t="shared" si="30"/>
        <v>0.45</v>
      </c>
      <c r="R129" s="715">
        <f t="shared" ca="1" si="31"/>
        <v>17915</v>
      </c>
      <c r="S129" s="361">
        <f t="shared" ca="1" si="32"/>
        <v>41</v>
      </c>
      <c r="V129" s="799">
        <f>Sheet1!C108</f>
        <v>4</v>
      </c>
    </row>
    <row r="130" spans="1:22">
      <c r="A130" s="717" t="str">
        <f>Sheet1!B109</f>
        <v>D4-117</v>
      </c>
      <c r="B130" s="717">
        <f>Sheet1!E109</f>
        <v>37.9</v>
      </c>
      <c r="C130" s="24">
        <f t="shared" si="23"/>
        <v>1.01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t="s">
        <v>3442</v>
      </c>
      <c r="Q130" s="24">
        <f t="shared" si="30"/>
        <v>0.45</v>
      </c>
      <c r="R130" s="715">
        <f t="shared" ca="1" si="31"/>
        <v>17915</v>
      </c>
      <c r="S130" s="361">
        <f t="shared" ca="1" si="32"/>
        <v>68</v>
      </c>
      <c r="V130" s="799">
        <f>Sheet1!C109</f>
        <v>4</v>
      </c>
    </row>
    <row r="131" spans="1:22">
      <c r="A131" s="717" t="str">
        <f>Sheet1!B110</f>
        <v>D4-124</v>
      </c>
      <c r="B131" s="717">
        <f>Sheet1!E110</f>
        <v>32.47</v>
      </c>
      <c r="C131" s="24">
        <f t="shared" si="23"/>
        <v>1.01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t="s">
        <v>3442</v>
      </c>
      <c r="Q131" s="24">
        <f t="shared" si="30"/>
        <v>0.45</v>
      </c>
      <c r="R131" s="715">
        <f t="shared" ca="1" si="31"/>
        <v>17915</v>
      </c>
      <c r="S131" s="361">
        <f t="shared" ca="1" si="32"/>
        <v>58</v>
      </c>
      <c r="V131" s="799">
        <f>Sheet1!C110</f>
        <v>4</v>
      </c>
    </row>
    <row r="132" spans="1:22">
      <c r="A132" s="717"/>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c r="V132" s="799"/>
    </row>
    <row r="133" spans="1:22">
      <c r="A133" s="717"/>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c r="V133" s="799"/>
    </row>
    <row r="134" spans="1:22">
      <c r="A134" s="717"/>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c r="V134" s="799"/>
    </row>
    <row r="135" spans="1:22">
      <c r="A135" s="717"/>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c r="V135" s="799"/>
    </row>
    <row r="136" spans="1:22">
      <c r="A136" s="717"/>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c r="V136" s="799"/>
    </row>
    <row r="137" spans="1:22">
      <c r="A137" s="717"/>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c r="V137" s="799"/>
    </row>
    <row r="138" spans="1:22">
      <c r="A138" s="717"/>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c r="V138" s="799"/>
    </row>
    <row r="139" spans="1:22">
      <c r="A139" s="717"/>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c r="V139" s="799"/>
    </row>
    <row r="140" spans="1:22">
      <c r="A140" s="717"/>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c r="V140" s="799"/>
    </row>
    <row r="141" spans="1:22">
      <c r="A141" s="717"/>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c r="V141" s="799"/>
    </row>
    <row r="142" spans="1:22">
      <c r="A142" s="717"/>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c r="V142" s="799"/>
    </row>
    <row r="143" spans="1:22">
      <c r="A143" s="717"/>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c r="V143" s="799"/>
    </row>
    <row r="144" spans="1:22">
      <c r="A144" s="717"/>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717"/>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717"/>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717"/>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717"/>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717"/>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5"/>
      <c r="C2" s="3045"/>
      <c r="D2" s="3045"/>
      <c r="E2" s="3045"/>
    </row>
    <row r="3" spans="1:5" ht="18">
      <c r="A3" s="3046" t="str">
        <f>IF(项目基本情况!B9="房地产市场价值","估价结果一览表（市场价值不需“结果表-1”）","估价结果一览表")</f>
        <v>估价结果一览表</v>
      </c>
      <c r="B3" s="3046"/>
      <c r="C3" s="3046"/>
      <c r="D3" s="3046"/>
      <c r="E3" s="3046"/>
    </row>
    <row r="4" spans="1:5" ht="19.5" thickBot="1">
      <c r="A4" s="1963"/>
      <c r="B4" s="3044" t="s">
        <v>1629</v>
      </c>
      <c r="C4" s="3044"/>
      <c r="D4" s="3044"/>
      <c r="E4" s="1963"/>
    </row>
    <row r="5" spans="1:5" ht="16.5" thickTop="1">
      <c r="A5" s="1961"/>
      <c r="B5" s="3042" t="s">
        <v>1621</v>
      </c>
      <c r="C5" s="1964" t="s">
        <v>1622</v>
      </c>
      <c r="D5" s="1042">
        <f ca="1">结果表!H101</f>
        <v>666</v>
      </c>
      <c r="E5" s="1961"/>
    </row>
    <row r="6" spans="1:5" ht="15.75">
      <c r="A6" s="1961"/>
      <c r="B6" s="3042"/>
      <c r="C6" s="1964" t="s">
        <v>1623</v>
      </c>
      <c r="D6" s="1042" t="str">
        <f ca="1">NUMBERSTRING(INT(D5*10000),2)&amp;"元整"</f>
        <v>陆佰陆拾陆万元整</v>
      </c>
      <c r="E6" s="1961"/>
    </row>
    <row r="7" spans="1:5" ht="15.75">
      <c r="A7" s="1961"/>
      <c r="B7" s="3047"/>
      <c r="C7" s="1965" t="s">
        <v>1624</v>
      </c>
      <c r="D7" s="1043">
        <f ca="1">结果表!H102</f>
        <v>39429</v>
      </c>
      <c r="E7" s="1961"/>
    </row>
    <row r="8" spans="1:5" ht="15.75">
      <c r="A8" s="1961"/>
      <c r="B8" s="3048" t="str">
        <f>结果表!E103</f>
        <v>2.估价师知悉的法定优先受偿款</v>
      </c>
      <c r="C8" s="1966" t="s">
        <v>1625</v>
      </c>
      <c r="D8" s="1043">
        <f>结果表!H103</f>
        <v>0</v>
      </c>
      <c r="E8" s="1961"/>
    </row>
    <row r="9" spans="1:5" ht="15.75">
      <c r="A9" s="1961"/>
      <c r="B9" s="3050"/>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41" t="str">
        <f>结果表!E107</f>
        <v>3.房地产抵押价值</v>
      </c>
      <c r="C13" s="1969" t="s">
        <v>1622</v>
      </c>
      <c r="D13" s="1045">
        <f ca="1">结果表!H107</f>
        <v>666</v>
      </c>
      <c r="E13" s="1961"/>
    </row>
    <row r="14" spans="1:5" ht="15.75">
      <c r="A14" s="1961"/>
      <c r="B14" s="3042"/>
      <c r="C14" s="1964" t="s">
        <v>1623</v>
      </c>
      <c r="D14" s="1042" t="str">
        <f ca="1">NUMBERSTRING(INT(D13*10000),2)&amp;"元整"</f>
        <v>陆佰陆拾陆万元整</v>
      </c>
      <c r="E14" s="1961"/>
    </row>
    <row r="15" spans="1:5" ht="15">
      <c r="A15" s="1961"/>
      <c r="B15" s="3047"/>
      <c r="C15" s="1965" t="s">
        <v>1633</v>
      </c>
      <c r="D15" s="1054">
        <f ca="1">结果表!H108</f>
        <v>1378</v>
      </c>
      <c r="E15" s="1961"/>
    </row>
    <row r="16" spans="1:5" ht="15">
      <c r="A16" s="1961"/>
      <c r="B16" s="3048" t="str">
        <f>结果表!E109</f>
        <v>——</v>
      </c>
      <c r="C16" s="1969" t="s">
        <v>1634</v>
      </c>
      <c r="D16" s="1970" t="str">
        <f>结果表!H109</f>
        <v>——</v>
      </c>
      <c r="E16" s="1961"/>
    </row>
    <row r="17" spans="1:5" ht="15.75">
      <c r="A17" s="1961"/>
      <c r="B17" s="3049"/>
      <c r="C17" s="1964" t="s">
        <v>1635</v>
      </c>
      <c r="D17" s="1042" t="e">
        <f>NUMBERSTRING(INT(D16*10000),2)&amp;"元整"</f>
        <v>#VALUE!</v>
      </c>
      <c r="E17" s="1961"/>
    </row>
    <row r="18" spans="1:5" ht="15">
      <c r="A18" s="1961"/>
      <c r="B18" s="3050"/>
      <c r="C18" s="1965" t="s">
        <v>1624</v>
      </c>
      <c r="D18" s="1054" t="str">
        <f>结果表!H110</f>
        <v>——</v>
      </c>
      <c r="E18" s="1961"/>
    </row>
    <row r="19" spans="1:5" ht="15.75">
      <c r="A19" s="1961"/>
      <c r="B19" s="3041" t="str">
        <f>结果表!E111</f>
        <v>——</v>
      </c>
      <c r="C19" s="1969" t="s">
        <v>1622</v>
      </c>
      <c r="D19" s="1043" t="str">
        <f>结果表!H111</f>
        <v>——</v>
      </c>
      <c r="E19" s="1961"/>
    </row>
    <row r="20" spans="1:5" ht="15.75">
      <c r="A20" s="1961"/>
      <c r="B20" s="3042"/>
      <c r="C20" s="1964" t="s">
        <v>1635</v>
      </c>
      <c r="D20" s="1042" t="e">
        <f>NUMBERSTRING(INT(D19*10000),2)&amp;"元整"</f>
        <v>#VALUE!</v>
      </c>
      <c r="E20" s="1961"/>
    </row>
    <row r="21" spans="1:5" ht="15.75" thickBot="1">
      <c r="A21" s="1961"/>
      <c r="B21" s="3043"/>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33701</v>
      </c>
      <c r="C2" s="2" t="s">
        <v>133</v>
      </c>
      <c r="D2" s="243"/>
      <c r="E2" s="243"/>
      <c r="F2" s="243"/>
      <c r="G2" s="243"/>
    </row>
    <row r="3" spans="1:7" s="244" customFormat="1" ht="18" customHeight="1" thickBot="1">
      <c r="A3" s="247" t="s">
        <v>85</v>
      </c>
      <c r="B3" s="248">
        <f ca="1">ROUND(B2*10000/'数据-汇总表'!E3,0)</f>
        <v>69717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100</v>
      </c>
      <c r="F9" s="265"/>
      <c r="G9" s="270"/>
    </row>
    <row r="10" spans="1:7" s="258" customFormat="1" ht="13.5" customHeight="1">
      <c r="A10" s="952" t="s">
        <v>801</v>
      </c>
      <c r="B10" s="268" t="s">
        <v>94</v>
      </c>
      <c r="C10" s="269">
        <f>ROUND(D10*E10/10000,0)</f>
        <v>48</v>
      </c>
      <c r="D10" s="1034">
        <f>'数据-汇总表'!E6</f>
        <v>4833.9999999999973</v>
      </c>
      <c r="E10" s="269">
        <f>'数据-取费表'!B28</f>
        <v>100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97</v>
      </c>
      <c r="D19" s="1038">
        <f>'数据-汇总表'!E3</f>
        <v>4833.9999999999973</v>
      </c>
      <c r="E19" s="255">
        <f>'数据-取费表'!B31</f>
        <v>200</v>
      </c>
      <c r="F19" s="275"/>
      <c r="G19" s="1" t="s">
        <v>1074</v>
      </c>
    </row>
    <row r="20" spans="1:7" s="258" customFormat="1" ht="13.5" customHeight="1">
      <c r="A20" s="950" t="s">
        <v>1057</v>
      </c>
      <c r="B20" s="254" t="s">
        <v>104</v>
      </c>
      <c r="C20" s="276">
        <f>ROUND((C5+C19)*F20,0)</f>
        <v>414</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2572</v>
      </c>
      <c r="D22" s="279">
        <f ca="1">C26</f>
        <v>1.1999999999999999E-3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2535</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12</v>
      </c>
      <c r="D24" s="282"/>
      <c r="E24" s="282"/>
      <c r="F24" s="283"/>
      <c r="G24" s="284" t="s">
        <v>109</v>
      </c>
    </row>
    <row r="25" spans="1:7" s="258" customFormat="1" ht="24">
      <c r="A25" s="953" t="s">
        <v>793</v>
      </c>
      <c r="B25" s="259" t="s">
        <v>1058</v>
      </c>
      <c r="C25" s="1357">
        <f ca="1">ROUND(IF('数据-取费表'!B22&lt;=1,C20*F22*'数据-取费表'!B23/2,C20*(POWER((1+F22),'数据-取费表'!B23/2)-1)),0)</f>
        <v>25</v>
      </c>
      <c r="D25" s="282"/>
      <c r="E25" s="285"/>
      <c r="F25" s="283"/>
      <c r="G25" s="286" t="s">
        <v>110</v>
      </c>
    </row>
    <row r="26" spans="1:7" s="258" customFormat="1">
      <c r="A26" s="953" t="s">
        <v>795</v>
      </c>
      <c r="B26" s="259" t="s">
        <v>1060</v>
      </c>
      <c r="C26" s="282">
        <f ca="1">ROUND(IF('数据-取费表'!B22&lt;=1,F21*F22*'数据-取费表'!B23/2,F21*(POWER((1+F22),'数据-取费表'!B23/2)-1)),4)</f>
        <v>1.1999999999999999E-3</v>
      </c>
      <c r="D26" s="282"/>
      <c r="E26" s="285"/>
      <c r="F26" s="283"/>
      <c r="G26" s="287"/>
    </row>
    <row r="27" spans="1:7" s="258" customFormat="1" ht="24.75">
      <c r="A27" s="950" t="s">
        <v>787</v>
      </c>
      <c r="B27" s="288" t="s">
        <v>112</v>
      </c>
      <c r="C27" s="289">
        <f>C28</f>
        <v>5280</v>
      </c>
      <c r="D27" s="279">
        <f>C29</f>
        <v>5.0000000000000001E-3</v>
      </c>
      <c r="E27" s="280" t="s">
        <v>126</v>
      </c>
      <c r="F27" s="290">
        <f>'数据-取费表'!Q16</f>
        <v>0.25</v>
      </c>
      <c r="G27" s="291" t="s">
        <v>1069</v>
      </c>
    </row>
    <row r="28" spans="1:7" s="258" customFormat="1" ht="13.5" customHeight="1">
      <c r="A28" s="953" t="s">
        <v>794</v>
      </c>
      <c r="B28" s="292" t="s">
        <v>1062</v>
      </c>
      <c r="C28" s="293">
        <f>ROUND((C5+C19+C20)*F27*'数据-取费表'!B21/'数据-取费表'!B20,0)</f>
        <v>5280</v>
      </c>
      <c r="D28" s="279"/>
      <c r="E28" s="280"/>
      <c r="F28" s="290"/>
      <c r="G28" s="291"/>
    </row>
    <row r="29" spans="1:7" s="258" customFormat="1" ht="13.5" customHeight="1">
      <c r="A29" s="953" t="s">
        <v>792</v>
      </c>
      <c r="B29" s="292" t="s">
        <v>1063</v>
      </c>
      <c r="C29" s="282">
        <f>ROUND(C21*F27*'数据-取费表'!B21/'数据-取费表'!B20,4)</f>
        <v>5.0000000000000001E-3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31476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1614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1451</v>
      </c>
      <c r="D34" s="261"/>
      <c r="E34" s="264"/>
      <c r="F34" s="301">
        <f>IF('数据-取费表'!B24=0,1,'数据-取费表'!N16)</f>
        <v>1</v>
      </c>
      <c r="G34" s="263" t="s">
        <v>116</v>
      </c>
    </row>
    <row r="35" spans="1:7" ht="13.5" customHeight="1">
      <c r="A35" s="953" t="s">
        <v>796</v>
      </c>
      <c r="B35" s="259" t="s">
        <v>60</v>
      </c>
      <c r="C35" s="264">
        <f>ROUND(C34*F35,0)</f>
        <v>44</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97</v>
      </c>
      <c r="D37" s="261">
        <f>'数据-汇总表'!E3</f>
        <v>4833.9999999999973</v>
      </c>
      <c r="E37" s="293">
        <f>'数据-取费表'!B35</f>
        <v>200</v>
      </c>
      <c r="F37" s="303"/>
      <c r="G37" s="305" t="s">
        <v>119</v>
      </c>
    </row>
    <row r="38" spans="1:7" ht="13.5" customHeight="1">
      <c r="A38" s="953" t="s">
        <v>799</v>
      </c>
      <c r="B38" s="259" t="s">
        <v>63</v>
      </c>
      <c r="C38" s="264">
        <f>ROUND(C34*F38,0)</f>
        <v>22</v>
      </c>
      <c r="D38" s="264"/>
      <c r="E38" s="264"/>
      <c r="F38" s="303">
        <f>'数据-取费表'!B36</f>
        <v>1.4999999999999999E-2</v>
      </c>
      <c r="G38" s="263" t="s">
        <v>117</v>
      </c>
    </row>
    <row r="39" spans="1:7" s="258" customFormat="1" ht="13.5" customHeight="1">
      <c r="A39" s="950" t="s">
        <v>783</v>
      </c>
      <c r="B39" s="254" t="s">
        <v>104</v>
      </c>
      <c r="C39" s="276">
        <f>ROUND(C33*F20,0)</f>
        <v>32</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98</v>
      </c>
      <c r="D41" s="279">
        <f ca="1">C44</f>
        <v>1.1999999999999999E-3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96</v>
      </c>
      <c r="D42" s="282"/>
      <c r="E42" s="282"/>
      <c r="F42" s="283"/>
      <c r="G42" s="3226" t="s">
        <v>121</v>
      </c>
    </row>
    <row r="43" spans="1:7" ht="13.5" customHeight="1">
      <c r="A43" s="953" t="s">
        <v>792</v>
      </c>
      <c r="B43" s="259" t="s">
        <v>1064</v>
      </c>
      <c r="C43" s="282">
        <f ca="1">ROUND(IF('数据-取费表'!B22&lt;=1,C39*F22*'数据-取费表'!B21/2,C39*(POWER((1+F22),'数据-取费表'!B21/2)-1)),0)</f>
        <v>2</v>
      </c>
      <c r="D43" s="282"/>
      <c r="E43" s="282"/>
      <c r="F43" s="283"/>
      <c r="G43" s="3227"/>
    </row>
    <row r="44" spans="1:7" ht="13.5" customHeight="1">
      <c r="A44" s="953" t="s">
        <v>793</v>
      </c>
      <c r="B44" s="259" t="s">
        <v>1066</v>
      </c>
      <c r="C44" s="282">
        <f ca="1">ROUND(IF('数据-取费表'!B22&lt;=1,C40*F22*'数据-取费表'!B21/2,C40*(POWER((1+F22),'数据-取费表'!B21/2)-1)),4)</f>
        <v>1.1999999999999999E-3</v>
      </c>
      <c r="D44" s="282"/>
      <c r="E44" s="282"/>
      <c r="F44" s="283"/>
      <c r="G44" s="3228"/>
    </row>
    <row r="45" spans="1:7" s="258" customFormat="1" ht="13.5" customHeight="1">
      <c r="A45" s="950" t="s">
        <v>786</v>
      </c>
      <c r="B45" s="288" t="s">
        <v>112</v>
      </c>
      <c r="C45" s="289">
        <f>C46</f>
        <v>412</v>
      </c>
      <c r="D45" s="279">
        <f>C47</f>
        <v>5.0000000000000001E-3</v>
      </c>
      <c r="E45" s="280" t="s">
        <v>129</v>
      </c>
      <c r="F45" s="290"/>
      <c r="G45" s="291" t="s">
        <v>1072</v>
      </c>
    </row>
    <row r="46" spans="1:7" s="258" customFormat="1" ht="13.5" customHeight="1">
      <c r="A46" s="953" t="s">
        <v>794</v>
      </c>
      <c r="B46" s="292" t="s">
        <v>1065</v>
      </c>
      <c r="C46" s="293">
        <f>ROUND((C33+C39)*F27,0)</f>
        <v>412</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2342</v>
      </c>
      <c r="D49" s="276"/>
      <c r="E49" s="276"/>
      <c r="F49" s="308"/>
      <c r="G49" s="278" t="s">
        <v>1073</v>
      </c>
    </row>
    <row r="50" spans="1:7" s="302" customFormat="1" ht="24">
      <c r="A50" s="950" t="s">
        <v>789</v>
      </c>
      <c r="B50" s="254" t="s">
        <v>124</v>
      </c>
      <c r="C50" s="276"/>
      <c r="D50" s="276"/>
      <c r="E50" s="276"/>
      <c r="F50" s="308">
        <f>IF('数据-取费表'!B24=0,'数据-取费表'!N16,1)</f>
        <v>0.95</v>
      </c>
      <c r="G50" s="291" t="s">
        <v>125</v>
      </c>
    </row>
    <row r="51" spans="1:7" ht="16.5" customHeight="1">
      <c r="A51" s="950" t="s">
        <v>790</v>
      </c>
      <c r="B51" s="254" t="s">
        <v>132</v>
      </c>
      <c r="C51" s="276">
        <f ca="1">ROUND(C49*F50,0)</f>
        <v>2225</v>
      </c>
      <c r="D51" s="276"/>
      <c r="E51" s="276"/>
      <c r="F51" s="308"/>
      <c r="G51" s="278" t="s">
        <v>64</v>
      </c>
    </row>
    <row r="52" spans="1:7" s="252" customFormat="1" ht="16.5" thickBot="1">
      <c r="A52" s="309" t="s">
        <v>65</v>
      </c>
      <c r="B52" s="310"/>
      <c r="C52" s="311">
        <f ca="1">C31+C51</f>
        <v>33701</v>
      </c>
      <c r="D52" s="310"/>
      <c r="E52" s="310"/>
      <c r="F52" s="310"/>
      <c r="G52" s="312"/>
    </row>
    <row r="55" spans="1:7" ht="15">
      <c r="B55" s="314" t="s">
        <v>66</v>
      </c>
      <c r="C55" s="315"/>
    </row>
    <row r="56" spans="1:7">
      <c r="B56" s="317" t="s">
        <v>67</v>
      </c>
      <c r="C56" s="318">
        <f ca="1">ROUND(C51/C52,3)</f>
        <v>6.6000000000000003E-2</v>
      </c>
    </row>
    <row r="57" spans="1:7">
      <c r="B57" s="317" t="s">
        <v>68</v>
      </c>
      <c r="C57" s="319">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65" t="s">
        <v>156</v>
      </c>
      <c r="B1" s="3365"/>
      <c r="C1" s="3365"/>
      <c r="D1" s="3365"/>
      <c r="E1" s="3365"/>
      <c r="F1" s="336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66" t="s">
        <v>169</v>
      </c>
      <c r="B2" s="3366"/>
      <c r="C2" s="3366"/>
      <c r="D2" s="3366"/>
      <c r="E2" s="3366"/>
      <c r="F2" s="336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6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6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65" t="s">
        <v>871</v>
      </c>
      <c r="B1" s="336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43202</v>
      </c>
      <c r="D1" s="1702" t="s">
        <v>1301</v>
      </c>
      <c r="E1" s="1697">
        <f>'数据-取费表'!B22</f>
        <v>2.5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K111"/>
  <sheetViews>
    <sheetView topLeftCell="A79" workbookViewId="0">
      <selection sqref="A1:H111"/>
    </sheetView>
  </sheetViews>
  <sheetFormatPr defaultRowHeight="13.5"/>
  <cols>
    <col min="1" max="1" width="4.875" style="2971" customWidth="1"/>
    <col min="2" max="2" width="9" style="2971" customWidth="1"/>
    <col min="3" max="3" width="5.375" style="2971" customWidth="1"/>
    <col min="4" max="4" width="32.375" style="2971" customWidth="1"/>
    <col min="5" max="5" width="9.375" style="2971" customWidth="1"/>
    <col min="6" max="6" width="11.25" style="2971" customWidth="1"/>
    <col min="7" max="7" width="9.75" style="2971" customWidth="1"/>
    <col min="8" max="8" width="8.375" style="2971" customWidth="1"/>
    <col min="9" max="16384" width="9" style="2971"/>
  </cols>
  <sheetData>
    <row r="1" spans="1:11" ht="20.25">
      <c r="A1" s="3379" t="s">
        <v>3075</v>
      </c>
      <c r="B1" s="3379"/>
      <c r="C1" s="3379"/>
      <c r="D1" s="3379"/>
      <c r="E1" s="3379"/>
      <c r="F1" s="3379"/>
      <c r="G1" s="3379"/>
      <c r="H1" s="3379"/>
      <c r="J1" s="2972" t="s">
        <v>3076</v>
      </c>
      <c r="K1" s="2972" t="s">
        <v>3077</v>
      </c>
    </row>
    <row r="2" spans="1:11" ht="14.25">
      <c r="A2" s="2973" t="s">
        <v>3078</v>
      </c>
      <c r="B2" s="2974" t="s">
        <v>3080</v>
      </c>
      <c r="C2" s="2975" t="s">
        <v>3081</v>
      </c>
      <c r="D2" s="2974" t="s">
        <v>3082</v>
      </c>
      <c r="E2" s="2976" t="s">
        <v>3083</v>
      </c>
      <c r="F2" s="3380" t="s">
        <v>3084</v>
      </c>
      <c r="G2" s="3380"/>
      <c r="H2" s="2977" t="s">
        <v>3085</v>
      </c>
      <c r="J2" s="2971">
        <v>41</v>
      </c>
      <c r="K2" s="2971">
        <v>67</v>
      </c>
    </row>
    <row r="3" spans="1:11" s="2948" customFormat="1" ht="19.899999999999999" customHeight="1">
      <c r="A3" s="2978">
        <v>1</v>
      </c>
      <c r="B3" s="2979" t="s">
        <v>3448</v>
      </c>
      <c r="C3" s="2980">
        <v>1</v>
      </c>
      <c r="D3" s="2949" t="s">
        <v>3086</v>
      </c>
      <c r="E3" s="2981">
        <v>168.91</v>
      </c>
      <c r="F3" s="3370" t="s">
        <v>3087</v>
      </c>
      <c r="G3" s="3370"/>
      <c r="H3" s="2982">
        <v>31.55</v>
      </c>
    </row>
    <row r="4" spans="1:11" s="2948" customFormat="1" ht="19.899999999999999" customHeight="1">
      <c r="A4" s="2978">
        <v>2</v>
      </c>
      <c r="B4" s="2983" t="s">
        <v>3088</v>
      </c>
      <c r="C4" s="2978">
        <v>1</v>
      </c>
      <c r="D4" s="2949" t="s">
        <v>3089</v>
      </c>
      <c r="E4" s="2983">
        <v>54.49</v>
      </c>
      <c r="F4" s="3370" t="s">
        <v>3090</v>
      </c>
      <c r="G4" s="3370"/>
      <c r="H4" s="2982">
        <v>10.17</v>
      </c>
    </row>
    <row r="5" spans="1:11" s="2948" customFormat="1" ht="19.899999999999999" customHeight="1">
      <c r="A5" s="2978">
        <v>3</v>
      </c>
      <c r="B5" s="2983" t="s">
        <v>3091</v>
      </c>
      <c r="C5" s="2978">
        <v>1</v>
      </c>
      <c r="D5" s="2949" t="s">
        <v>3092</v>
      </c>
      <c r="E5" s="2983">
        <v>78.400000000000006</v>
      </c>
      <c r="F5" s="3370" t="s">
        <v>3093</v>
      </c>
      <c r="G5" s="3370"/>
      <c r="H5" s="2982">
        <v>14.64</v>
      </c>
    </row>
    <row r="6" spans="1:11" s="2948" customFormat="1" ht="19.899999999999999" customHeight="1">
      <c r="A6" s="2978">
        <v>4</v>
      </c>
      <c r="B6" s="2983" t="s">
        <v>3094</v>
      </c>
      <c r="C6" s="2978">
        <v>1</v>
      </c>
      <c r="D6" s="2949" t="s">
        <v>3095</v>
      </c>
      <c r="E6" s="2983">
        <v>40.26</v>
      </c>
      <c r="F6" s="3370" t="s">
        <v>3096</v>
      </c>
      <c r="G6" s="3370"/>
      <c r="H6" s="2982">
        <v>7.52</v>
      </c>
    </row>
    <row r="7" spans="1:11" s="2948" customFormat="1" ht="19.899999999999999" customHeight="1">
      <c r="A7" s="2978">
        <v>5</v>
      </c>
      <c r="B7" s="2983" t="s">
        <v>3097</v>
      </c>
      <c r="C7" s="2978">
        <v>1</v>
      </c>
      <c r="D7" s="2949" t="s">
        <v>3098</v>
      </c>
      <c r="E7" s="2983">
        <v>52.64</v>
      </c>
      <c r="F7" s="3370" t="s">
        <v>3099</v>
      </c>
      <c r="G7" s="3370"/>
      <c r="H7" s="2982">
        <v>9.83</v>
      </c>
    </row>
    <row r="8" spans="1:11" s="2948" customFormat="1" ht="19.899999999999999" customHeight="1">
      <c r="A8" s="2978">
        <v>6</v>
      </c>
      <c r="B8" s="2983" t="s">
        <v>3100</v>
      </c>
      <c r="C8" s="2978">
        <v>1</v>
      </c>
      <c r="D8" s="2949" t="s">
        <v>3101</v>
      </c>
      <c r="E8" s="2983">
        <v>71.48</v>
      </c>
      <c r="F8" s="3370" t="s">
        <v>3102</v>
      </c>
      <c r="G8" s="3370"/>
      <c r="H8" s="2982">
        <v>13.35</v>
      </c>
    </row>
    <row r="9" spans="1:11" s="2948" customFormat="1" ht="19.899999999999999" customHeight="1">
      <c r="A9" s="2978">
        <v>7</v>
      </c>
      <c r="B9" s="2983" t="s">
        <v>3103</v>
      </c>
      <c r="C9" s="2978">
        <v>1</v>
      </c>
      <c r="D9" s="2949" t="s">
        <v>3104</v>
      </c>
      <c r="E9" s="2983">
        <v>42.13</v>
      </c>
      <c r="F9" s="3370" t="s">
        <v>3105</v>
      </c>
      <c r="G9" s="3370"/>
      <c r="H9" s="2982">
        <v>7.86</v>
      </c>
    </row>
    <row r="10" spans="1:11" s="2996" customFormat="1" ht="19.899999999999999" customHeight="1">
      <c r="A10" s="2978">
        <v>8</v>
      </c>
      <c r="B10" s="2983" t="s">
        <v>3106</v>
      </c>
      <c r="C10" s="2978">
        <v>1</v>
      </c>
      <c r="D10" s="2949" t="s">
        <v>3107</v>
      </c>
      <c r="E10" s="2983">
        <v>87.18</v>
      </c>
      <c r="F10" s="3376"/>
      <c r="G10" s="3377"/>
      <c r="H10" s="2982">
        <v>16.29</v>
      </c>
    </row>
    <row r="11" spans="1:11" s="2948" customFormat="1" ht="19.899999999999999" customHeight="1">
      <c r="A11" s="2978">
        <v>9</v>
      </c>
      <c r="B11" s="2984" t="s">
        <v>3108</v>
      </c>
      <c r="C11" s="2980">
        <v>1</v>
      </c>
      <c r="D11" s="2949" t="s">
        <v>3109</v>
      </c>
      <c r="E11" s="2981">
        <v>69</v>
      </c>
      <c r="F11" s="3378" t="s">
        <v>3110</v>
      </c>
      <c r="G11" s="3378"/>
      <c r="H11" s="2978">
        <v>12.88</v>
      </c>
    </row>
    <row r="12" spans="1:11" s="2948" customFormat="1" ht="19.899999999999999" customHeight="1">
      <c r="A12" s="2978">
        <v>10</v>
      </c>
      <c r="B12" s="2978" t="s">
        <v>3111</v>
      </c>
      <c r="C12" s="2978">
        <v>1</v>
      </c>
      <c r="D12" s="2949" t="s">
        <v>3112</v>
      </c>
      <c r="E12" s="2978">
        <v>364.9</v>
      </c>
      <c r="F12" s="3370" t="s">
        <v>3113</v>
      </c>
      <c r="G12" s="3370"/>
      <c r="H12" s="2978">
        <v>68.16</v>
      </c>
    </row>
    <row r="13" spans="1:11" s="2948" customFormat="1" ht="19.899999999999999" customHeight="1">
      <c r="A13" s="2978">
        <v>11</v>
      </c>
      <c r="B13" s="2978" t="s">
        <v>3114</v>
      </c>
      <c r="C13" s="2978">
        <v>1</v>
      </c>
      <c r="D13" s="2949" t="s">
        <v>3115</v>
      </c>
      <c r="E13" s="2978">
        <v>300.77999999999997</v>
      </c>
      <c r="F13" s="3370" t="s">
        <v>3116</v>
      </c>
      <c r="G13" s="3370"/>
      <c r="H13" s="2978">
        <v>56.18</v>
      </c>
    </row>
    <row r="14" spans="1:11" s="2948" customFormat="1" ht="19.899999999999999" customHeight="1">
      <c r="A14" s="2978">
        <v>12</v>
      </c>
      <c r="B14" s="2978" t="s">
        <v>3117</v>
      </c>
      <c r="C14" s="2978">
        <v>1</v>
      </c>
      <c r="D14" s="2949" t="s">
        <v>3118</v>
      </c>
      <c r="E14" s="2978">
        <v>320.88</v>
      </c>
      <c r="F14" s="3370" t="s">
        <v>3119</v>
      </c>
      <c r="G14" s="3370"/>
      <c r="H14" s="2978">
        <v>59.94</v>
      </c>
    </row>
    <row r="15" spans="1:11" s="2948" customFormat="1" ht="19.899999999999999" customHeight="1">
      <c r="A15" s="2978">
        <v>13</v>
      </c>
      <c r="B15" s="2949" t="s">
        <v>3120</v>
      </c>
      <c r="C15" s="2980">
        <v>2</v>
      </c>
      <c r="D15" s="2949" t="s">
        <v>3121</v>
      </c>
      <c r="E15" s="2949">
        <v>191.27</v>
      </c>
      <c r="F15" s="3370" t="s">
        <v>3122</v>
      </c>
      <c r="G15" s="3370"/>
      <c r="H15" s="2982">
        <v>35.72</v>
      </c>
    </row>
    <row r="16" spans="1:11" s="2996" customFormat="1" ht="19.899999999999999" customHeight="1">
      <c r="A16" s="2978">
        <v>14</v>
      </c>
      <c r="B16" s="2950" t="s">
        <v>3123</v>
      </c>
      <c r="C16" s="2980">
        <v>3</v>
      </c>
      <c r="D16" s="2951" t="s">
        <v>3124</v>
      </c>
      <c r="E16" s="2952">
        <v>72.510000000000005</v>
      </c>
      <c r="F16" s="3370"/>
      <c r="G16" s="3370"/>
      <c r="H16" s="2982">
        <v>13.54</v>
      </c>
    </row>
    <row r="17" spans="1:8" s="2996" customFormat="1">
      <c r="A17" s="2978">
        <v>15</v>
      </c>
      <c r="B17" s="2950" t="s">
        <v>3125</v>
      </c>
      <c r="C17" s="2980">
        <v>3</v>
      </c>
      <c r="D17" s="2951" t="s">
        <v>3126</v>
      </c>
      <c r="E17" s="2952">
        <v>46.67</v>
      </c>
      <c r="F17" s="3370"/>
      <c r="G17" s="3370"/>
      <c r="H17" s="2982">
        <v>8.7200000000000006</v>
      </c>
    </row>
    <row r="18" spans="1:8" s="2996" customFormat="1">
      <c r="A18" s="2978">
        <v>16</v>
      </c>
      <c r="B18" s="2950" t="s">
        <v>3127</v>
      </c>
      <c r="C18" s="2980">
        <v>3</v>
      </c>
      <c r="D18" s="2951" t="s">
        <v>3128</v>
      </c>
      <c r="E18" s="2952">
        <v>46.67</v>
      </c>
      <c r="F18" s="3370"/>
      <c r="G18" s="3370"/>
      <c r="H18" s="2982">
        <v>8.7200000000000006</v>
      </c>
    </row>
    <row r="19" spans="1:8" s="2996" customFormat="1">
      <c r="A19" s="2978">
        <v>17</v>
      </c>
      <c r="B19" s="2950" t="s">
        <v>3129</v>
      </c>
      <c r="C19" s="2980">
        <v>3</v>
      </c>
      <c r="D19" s="2951" t="s">
        <v>3130</v>
      </c>
      <c r="E19" s="2952">
        <v>46.67</v>
      </c>
      <c r="F19" s="3370"/>
      <c r="G19" s="3370"/>
      <c r="H19" s="2982">
        <v>8.7200000000000006</v>
      </c>
    </row>
    <row r="20" spans="1:8" s="2996" customFormat="1">
      <c r="A20" s="2978">
        <v>18</v>
      </c>
      <c r="B20" s="2950" t="s">
        <v>3131</v>
      </c>
      <c r="C20" s="2980">
        <v>3</v>
      </c>
      <c r="D20" s="2951" t="s">
        <v>3132</v>
      </c>
      <c r="E20" s="2952">
        <v>46.67</v>
      </c>
      <c r="F20" s="3370"/>
      <c r="G20" s="3370"/>
      <c r="H20" s="2982">
        <v>8.7200000000000006</v>
      </c>
    </row>
    <row r="21" spans="1:8" s="2996" customFormat="1">
      <c r="A21" s="2978">
        <v>19</v>
      </c>
      <c r="B21" s="2950" t="s">
        <v>3133</v>
      </c>
      <c r="C21" s="2980">
        <v>3</v>
      </c>
      <c r="D21" s="2951" t="s">
        <v>3134</v>
      </c>
      <c r="E21" s="2952">
        <v>46.67</v>
      </c>
      <c r="F21" s="3370"/>
      <c r="G21" s="3370"/>
      <c r="H21" s="2982">
        <v>8.7200000000000006</v>
      </c>
    </row>
    <row r="22" spans="1:8" s="2996" customFormat="1">
      <c r="A22" s="2978">
        <v>20</v>
      </c>
      <c r="B22" s="2950" t="s">
        <v>3135</v>
      </c>
      <c r="C22" s="2980">
        <v>3</v>
      </c>
      <c r="D22" s="2951" t="s">
        <v>3136</v>
      </c>
      <c r="E22" s="2952">
        <v>48.34</v>
      </c>
      <c r="F22" s="3370"/>
      <c r="G22" s="3370"/>
      <c r="H22" s="2982">
        <v>9.0299999999999994</v>
      </c>
    </row>
    <row r="23" spans="1:8" s="2996" customFormat="1">
      <c r="A23" s="2978">
        <v>21</v>
      </c>
      <c r="B23" s="2950" t="s">
        <v>3137</v>
      </c>
      <c r="C23" s="2980">
        <v>3</v>
      </c>
      <c r="D23" s="2951" t="s">
        <v>3138</v>
      </c>
      <c r="E23" s="2952">
        <v>69.989999999999995</v>
      </c>
      <c r="F23" s="3370"/>
      <c r="G23" s="3370"/>
      <c r="H23" s="2982">
        <v>13.07</v>
      </c>
    </row>
    <row r="24" spans="1:8" s="2996" customFormat="1">
      <c r="A24" s="2978">
        <v>22</v>
      </c>
      <c r="B24" s="2950" t="s">
        <v>3139</v>
      </c>
      <c r="C24" s="2980">
        <v>3</v>
      </c>
      <c r="D24" s="2951" t="s">
        <v>3140</v>
      </c>
      <c r="E24" s="2952">
        <v>44.73</v>
      </c>
      <c r="F24" s="3370"/>
      <c r="G24" s="3370"/>
      <c r="H24" s="2982">
        <v>8.36</v>
      </c>
    </row>
    <row r="25" spans="1:8" s="2996" customFormat="1">
      <c r="A25" s="2978">
        <v>23</v>
      </c>
      <c r="B25" s="2950" t="s">
        <v>3141</v>
      </c>
      <c r="C25" s="2980">
        <v>3</v>
      </c>
      <c r="D25" s="2951" t="s">
        <v>3142</v>
      </c>
      <c r="E25" s="2952">
        <v>62.77</v>
      </c>
      <c r="F25" s="3370"/>
      <c r="G25" s="3370"/>
      <c r="H25" s="2982">
        <v>11.73</v>
      </c>
    </row>
    <row r="26" spans="1:8" s="2996" customFormat="1">
      <c r="A26" s="2978">
        <v>24</v>
      </c>
      <c r="B26" s="2950" t="s">
        <v>3143</v>
      </c>
      <c r="C26" s="2980">
        <v>3</v>
      </c>
      <c r="D26" s="2951" t="s">
        <v>3144</v>
      </c>
      <c r="E26" s="2952">
        <v>60.93</v>
      </c>
      <c r="F26" s="3370"/>
      <c r="G26" s="3370"/>
      <c r="H26" s="2982">
        <v>11.38</v>
      </c>
    </row>
    <row r="27" spans="1:8" s="2996" customFormat="1">
      <c r="A27" s="2978">
        <v>25</v>
      </c>
      <c r="B27" s="2950" t="s">
        <v>3145</v>
      </c>
      <c r="C27" s="2980">
        <v>3</v>
      </c>
      <c r="D27" s="2951" t="s">
        <v>3146</v>
      </c>
      <c r="E27" s="2952">
        <v>61.49</v>
      </c>
      <c r="F27" s="3370"/>
      <c r="G27" s="3370"/>
      <c r="H27" s="2982">
        <v>11.49</v>
      </c>
    </row>
    <row r="28" spans="1:8" s="2996" customFormat="1">
      <c r="A28" s="2978">
        <v>26</v>
      </c>
      <c r="B28" s="2950" t="s">
        <v>3147</v>
      </c>
      <c r="C28" s="2980">
        <v>3</v>
      </c>
      <c r="D28" s="2951" t="s">
        <v>3148</v>
      </c>
      <c r="E28" s="2952">
        <v>55.64</v>
      </c>
      <c r="F28" s="3370"/>
      <c r="G28" s="3370"/>
      <c r="H28" s="2982">
        <v>10.39</v>
      </c>
    </row>
    <row r="29" spans="1:8" s="2996" customFormat="1">
      <c r="A29" s="2978">
        <v>27</v>
      </c>
      <c r="B29" s="2950" t="s">
        <v>3149</v>
      </c>
      <c r="C29" s="2980">
        <v>3</v>
      </c>
      <c r="D29" s="2951" t="s">
        <v>3150</v>
      </c>
      <c r="E29" s="2952">
        <v>42.44</v>
      </c>
      <c r="F29" s="3370"/>
      <c r="G29" s="3370"/>
      <c r="H29" s="2982">
        <v>7.93</v>
      </c>
    </row>
    <row r="30" spans="1:8" s="2996" customFormat="1">
      <c r="A30" s="2978">
        <v>28</v>
      </c>
      <c r="B30" s="2985" t="s">
        <v>3151</v>
      </c>
      <c r="C30" s="2953">
        <v>3</v>
      </c>
      <c r="D30" s="2949" t="s">
        <v>3152</v>
      </c>
      <c r="E30" s="2954">
        <v>176.07</v>
      </c>
      <c r="F30" s="3369"/>
      <c r="G30" s="3369"/>
      <c r="H30" s="2982">
        <v>32.89</v>
      </c>
    </row>
    <row r="31" spans="1:8" s="2996" customFormat="1">
      <c r="A31" s="2978">
        <v>29</v>
      </c>
      <c r="B31" s="2986" t="s">
        <v>3153</v>
      </c>
      <c r="C31" s="2953">
        <v>3</v>
      </c>
      <c r="D31" s="2949" t="s">
        <v>3154</v>
      </c>
      <c r="E31" s="2987">
        <v>17.489999999999998</v>
      </c>
      <c r="F31" s="3369"/>
      <c r="G31" s="3369"/>
      <c r="H31" s="2982">
        <v>3.27</v>
      </c>
    </row>
    <row r="32" spans="1:8" s="2996" customFormat="1">
      <c r="A32" s="2978">
        <v>30</v>
      </c>
      <c r="B32" s="2986" t="s">
        <v>3155</v>
      </c>
      <c r="C32" s="2953">
        <v>3</v>
      </c>
      <c r="D32" s="2949" t="s">
        <v>3156</v>
      </c>
      <c r="E32" s="2987">
        <v>16.14</v>
      </c>
      <c r="F32" s="3369"/>
      <c r="G32" s="3369"/>
      <c r="H32" s="2982">
        <v>3.01</v>
      </c>
    </row>
    <row r="33" spans="1:8" s="2996" customFormat="1">
      <c r="A33" s="2978">
        <v>31</v>
      </c>
      <c r="B33" s="2985" t="s">
        <v>3157</v>
      </c>
      <c r="C33" s="2953">
        <v>3</v>
      </c>
      <c r="D33" s="2949" t="s">
        <v>3158</v>
      </c>
      <c r="E33" s="2954">
        <v>17.2</v>
      </c>
      <c r="F33" s="3369"/>
      <c r="G33" s="3369"/>
      <c r="H33" s="2982">
        <v>3.21</v>
      </c>
    </row>
    <row r="34" spans="1:8" s="2996" customFormat="1">
      <c r="A34" s="2978">
        <v>32</v>
      </c>
      <c r="B34" s="2988" t="s">
        <v>3159</v>
      </c>
      <c r="C34" s="2953">
        <v>3</v>
      </c>
      <c r="D34" s="2949" t="s">
        <v>3160</v>
      </c>
      <c r="E34" s="2989">
        <v>48.26</v>
      </c>
      <c r="F34" s="3369"/>
      <c r="G34" s="3369"/>
      <c r="H34" s="2978">
        <v>9.01</v>
      </c>
    </row>
    <row r="35" spans="1:8" s="2996" customFormat="1">
      <c r="A35" s="2978">
        <v>33</v>
      </c>
      <c r="B35" s="2988" t="s">
        <v>3161</v>
      </c>
      <c r="C35" s="2953">
        <v>3</v>
      </c>
      <c r="D35" s="2949" t="s">
        <v>3162</v>
      </c>
      <c r="E35" s="2989">
        <v>46.93</v>
      </c>
      <c r="F35" s="3369"/>
      <c r="G35" s="3369"/>
      <c r="H35" s="2978">
        <v>8.77</v>
      </c>
    </row>
    <row r="36" spans="1:8" s="2996" customFormat="1">
      <c r="A36" s="2978">
        <v>34</v>
      </c>
      <c r="B36" s="2988" t="s">
        <v>3163</v>
      </c>
      <c r="C36" s="2953">
        <v>3</v>
      </c>
      <c r="D36" s="2949" t="s">
        <v>3164</v>
      </c>
      <c r="E36" s="2989">
        <v>45.6</v>
      </c>
      <c r="F36" s="3369"/>
      <c r="G36" s="3369"/>
      <c r="H36" s="2978">
        <v>8.52</v>
      </c>
    </row>
    <row r="37" spans="1:8" s="2996" customFormat="1">
      <c r="A37" s="2978">
        <v>35</v>
      </c>
      <c r="B37" s="2990" t="s">
        <v>3165</v>
      </c>
      <c r="C37" s="2953">
        <v>3</v>
      </c>
      <c r="D37" s="2949" t="s">
        <v>3166</v>
      </c>
      <c r="E37" s="2981">
        <v>36.159999999999997</v>
      </c>
      <c r="F37" s="3369"/>
      <c r="G37" s="3369"/>
      <c r="H37" s="2978">
        <v>6.75</v>
      </c>
    </row>
    <row r="38" spans="1:8" s="2996" customFormat="1">
      <c r="A38" s="2978">
        <v>36</v>
      </c>
      <c r="B38" s="2990" t="s">
        <v>3167</v>
      </c>
      <c r="C38" s="2953">
        <v>3</v>
      </c>
      <c r="D38" s="2949" t="s">
        <v>3168</v>
      </c>
      <c r="E38" s="2954">
        <v>26.9</v>
      </c>
      <c r="F38" s="3369"/>
      <c r="G38" s="3369"/>
      <c r="H38" s="2978">
        <v>5.0199999999999996</v>
      </c>
    </row>
    <row r="39" spans="1:8" s="2996" customFormat="1">
      <c r="A39" s="2978">
        <v>37</v>
      </c>
      <c r="B39" s="2990" t="s">
        <v>3169</v>
      </c>
      <c r="C39" s="2953">
        <v>3</v>
      </c>
      <c r="D39" s="2949" t="s">
        <v>3170</v>
      </c>
      <c r="E39" s="2954">
        <v>31.35</v>
      </c>
      <c r="F39" s="3369"/>
      <c r="G39" s="3369"/>
      <c r="H39" s="2978">
        <v>5.86</v>
      </c>
    </row>
    <row r="40" spans="1:8" s="2996" customFormat="1">
      <c r="A40" s="2978">
        <v>38</v>
      </c>
      <c r="B40" s="2990" t="s">
        <v>3171</v>
      </c>
      <c r="C40" s="2953">
        <v>3</v>
      </c>
      <c r="D40" s="2949" t="s">
        <v>3172</v>
      </c>
      <c r="E40" s="2954">
        <v>36.18</v>
      </c>
      <c r="F40" s="3369"/>
      <c r="G40" s="3369"/>
      <c r="H40" s="2978">
        <v>6.76</v>
      </c>
    </row>
    <row r="41" spans="1:8" s="2996" customFormat="1">
      <c r="A41" s="2978">
        <v>39</v>
      </c>
      <c r="B41" s="2986" t="s">
        <v>3173</v>
      </c>
      <c r="C41" s="2953">
        <v>3</v>
      </c>
      <c r="D41" s="2949" t="s">
        <v>3174</v>
      </c>
      <c r="E41" s="2987">
        <v>21.92</v>
      </c>
      <c r="F41" s="3369"/>
      <c r="G41" s="3369"/>
      <c r="H41" s="2978">
        <v>4.09</v>
      </c>
    </row>
    <row r="42" spans="1:8" s="2996" customFormat="1">
      <c r="A42" s="2978">
        <v>40</v>
      </c>
      <c r="B42" s="2986" t="s">
        <v>3175</v>
      </c>
      <c r="C42" s="2953">
        <v>3</v>
      </c>
      <c r="D42" s="2949" t="s">
        <v>3176</v>
      </c>
      <c r="E42" s="2987">
        <v>17.36</v>
      </c>
      <c r="F42" s="3369"/>
      <c r="G42" s="3369"/>
      <c r="H42" s="2978">
        <v>3.24</v>
      </c>
    </row>
    <row r="43" spans="1:8" s="2996" customFormat="1">
      <c r="A43" s="2978">
        <v>41</v>
      </c>
      <c r="B43" s="2990" t="s">
        <v>3177</v>
      </c>
      <c r="C43" s="2953">
        <v>3</v>
      </c>
      <c r="D43" s="2949" t="s">
        <v>3178</v>
      </c>
      <c r="E43" s="2981">
        <v>31.3</v>
      </c>
      <c r="F43" s="3369"/>
      <c r="G43" s="3369"/>
      <c r="H43" s="2978">
        <v>5.85</v>
      </c>
    </row>
    <row r="44" spans="1:8" s="2996" customFormat="1">
      <c r="A44" s="2978">
        <v>42</v>
      </c>
      <c r="B44" s="2986" t="s">
        <v>3179</v>
      </c>
      <c r="C44" s="2953">
        <v>3</v>
      </c>
      <c r="D44" s="2949" t="s">
        <v>3180</v>
      </c>
      <c r="E44" s="2987">
        <v>25.19</v>
      </c>
      <c r="F44" s="3369"/>
      <c r="G44" s="3369"/>
      <c r="H44" s="2978">
        <v>4.71</v>
      </c>
    </row>
    <row r="45" spans="1:8" s="2996" customFormat="1">
      <c r="A45" s="2978">
        <v>43</v>
      </c>
      <c r="B45" s="2986" t="s">
        <v>3181</v>
      </c>
      <c r="C45" s="2953">
        <v>3</v>
      </c>
      <c r="D45" s="2949" t="s">
        <v>3182</v>
      </c>
      <c r="E45" s="2987">
        <v>23.33</v>
      </c>
      <c r="F45" s="3369"/>
      <c r="G45" s="3369"/>
      <c r="H45" s="2978">
        <v>4.3600000000000003</v>
      </c>
    </row>
    <row r="46" spans="1:8" s="2996" customFormat="1">
      <c r="A46" s="2978">
        <v>44</v>
      </c>
      <c r="B46" s="2986" t="s">
        <v>3183</v>
      </c>
      <c r="C46" s="2953">
        <v>3</v>
      </c>
      <c r="D46" s="2949" t="s">
        <v>3184</v>
      </c>
      <c r="E46" s="2987">
        <v>29.55</v>
      </c>
      <c r="F46" s="3369"/>
      <c r="G46" s="3369"/>
      <c r="H46" s="2978">
        <v>5.52</v>
      </c>
    </row>
    <row r="47" spans="1:8" s="2996" customFormat="1">
      <c r="A47" s="2978">
        <v>45</v>
      </c>
      <c r="B47" s="2986" t="s">
        <v>3185</v>
      </c>
      <c r="C47" s="2953">
        <v>3</v>
      </c>
      <c r="D47" s="2949" t="s">
        <v>3186</v>
      </c>
      <c r="E47" s="2987">
        <v>29.97</v>
      </c>
      <c r="F47" s="3369"/>
      <c r="G47" s="3369"/>
      <c r="H47" s="2978">
        <v>5.6</v>
      </c>
    </row>
    <row r="48" spans="1:8" s="2996" customFormat="1">
      <c r="A48" s="2978">
        <v>46</v>
      </c>
      <c r="B48" s="2986" t="s">
        <v>3187</v>
      </c>
      <c r="C48" s="2953">
        <v>3</v>
      </c>
      <c r="D48" s="2949" t="s">
        <v>3188</v>
      </c>
      <c r="E48" s="2987">
        <v>27.74</v>
      </c>
      <c r="F48" s="3369"/>
      <c r="G48" s="3369"/>
      <c r="H48" s="2978">
        <v>5.18</v>
      </c>
    </row>
    <row r="49" spans="1:8" s="2996" customFormat="1">
      <c r="A49" s="2978">
        <v>47</v>
      </c>
      <c r="B49" s="2986" t="s">
        <v>3189</v>
      </c>
      <c r="C49" s="2953">
        <v>3</v>
      </c>
      <c r="D49" s="2949" t="s">
        <v>3190</v>
      </c>
      <c r="E49" s="2987">
        <v>20.37</v>
      </c>
      <c r="F49" s="3369"/>
      <c r="G49" s="3369"/>
      <c r="H49" s="2978">
        <v>3.81</v>
      </c>
    </row>
    <row r="50" spans="1:8" s="2996" customFormat="1">
      <c r="A50" s="2978">
        <v>48</v>
      </c>
      <c r="B50" s="2986" t="s">
        <v>3191</v>
      </c>
      <c r="C50" s="2953">
        <v>3</v>
      </c>
      <c r="D50" s="2949" t="s">
        <v>3192</v>
      </c>
      <c r="E50" s="2987">
        <v>27.74</v>
      </c>
      <c r="F50" s="3369"/>
      <c r="G50" s="3369"/>
      <c r="H50" s="2978">
        <v>5.18</v>
      </c>
    </row>
    <row r="51" spans="1:8" s="2948" customFormat="1">
      <c r="A51" s="2978">
        <v>49</v>
      </c>
      <c r="B51" s="2990" t="s">
        <v>3193</v>
      </c>
      <c r="C51" s="2953">
        <v>3</v>
      </c>
      <c r="D51" s="2949" t="s">
        <v>3194</v>
      </c>
      <c r="E51" s="2981">
        <v>16.510000000000002</v>
      </c>
      <c r="F51" s="3370" t="s">
        <v>3195</v>
      </c>
      <c r="G51" s="3370"/>
      <c r="H51" s="2982">
        <v>10.199999999999999</v>
      </c>
    </row>
    <row r="52" spans="1:8" s="2948" customFormat="1">
      <c r="A52" s="2978">
        <v>50</v>
      </c>
      <c r="B52" s="2991" t="s">
        <v>3196</v>
      </c>
      <c r="C52" s="2953">
        <v>3</v>
      </c>
      <c r="D52" s="2949" t="s">
        <v>3197</v>
      </c>
      <c r="E52" s="2992">
        <v>23.44</v>
      </c>
      <c r="F52" s="3370" t="s">
        <v>3198</v>
      </c>
      <c r="G52" s="3370"/>
      <c r="H52" s="2982">
        <v>4.37</v>
      </c>
    </row>
    <row r="53" spans="1:8" s="2948" customFormat="1">
      <c r="A53" s="2978">
        <v>51</v>
      </c>
      <c r="B53" s="2991" t="s">
        <v>3199</v>
      </c>
      <c r="C53" s="2953">
        <v>3</v>
      </c>
      <c r="D53" s="2949" t="s">
        <v>3200</v>
      </c>
      <c r="E53" s="2992">
        <v>23.01</v>
      </c>
      <c r="F53" s="3370" t="s">
        <v>3201</v>
      </c>
      <c r="G53" s="3370"/>
      <c r="H53" s="2982">
        <v>4.29</v>
      </c>
    </row>
    <row r="54" spans="1:8" s="2948" customFormat="1">
      <c r="A54" s="2978">
        <v>52</v>
      </c>
      <c r="B54" s="2990" t="s">
        <v>3202</v>
      </c>
      <c r="C54" s="2953">
        <v>3</v>
      </c>
      <c r="D54" s="2949" t="s">
        <v>3203</v>
      </c>
      <c r="E54" s="2981">
        <v>30.12</v>
      </c>
      <c r="F54" s="3370" t="s">
        <v>3204</v>
      </c>
      <c r="G54" s="3370"/>
      <c r="H54" s="2982">
        <v>5.62</v>
      </c>
    </row>
    <row r="55" spans="1:8" s="2948" customFormat="1">
      <c r="A55" s="2978">
        <v>53</v>
      </c>
      <c r="B55" s="2990" t="s">
        <v>3205</v>
      </c>
      <c r="C55" s="2953">
        <v>3</v>
      </c>
      <c r="D55" s="2949" t="s">
        <v>3206</v>
      </c>
      <c r="E55" s="2981">
        <v>19.89</v>
      </c>
      <c r="F55" s="3370" t="s">
        <v>3207</v>
      </c>
      <c r="G55" s="3370"/>
      <c r="H55" s="2982">
        <v>3.71</v>
      </c>
    </row>
    <row r="56" spans="1:8" s="2948" customFormat="1">
      <c r="A56" s="2978">
        <v>54</v>
      </c>
      <c r="B56" s="2990" t="s">
        <v>3208</v>
      </c>
      <c r="C56" s="2953">
        <v>3</v>
      </c>
      <c r="D56" s="2949" t="s">
        <v>3209</v>
      </c>
      <c r="E56" s="2981">
        <v>23.76</v>
      </c>
      <c r="F56" s="3370" t="s">
        <v>3210</v>
      </c>
      <c r="G56" s="3370"/>
      <c r="H56" s="2982">
        <v>4.43</v>
      </c>
    </row>
    <row r="57" spans="1:8" s="2948" customFormat="1">
      <c r="A57" s="2978">
        <v>55</v>
      </c>
      <c r="B57" s="2990" t="s">
        <v>3211</v>
      </c>
      <c r="C57" s="2953">
        <v>3</v>
      </c>
      <c r="D57" s="2949" t="s">
        <v>3212</v>
      </c>
      <c r="E57" s="2981">
        <v>24.68</v>
      </c>
      <c r="F57" s="3370" t="s">
        <v>3213</v>
      </c>
      <c r="G57" s="3370"/>
      <c r="H57" s="2982">
        <v>4.6100000000000003</v>
      </c>
    </row>
    <row r="58" spans="1:8" s="2948" customFormat="1">
      <c r="A58" s="2978">
        <v>56</v>
      </c>
      <c r="B58" s="2990" t="s">
        <v>3214</v>
      </c>
      <c r="C58" s="2953">
        <v>3</v>
      </c>
      <c r="D58" s="2949" t="s">
        <v>3215</v>
      </c>
      <c r="E58" s="2981">
        <v>24.68</v>
      </c>
      <c r="F58" s="3370" t="s">
        <v>3216</v>
      </c>
      <c r="G58" s="3370"/>
      <c r="H58" s="2982">
        <v>4.6100000000000003</v>
      </c>
    </row>
    <row r="59" spans="1:8" s="2948" customFormat="1">
      <c r="A59" s="2978">
        <v>57</v>
      </c>
      <c r="B59" s="2991" t="s">
        <v>3217</v>
      </c>
      <c r="C59" s="2953">
        <v>3</v>
      </c>
      <c r="D59" s="2949" t="s">
        <v>3218</v>
      </c>
      <c r="E59" s="2992">
        <v>16.059999999999999</v>
      </c>
      <c r="F59" s="3370" t="s">
        <v>3219</v>
      </c>
      <c r="G59" s="3370"/>
      <c r="H59" s="2982">
        <v>3</v>
      </c>
    </row>
    <row r="60" spans="1:8" s="2948" customFormat="1">
      <c r="A60" s="2978">
        <v>58</v>
      </c>
      <c r="B60" s="2991" t="s">
        <v>3220</v>
      </c>
      <c r="C60" s="2953">
        <v>3</v>
      </c>
      <c r="D60" s="2949" t="s">
        <v>3221</v>
      </c>
      <c r="E60" s="2992">
        <v>15.18</v>
      </c>
      <c r="F60" s="3370" t="s">
        <v>3222</v>
      </c>
      <c r="G60" s="3370"/>
      <c r="H60" s="2982">
        <v>2.83</v>
      </c>
    </row>
    <row r="61" spans="1:8" s="2948" customFormat="1">
      <c r="A61" s="2978">
        <v>59</v>
      </c>
      <c r="B61" s="2990" t="s">
        <v>3223</v>
      </c>
      <c r="C61" s="2953">
        <v>3</v>
      </c>
      <c r="D61" s="2949" t="s">
        <v>3224</v>
      </c>
      <c r="E61" s="2981">
        <v>34.97</v>
      </c>
      <c r="F61" s="3370" t="s">
        <v>3225</v>
      </c>
      <c r="G61" s="3370"/>
      <c r="H61" s="2982">
        <v>6.53</v>
      </c>
    </row>
    <row r="62" spans="1:8" s="2948" customFormat="1">
      <c r="A62" s="2978">
        <v>60</v>
      </c>
      <c r="B62" s="2990" t="s">
        <v>3226</v>
      </c>
      <c r="C62" s="2953">
        <v>3</v>
      </c>
      <c r="D62" s="2949" t="s">
        <v>3227</v>
      </c>
      <c r="E62" s="2981">
        <v>31.94</v>
      </c>
      <c r="F62" s="3370" t="s">
        <v>3228</v>
      </c>
      <c r="G62" s="3370"/>
      <c r="H62" s="2982">
        <v>5.96</v>
      </c>
    </row>
    <row r="63" spans="1:8" s="2948" customFormat="1">
      <c r="A63" s="2978">
        <v>61</v>
      </c>
      <c r="B63" s="2990" t="s">
        <v>3229</v>
      </c>
      <c r="C63" s="2953">
        <v>3</v>
      </c>
      <c r="D63" s="2949" t="s">
        <v>3230</v>
      </c>
      <c r="E63" s="2981">
        <v>31.95</v>
      </c>
      <c r="F63" s="3370" t="s">
        <v>3231</v>
      </c>
      <c r="G63" s="3370"/>
      <c r="H63" s="2982">
        <v>5.96</v>
      </c>
    </row>
    <row r="64" spans="1:8" s="2948" customFormat="1">
      <c r="A64" s="2978">
        <v>62</v>
      </c>
      <c r="B64" s="2990" t="s">
        <v>3232</v>
      </c>
      <c r="C64" s="2953">
        <v>3</v>
      </c>
      <c r="D64" s="2949" t="s">
        <v>3233</v>
      </c>
      <c r="E64" s="2981">
        <v>31.12</v>
      </c>
      <c r="F64" s="3370" t="s">
        <v>3234</v>
      </c>
      <c r="G64" s="3370"/>
      <c r="H64" s="2982">
        <v>5.81</v>
      </c>
    </row>
    <row r="65" spans="1:8" s="2948" customFormat="1">
      <c r="A65" s="2978">
        <v>63</v>
      </c>
      <c r="B65" s="2990" t="s">
        <v>3235</v>
      </c>
      <c r="C65" s="2953">
        <v>3</v>
      </c>
      <c r="D65" s="2949" t="s">
        <v>3236</v>
      </c>
      <c r="E65" s="2981">
        <v>31.12</v>
      </c>
      <c r="F65" s="3370" t="s">
        <v>3237</v>
      </c>
      <c r="G65" s="3370"/>
      <c r="H65" s="2982">
        <v>5.81</v>
      </c>
    </row>
    <row r="66" spans="1:8" s="2948" customFormat="1">
      <c r="A66" s="2978">
        <v>64</v>
      </c>
      <c r="B66" s="2991" t="s">
        <v>3238</v>
      </c>
      <c r="C66" s="2953">
        <v>3</v>
      </c>
      <c r="D66" s="2949" t="s">
        <v>3239</v>
      </c>
      <c r="E66" s="2992">
        <v>20</v>
      </c>
      <c r="F66" s="3370" t="s">
        <v>3240</v>
      </c>
      <c r="G66" s="3370"/>
      <c r="H66" s="2982">
        <v>3.73</v>
      </c>
    </row>
    <row r="67" spans="1:8" s="2948" customFormat="1">
      <c r="A67" s="2978">
        <v>65</v>
      </c>
      <c r="B67" s="2991" t="s">
        <v>3241</v>
      </c>
      <c r="C67" s="2953">
        <v>3</v>
      </c>
      <c r="D67" s="2949" t="s">
        <v>3242</v>
      </c>
      <c r="E67" s="2992">
        <v>20</v>
      </c>
      <c r="F67" s="3370" t="s">
        <v>3243</v>
      </c>
      <c r="G67" s="3370"/>
      <c r="H67" s="2982">
        <v>3.73</v>
      </c>
    </row>
    <row r="68" spans="1:8" s="2948" customFormat="1">
      <c r="A68" s="2978">
        <v>66</v>
      </c>
      <c r="B68" s="2991" t="s">
        <v>3244</v>
      </c>
      <c r="C68" s="2953">
        <v>3</v>
      </c>
      <c r="D68" s="2949" t="s">
        <v>3245</v>
      </c>
      <c r="E68" s="2992">
        <v>18.97</v>
      </c>
      <c r="F68" s="3370" t="s">
        <v>3246</v>
      </c>
      <c r="G68" s="3370"/>
      <c r="H68" s="2982">
        <v>3.54</v>
      </c>
    </row>
    <row r="69" spans="1:8" s="2948" customFormat="1">
      <c r="A69" s="2978">
        <v>67</v>
      </c>
      <c r="B69" s="2991" t="s">
        <v>3247</v>
      </c>
      <c r="C69" s="2953">
        <v>3</v>
      </c>
      <c r="D69" s="2949" t="s">
        <v>3248</v>
      </c>
      <c r="E69" s="2992">
        <v>19.36</v>
      </c>
      <c r="F69" s="3370" t="s">
        <v>3249</v>
      </c>
      <c r="G69" s="3370"/>
      <c r="H69" s="2982">
        <v>3.61</v>
      </c>
    </row>
    <row r="70" spans="1:8" s="2948" customFormat="1">
      <c r="A70" s="2978">
        <v>68</v>
      </c>
      <c r="B70" s="2991" t="s">
        <v>3250</v>
      </c>
      <c r="C70" s="2953">
        <v>3</v>
      </c>
      <c r="D70" s="2949" t="s">
        <v>3251</v>
      </c>
      <c r="E70" s="2992">
        <v>15.82</v>
      </c>
      <c r="F70" s="3370" t="s">
        <v>3252</v>
      </c>
      <c r="G70" s="3370"/>
      <c r="H70" s="2982">
        <v>2.95</v>
      </c>
    </row>
    <row r="71" spans="1:8" s="2948" customFormat="1">
      <c r="A71" s="2978">
        <v>69</v>
      </c>
      <c r="B71" s="2991" t="s">
        <v>3253</v>
      </c>
      <c r="C71" s="2953">
        <v>3</v>
      </c>
      <c r="D71" s="2949" t="s">
        <v>3254</v>
      </c>
      <c r="E71" s="2992">
        <v>19.16</v>
      </c>
      <c r="F71" s="3370" t="s">
        <v>3255</v>
      </c>
      <c r="G71" s="3370"/>
      <c r="H71" s="2982">
        <v>3.57</v>
      </c>
    </row>
    <row r="72" spans="1:8" s="2948" customFormat="1">
      <c r="A72" s="2978">
        <v>70</v>
      </c>
      <c r="B72" s="2991" t="s">
        <v>3256</v>
      </c>
      <c r="C72" s="2953">
        <v>3</v>
      </c>
      <c r="D72" s="2949" t="s">
        <v>3257</v>
      </c>
      <c r="E72" s="2992">
        <v>17.36</v>
      </c>
      <c r="F72" s="3370" t="s">
        <v>3258</v>
      </c>
      <c r="G72" s="3370"/>
      <c r="H72" s="2982">
        <v>3.24</v>
      </c>
    </row>
    <row r="73" spans="1:8" s="2948" customFormat="1">
      <c r="A73" s="2978">
        <v>71</v>
      </c>
      <c r="B73" s="2991" t="s">
        <v>3259</v>
      </c>
      <c r="C73" s="2953">
        <v>3</v>
      </c>
      <c r="D73" s="2949" t="s">
        <v>3260</v>
      </c>
      <c r="E73" s="2992">
        <v>17.36</v>
      </c>
      <c r="F73" s="3370" t="s">
        <v>3261</v>
      </c>
      <c r="G73" s="3370"/>
      <c r="H73" s="2982">
        <v>3.24</v>
      </c>
    </row>
    <row r="74" spans="1:8" s="2948" customFormat="1">
      <c r="A74" s="2978">
        <v>72</v>
      </c>
      <c r="B74" s="2990" t="s">
        <v>3262</v>
      </c>
      <c r="C74" s="2953">
        <v>3</v>
      </c>
      <c r="D74" s="2949" t="s">
        <v>3263</v>
      </c>
      <c r="E74" s="2981">
        <v>19.64</v>
      </c>
      <c r="F74" s="3370" t="s">
        <v>3264</v>
      </c>
      <c r="G74" s="3370"/>
      <c r="H74" s="2982">
        <v>3.66</v>
      </c>
    </row>
    <row r="75" spans="1:8" s="2948" customFormat="1">
      <c r="A75" s="2978">
        <v>73</v>
      </c>
      <c r="B75" s="2990" t="s">
        <v>3265</v>
      </c>
      <c r="C75" s="2953">
        <v>3</v>
      </c>
      <c r="D75" s="2949" t="s">
        <v>3266</v>
      </c>
      <c r="E75" s="2981">
        <v>25.25</v>
      </c>
      <c r="F75" s="3370" t="s">
        <v>3267</v>
      </c>
      <c r="G75" s="3370"/>
      <c r="H75" s="2982">
        <v>4.71</v>
      </c>
    </row>
    <row r="76" spans="1:8" s="2948" customFormat="1">
      <c r="A76" s="2978">
        <v>74</v>
      </c>
      <c r="B76" s="2991" t="s">
        <v>3268</v>
      </c>
      <c r="C76" s="2953">
        <v>3</v>
      </c>
      <c r="D76" s="2949" t="s">
        <v>3269</v>
      </c>
      <c r="E76" s="2992">
        <v>18.7</v>
      </c>
      <c r="F76" s="3370" t="s">
        <v>3270</v>
      </c>
      <c r="G76" s="3370"/>
      <c r="H76" s="2982">
        <v>3.49</v>
      </c>
    </row>
    <row r="77" spans="1:8" s="2948" customFormat="1">
      <c r="A77" s="2978">
        <v>75</v>
      </c>
      <c r="B77" s="2991" t="s">
        <v>3271</v>
      </c>
      <c r="C77" s="2953">
        <v>3</v>
      </c>
      <c r="D77" s="2949" t="s">
        <v>3272</v>
      </c>
      <c r="E77" s="2992">
        <v>22.19</v>
      </c>
      <c r="F77" s="3370" t="s">
        <v>3273</v>
      </c>
      <c r="G77" s="3370"/>
      <c r="H77" s="2982">
        <v>4.1399999999999997</v>
      </c>
    </row>
    <row r="78" spans="1:8" s="2948" customFormat="1">
      <c r="A78" s="2978">
        <v>76</v>
      </c>
      <c r="B78" s="2990" t="s">
        <v>3274</v>
      </c>
      <c r="C78" s="2953">
        <v>3</v>
      </c>
      <c r="D78" s="2949" t="s">
        <v>3275</v>
      </c>
      <c r="E78" s="2981">
        <v>35.42</v>
      </c>
      <c r="F78" s="3370" t="s">
        <v>3276</v>
      </c>
      <c r="G78" s="3370"/>
      <c r="H78" s="2982">
        <v>6.61</v>
      </c>
    </row>
    <row r="79" spans="1:8" s="2948" customFormat="1">
      <c r="A79" s="2978">
        <v>77</v>
      </c>
      <c r="B79" s="2990" t="s">
        <v>3277</v>
      </c>
      <c r="C79" s="2953">
        <v>3</v>
      </c>
      <c r="D79" s="2949" t="s">
        <v>3278</v>
      </c>
      <c r="E79" s="2981">
        <v>29.39</v>
      </c>
      <c r="F79" s="3370" t="s">
        <v>3279</v>
      </c>
      <c r="G79" s="3370"/>
      <c r="H79" s="2982">
        <v>5.49</v>
      </c>
    </row>
    <row r="80" spans="1:8" s="2948" customFormat="1">
      <c r="A80" s="2978">
        <v>78</v>
      </c>
      <c r="B80" s="2990" t="s">
        <v>3280</v>
      </c>
      <c r="C80" s="2953">
        <v>3</v>
      </c>
      <c r="D80" s="2949" t="s">
        <v>3281</v>
      </c>
      <c r="E80" s="2981">
        <v>26.07</v>
      </c>
      <c r="F80" s="3370" t="s">
        <v>3282</v>
      </c>
      <c r="G80" s="3370"/>
      <c r="H80" s="2978">
        <v>4.8600000000000003</v>
      </c>
    </row>
    <row r="81" spans="1:8" s="2948" customFormat="1">
      <c r="A81" s="2978">
        <v>79</v>
      </c>
      <c r="B81" s="2991" t="s">
        <v>3283</v>
      </c>
      <c r="C81" s="2953">
        <v>3</v>
      </c>
      <c r="D81" s="2949" t="s">
        <v>3284</v>
      </c>
      <c r="E81" s="2992">
        <v>22.18</v>
      </c>
      <c r="F81" s="3370" t="s">
        <v>3285</v>
      </c>
      <c r="G81" s="3370"/>
      <c r="H81" s="2978">
        <v>4.1399999999999997</v>
      </c>
    </row>
    <row r="82" spans="1:8" s="2948" customFormat="1">
      <c r="A82" s="2978">
        <v>80</v>
      </c>
      <c r="B82" s="2991" t="s">
        <v>3286</v>
      </c>
      <c r="C82" s="2953">
        <v>3</v>
      </c>
      <c r="D82" s="2949" t="s">
        <v>3287</v>
      </c>
      <c r="E82" s="2992">
        <v>14.35</v>
      </c>
      <c r="F82" s="3370" t="s">
        <v>3288</v>
      </c>
      <c r="G82" s="3370"/>
      <c r="H82" s="2978">
        <v>2.68</v>
      </c>
    </row>
    <row r="83" spans="1:8" s="2948" customFormat="1">
      <c r="A83" s="2978">
        <v>81</v>
      </c>
      <c r="B83" s="2991" t="s">
        <v>3289</v>
      </c>
      <c r="C83" s="2953">
        <v>3</v>
      </c>
      <c r="D83" s="2949" t="s">
        <v>3290</v>
      </c>
      <c r="E83" s="2992">
        <v>22.18</v>
      </c>
      <c r="F83" s="3370" t="s">
        <v>3291</v>
      </c>
      <c r="G83" s="3370"/>
      <c r="H83" s="2978">
        <v>4.1399999999999997</v>
      </c>
    </row>
    <row r="84" spans="1:8" s="2948" customFormat="1">
      <c r="A84" s="2978">
        <v>82</v>
      </c>
      <c r="B84" s="2991" t="s">
        <v>3292</v>
      </c>
      <c r="C84" s="2953">
        <v>3</v>
      </c>
      <c r="D84" s="2949" t="s">
        <v>3293</v>
      </c>
      <c r="E84" s="2992">
        <v>21.37</v>
      </c>
      <c r="F84" s="3370" t="s">
        <v>3294</v>
      </c>
      <c r="G84" s="3370"/>
      <c r="H84" s="2978">
        <v>3.99</v>
      </c>
    </row>
    <row r="85" spans="1:8" s="2948" customFormat="1">
      <c r="A85" s="2978">
        <v>83</v>
      </c>
      <c r="B85" s="2991" t="s">
        <v>3295</v>
      </c>
      <c r="C85" s="2953">
        <v>3</v>
      </c>
      <c r="D85" s="2949" t="s">
        <v>3296</v>
      </c>
      <c r="E85" s="2992">
        <v>22.18</v>
      </c>
      <c r="F85" s="3370" t="s">
        <v>3297</v>
      </c>
      <c r="G85" s="3370"/>
      <c r="H85" s="2978">
        <v>4.1399999999999997</v>
      </c>
    </row>
    <row r="86" spans="1:8" s="2948" customFormat="1">
      <c r="A86" s="2978">
        <v>84</v>
      </c>
      <c r="B86" s="2991" t="s">
        <v>3298</v>
      </c>
      <c r="C86" s="2953">
        <v>3</v>
      </c>
      <c r="D86" s="2949" t="s">
        <v>3299</v>
      </c>
      <c r="E86" s="2992">
        <v>21.37</v>
      </c>
      <c r="F86" s="3370" t="s">
        <v>3300</v>
      </c>
      <c r="G86" s="3370"/>
      <c r="H86" s="2978">
        <v>3.99</v>
      </c>
    </row>
    <row r="87" spans="1:8" s="2948" customFormat="1">
      <c r="A87" s="2978">
        <v>85</v>
      </c>
      <c r="B87" s="2991" t="s">
        <v>3301</v>
      </c>
      <c r="C87" s="2953">
        <v>3</v>
      </c>
      <c r="D87" s="2949" t="s">
        <v>3302</v>
      </c>
      <c r="E87" s="2992">
        <v>22.17</v>
      </c>
      <c r="F87" s="3370" t="s">
        <v>3303</v>
      </c>
      <c r="G87" s="3370"/>
      <c r="H87" s="2978">
        <v>4.1399999999999997</v>
      </c>
    </row>
    <row r="88" spans="1:8" s="2948" customFormat="1">
      <c r="A88" s="2978">
        <v>86</v>
      </c>
      <c r="B88" s="2991" t="s">
        <v>3304</v>
      </c>
      <c r="C88" s="2953">
        <v>3</v>
      </c>
      <c r="D88" s="2949" t="s">
        <v>3305</v>
      </c>
      <c r="E88" s="2992">
        <v>21.37</v>
      </c>
      <c r="F88" s="3370" t="s">
        <v>3306</v>
      </c>
      <c r="G88" s="3370"/>
      <c r="H88" s="2978">
        <v>3.99</v>
      </c>
    </row>
    <row r="89" spans="1:8" s="2948" customFormat="1" ht="17.25" customHeight="1">
      <c r="A89" s="2978">
        <v>87</v>
      </c>
      <c r="B89" s="2991" t="s">
        <v>3307</v>
      </c>
      <c r="C89" s="2953">
        <v>3</v>
      </c>
      <c r="D89" s="2949" t="s">
        <v>3308</v>
      </c>
      <c r="E89" s="2992">
        <v>22.18</v>
      </c>
      <c r="F89" s="3370" t="s">
        <v>3309</v>
      </c>
      <c r="G89" s="3370"/>
      <c r="H89" s="2978">
        <v>4.1399999999999997</v>
      </c>
    </row>
    <row r="90" spans="1:8" s="2948" customFormat="1">
      <c r="A90" s="2978">
        <v>88</v>
      </c>
      <c r="B90" s="2991" t="s">
        <v>3310</v>
      </c>
      <c r="C90" s="2953">
        <v>3</v>
      </c>
      <c r="D90" s="2949" t="s">
        <v>3311</v>
      </c>
      <c r="E90" s="2992">
        <v>21.38</v>
      </c>
      <c r="F90" s="3370" t="s">
        <v>3312</v>
      </c>
      <c r="G90" s="3370"/>
      <c r="H90" s="2978">
        <v>3.99</v>
      </c>
    </row>
    <row r="91" spans="1:8" s="2948" customFormat="1">
      <c r="A91" s="2978">
        <v>89</v>
      </c>
      <c r="B91" s="2991" t="s">
        <v>3313</v>
      </c>
      <c r="C91" s="2953">
        <v>3</v>
      </c>
      <c r="D91" s="2949" t="s">
        <v>3314</v>
      </c>
      <c r="E91" s="2992">
        <v>22.18</v>
      </c>
      <c r="F91" s="3370" t="s">
        <v>3315</v>
      </c>
      <c r="G91" s="3370"/>
      <c r="H91" s="2978">
        <v>4.1399999999999997</v>
      </c>
    </row>
    <row r="92" spans="1:8" s="2948" customFormat="1">
      <c r="A92" s="2978">
        <v>90</v>
      </c>
      <c r="B92" s="2991" t="s">
        <v>3316</v>
      </c>
      <c r="C92" s="2953">
        <v>3</v>
      </c>
      <c r="D92" s="2949" t="s">
        <v>3317</v>
      </c>
      <c r="E92" s="2992">
        <v>21.37</v>
      </c>
      <c r="F92" s="3370" t="s">
        <v>3318</v>
      </c>
      <c r="G92" s="3370"/>
      <c r="H92" s="2978">
        <v>3.99</v>
      </c>
    </row>
    <row r="93" spans="1:8" s="2948" customFormat="1">
      <c r="A93" s="2978">
        <v>91</v>
      </c>
      <c r="B93" s="2991" t="s">
        <v>3319</v>
      </c>
      <c r="C93" s="2953">
        <v>3</v>
      </c>
      <c r="D93" s="2949" t="s">
        <v>3320</v>
      </c>
      <c r="E93" s="2992">
        <v>22.18</v>
      </c>
      <c r="F93" s="3370" t="s">
        <v>3321</v>
      </c>
      <c r="G93" s="3370"/>
      <c r="H93" s="2978">
        <v>4.1399999999999997</v>
      </c>
    </row>
    <row r="94" spans="1:8" s="2948" customFormat="1">
      <c r="A94" s="2978">
        <v>92</v>
      </c>
      <c r="B94" s="2991" t="s">
        <v>3322</v>
      </c>
      <c r="C94" s="2953">
        <v>3</v>
      </c>
      <c r="D94" s="2949" t="s">
        <v>3323</v>
      </c>
      <c r="E94" s="2992">
        <v>19.53</v>
      </c>
      <c r="F94" s="3370" t="s">
        <v>3324</v>
      </c>
      <c r="G94" s="3370"/>
      <c r="H94" s="2978">
        <v>3.64</v>
      </c>
    </row>
    <row r="95" spans="1:8" s="2948" customFormat="1">
      <c r="A95" s="2978">
        <v>93</v>
      </c>
      <c r="B95" s="2990" t="s">
        <v>3325</v>
      </c>
      <c r="C95" s="2953">
        <v>3</v>
      </c>
      <c r="D95" s="2949" t="s">
        <v>3326</v>
      </c>
      <c r="E95" s="2981">
        <v>20.56</v>
      </c>
      <c r="F95" s="3370" t="s">
        <v>3327</v>
      </c>
      <c r="G95" s="3370"/>
      <c r="H95" s="2978">
        <v>3.84</v>
      </c>
    </row>
    <row r="96" spans="1:8" s="2948" customFormat="1">
      <c r="A96" s="2978">
        <v>94</v>
      </c>
      <c r="B96" s="2990" t="s">
        <v>3328</v>
      </c>
      <c r="C96" s="2953">
        <v>3</v>
      </c>
      <c r="D96" s="2949" t="s">
        <v>3329</v>
      </c>
      <c r="E96" s="2981">
        <v>38.58</v>
      </c>
      <c r="F96" s="3370" t="s">
        <v>3330</v>
      </c>
      <c r="G96" s="3370"/>
      <c r="H96" s="2978">
        <v>7.2</v>
      </c>
    </row>
    <row r="97" spans="1:11" s="2948" customFormat="1">
      <c r="A97" s="2978">
        <v>95</v>
      </c>
      <c r="B97" s="2990" t="s">
        <v>3331</v>
      </c>
      <c r="C97" s="2953">
        <v>3</v>
      </c>
      <c r="D97" s="2949" t="s">
        <v>3332</v>
      </c>
      <c r="E97" s="2981">
        <v>44.1</v>
      </c>
      <c r="F97" s="3370" t="s">
        <v>3333</v>
      </c>
      <c r="G97" s="3370"/>
      <c r="H97" s="2978">
        <v>8.23</v>
      </c>
    </row>
    <row r="98" spans="1:11" s="2948" customFormat="1">
      <c r="A98" s="2978">
        <v>96</v>
      </c>
      <c r="B98" s="2990" t="s">
        <v>3334</v>
      </c>
      <c r="C98" s="2953">
        <v>3</v>
      </c>
      <c r="D98" s="2949" t="s">
        <v>3335</v>
      </c>
      <c r="E98" s="2981">
        <v>44.57</v>
      </c>
      <c r="F98" s="3370" t="s">
        <v>3336</v>
      </c>
      <c r="G98" s="3370"/>
      <c r="H98" s="2978">
        <v>8.32</v>
      </c>
      <c r="K98" s="2997" t="s">
        <v>3446</v>
      </c>
    </row>
    <row r="99" spans="1:11" s="2948" customFormat="1">
      <c r="A99" s="2978">
        <v>97</v>
      </c>
      <c r="B99" s="2990" t="s">
        <v>3337</v>
      </c>
      <c r="C99" s="2953">
        <v>3</v>
      </c>
      <c r="D99" s="2949" t="s">
        <v>3338</v>
      </c>
      <c r="E99" s="2981">
        <v>44.72</v>
      </c>
      <c r="F99" s="3370" t="s">
        <v>3339</v>
      </c>
      <c r="G99" s="3370"/>
      <c r="H99" s="2978">
        <v>8.35</v>
      </c>
    </row>
    <row r="100" spans="1:11" s="2948" customFormat="1">
      <c r="A100" s="2978">
        <v>98</v>
      </c>
      <c r="B100" s="2993" t="s">
        <v>3340</v>
      </c>
      <c r="C100" s="2953">
        <v>3</v>
      </c>
      <c r="D100" s="2949" t="s">
        <v>3341</v>
      </c>
      <c r="E100" s="2993">
        <v>26.23</v>
      </c>
      <c r="F100" s="3370" t="s">
        <v>3342</v>
      </c>
      <c r="G100" s="3370"/>
      <c r="H100" s="2978">
        <v>4.8899999999999997</v>
      </c>
    </row>
    <row r="101" spans="1:11" s="2948" customFormat="1">
      <c r="A101" s="2978">
        <v>99</v>
      </c>
      <c r="B101" s="2993" t="s">
        <v>3343</v>
      </c>
      <c r="C101" s="2953">
        <v>3</v>
      </c>
      <c r="D101" s="2949" t="s">
        <v>3344</v>
      </c>
      <c r="E101" s="2993">
        <v>25.65</v>
      </c>
      <c r="F101" s="3370" t="s">
        <v>3345</v>
      </c>
      <c r="G101" s="3370"/>
      <c r="H101" s="2978">
        <v>4.79</v>
      </c>
    </row>
    <row r="102" spans="1:11" s="2948" customFormat="1">
      <c r="A102" s="2978">
        <v>100</v>
      </c>
      <c r="B102" s="2991" t="s">
        <v>3346</v>
      </c>
      <c r="C102" s="2953">
        <v>3</v>
      </c>
      <c r="D102" s="2949" t="s">
        <v>3347</v>
      </c>
      <c r="E102" s="2992">
        <v>20.12</v>
      </c>
      <c r="F102" s="3370" t="s">
        <v>3348</v>
      </c>
      <c r="G102" s="3370"/>
      <c r="H102" s="2978">
        <v>3.75</v>
      </c>
    </row>
    <row r="103" spans="1:11" s="2948" customFormat="1">
      <c r="A103" s="2978">
        <v>101</v>
      </c>
      <c r="B103" s="2991" t="s">
        <v>3349</v>
      </c>
      <c r="C103" s="2953">
        <v>3</v>
      </c>
      <c r="D103" s="2949" t="s">
        <v>3350</v>
      </c>
      <c r="E103" s="2992">
        <v>32.5</v>
      </c>
      <c r="F103" s="3370" t="s">
        <v>3351</v>
      </c>
      <c r="G103" s="3370"/>
      <c r="H103" s="2978">
        <v>6.07</v>
      </c>
    </row>
    <row r="104" spans="1:11" s="2948" customFormat="1">
      <c r="A104" s="2978">
        <v>102</v>
      </c>
      <c r="B104" s="2991" t="s">
        <v>3352</v>
      </c>
      <c r="C104" s="2953">
        <v>3</v>
      </c>
      <c r="D104" s="2949" t="s">
        <v>3353</v>
      </c>
      <c r="E104" s="2992">
        <v>26.82</v>
      </c>
      <c r="F104" s="3370" t="s">
        <v>3354</v>
      </c>
      <c r="G104" s="3370"/>
      <c r="H104" s="2978">
        <v>5</v>
      </c>
    </row>
    <row r="105" spans="1:11" s="2948" customFormat="1">
      <c r="A105" s="2978">
        <v>103</v>
      </c>
      <c r="B105" s="2991" t="s">
        <v>3355</v>
      </c>
      <c r="C105" s="2953">
        <v>3</v>
      </c>
      <c r="D105" s="2949" t="s">
        <v>3356</v>
      </c>
      <c r="E105" s="2992">
        <v>24.36</v>
      </c>
      <c r="F105" s="3370" t="s">
        <v>3357</v>
      </c>
      <c r="G105" s="3370"/>
      <c r="H105" s="2978">
        <v>4.55</v>
      </c>
    </row>
    <row r="106" spans="1:11" s="2996" customFormat="1">
      <c r="A106" s="2978">
        <v>104</v>
      </c>
      <c r="B106" s="2994" t="s">
        <v>3358</v>
      </c>
      <c r="C106" s="2953">
        <v>4</v>
      </c>
      <c r="D106" s="2949" t="s">
        <v>3359</v>
      </c>
      <c r="E106" s="2954">
        <v>24.8</v>
      </c>
      <c r="F106" s="3369"/>
      <c r="G106" s="3369"/>
      <c r="H106" s="2982">
        <v>4.63</v>
      </c>
    </row>
    <row r="107" spans="1:11" s="2996" customFormat="1">
      <c r="A107" s="2978">
        <v>105</v>
      </c>
      <c r="B107" s="2994" t="s">
        <v>3360</v>
      </c>
      <c r="C107" s="2953">
        <v>4</v>
      </c>
      <c r="D107" s="2949" t="s">
        <v>3361</v>
      </c>
      <c r="E107" s="2954">
        <v>21.5</v>
      </c>
      <c r="F107" s="3369"/>
      <c r="G107" s="3369"/>
      <c r="H107" s="2982">
        <v>4.0199999999999996</v>
      </c>
    </row>
    <row r="108" spans="1:11" s="2996" customFormat="1">
      <c r="A108" s="2978">
        <v>106</v>
      </c>
      <c r="B108" s="2994" t="s">
        <v>3362</v>
      </c>
      <c r="C108" s="2953">
        <v>4</v>
      </c>
      <c r="D108" s="2949" t="s">
        <v>3363</v>
      </c>
      <c r="E108" s="2954">
        <v>22.75</v>
      </c>
      <c r="F108" s="3369"/>
      <c r="G108" s="3369"/>
      <c r="H108" s="2982">
        <v>4.25</v>
      </c>
    </row>
    <row r="109" spans="1:11" s="2996" customFormat="1">
      <c r="A109" s="2978">
        <v>107</v>
      </c>
      <c r="B109" s="2995" t="s">
        <v>3364</v>
      </c>
      <c r="C109" s="2953">
        <v>4</v>
      </c>
      <c r="D109" s="2949" t="s">
        <v>3365</v>
      </c>
      <c r="E109" s="2954">
        <v>37.9</v>
      </c>
      <c r="F109" s="3369"/>
      <c r="G109" s="3369"/>
      <c r="H109" s="2982">
        <v>7.08</v>
      </c>
    </row>
    <row r="110" spans="1:11" s="2996" customFormat="1">
      <c r="A110" s="2978">
        <v>108</v>
      </c>
      <c r="B110" s="2995" t="s">
        <v>3366</v>
      </c>
      <c r="C110" s="2953">
        <v>4</v>
      </c>
      <c r="D110" s="2949" t="s">
        <v>3367</v>
      </c>
      <c r="E110" s="2954">
        <v>32.47</v>
      </c>
      <c r="F110" s="3369"/>
      <c r="G110" s="3369"/>
      <c r="H110" s="2982">
        <v>6.07</v>
      </c>
    </row>
    <row r="111" spans="1:11">
      <c r="A111" s="3371" t="s">
        <v>3447</v>
      </c>
      <c r="B111" s="3372"/>
      <c r="C111" s="3373"/>
      <c r="D111" s="2998"/>
      <c r="E111" s="2999">
        <f>SUM(E3:E110)</f>
        <v>4833.9999999999973</v>
      </c>
      <c r="F111" s="3374"/>
      <c r="G111" s="3375"/>
      <c r="H111" s="2999">
        <f>SUM(H3:H110)</f>
        <v>909.82000000000039</v>
      </c>
    </row>
  </sheetData>
  <mergeCells count="112">
    <mergeCell ref="A111:C111"/>
    <mergeCell ref="F111:G111"/>
    <mergeCell ref="F7:G7"/>
    <mergeCell ref="F8:G8"/>
    <mergeCell ref="F9:G9"/>
    <mergeCell ref="F10:G10"/>
    <mergeCell ref="F11:G11"/>
    <mergeCell ref="F12:G12"/>
    <mergeCell ref="A1:H1"/>
    <mergeCell ref="F2:G2"/>
    <mergeCell ref="F3:G3"/>
    <mergeCell ref="F4:G4"/>
    <mergeCell ref="F5:G5"/>
    <mergeCell ref="F6:G6"/>
    <mergeCell ref="F19:G19"/>
    <mergeCell ref="F20:G20"/>
    <mergeCell ref="F21:G21"/>
    <mergeCell ref="F22:G22"/>
    <mergeCell ref="F23:G23"/>
    <mergeCell ref="F24:G24"/>
    <mergeCell ref="F13:G13"/>
    <mergeCell ref="F14:G14"/>
    <mergeCell ref="F15:G15"/>
    <mergeCell ref="F16:G16"/>
    <mergeCell ref="F17:G17"/>
    <mergeCell ref="F18:G18"/>
    <mergeCell ref="F31:G31"/>
    <mergeCell ref="F32:G32"/>
    <mergeCell ref="F33:G33"/>
    <mergeCell ref="F34:G34"/>
    <mergeCell ref="F35:G35"/>
    <mergeCell ref="F36:G36"/>
    <mergeCell ref="F25:G25"/>
    <mergeCell ref="F26:G26"/>
    <mergeCell ref="F27:G27"/>
    <mergeCell ref="F28:G28"/>
    <mergeCell ref="F29:G29"/>
    <mergeCell ref="F30:G30"/>
    <mergeCell ref="F43:G43"/>
    <mergeCell ref="F44:G44"/>
    <mergeCell ref="F45:G45"/>
    <mergeCell ref="F46:G46"/>
    <mergeCell ref="F47:G47"/>
    <mergeCell ref="F48:G48"/>
    <mergeCell ref="F37:G37"/>
    <mergeCell ref="F38:G38"/>
    <mergeCell ref="F39:G39"/>
    <mergeCell ref="F40:G40"/>
    <mergeCell ref="F41:G41"/>
    <mergeCell ref="F42:G42"/>
    <mergeCell ref="F55:G55"/>
    <mergeCell ref="F56:G56"/>
    <mergeCell ref="F57:G57"/>
    <mergeCell ref="F58:G58"/>
    <mergeCell ref="F59:G59"/>
    <mergeCell ref="F60:G60"/>
    <mergeCell ref="F49:G49"/>
    <mergeCell ref="F50:G50"/>
    <mergeCell ref="F51:G51"/>
    <mergeCell ref="F52:G52"/>
    <mergeCell ref="F53:G53"/>
    <mergeCell ref="F54:G54"/>
    <mergeCell ref="F67:G67"/>
    <mergeCell ref="F68:G68"/>
    <mergeCell ref="F69:G69"/>
    <mergeCell ref="F70:G70"/>
    <mergeCell ref="F71:G71"/>
    <mergeCell ref="F72:G72"/>
    <mergeCell ref="F61:G61"/>
    <mergeCell ref="F62:G62"/>
    <mergeCell ref="F63:G63"/>
    <mergeCell ref="F64:G64"/>
    <mergeCell ref="F65:G65"/>
    <mergeCell ref="F66:G66"/>
    <mergeCell ref="F79:G79"/>
    <mergeCell ref="F80:G80"/>
    <mergeCell ref="F81:G81"/>
    <mergeCell ref="F82:G82"/>
    <mergeCell ref="F83:G83"/>
    <mergeCell ref="F84:G84"/>
    <mergeCell ref="F73:G73"/>
    <mergeCell ref="F74:G74"/>
    <mergeCell ref="F75:G75"/>
    <mergeCell ref="F76:G76"/>
    <mergeCell ref="F77:G77"/>
    <mergeCell ref="F78:G78"/>
    <mergeCell ref="F91:G91"/>
    <mergeCell ref="F92:G92"/>
    <mergeCell ref="F93:G93"/>
    <mergeCell ref="F94:G94"/>
    <mergeCell ref="F95:G95"/>
    <mergeCell ref="F96:G96"/>
    <mergeCell ref="F85:G85"/>
    <mergeCell ref="F86:G86"/>
    <mergeCell ref="F87:G87"/>
    <mergeCell ref="F88:G88"/>
    <mergeCell ref="F89:G89"/>
    <mergeCell ref="F90:G90"/>
    <mergeCell ref="F109:G109"/>
    <mergeCell ref="F110:G110"/>
    <mergeCell ref="F103:G103"/>
    <mergeCell ref="F104:G104"/>
    <mergeCell ref="F105:G105"/>
    <mergeCell ref="F106:G106"/>
    <mergeCell ref="F107:G107"/>
    <mergeCell ref="F108:G108"/>
    <mergeCell ref="F97:G97"/>
    <mergeCell ref="F98:G98"/>
    <mergeCell ref="F99:G99"/>
    <mergeCell ref="F100:G100"/>
    <mergeCell ref="F101:G101"/>
    <mergeCell ref="F102:G102"/>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I93"/>
  <sheetViews>
    <sheetView topLeftCell="A62" workbookViewId="0">
      <selection activeCell="B65" sqref="B65:I93"/>
    </sheetView>
  </sheetViews>
  <sheetFormatPr defaultRowHeight="13.5"/>
  <sheetData>
    <row r="1" spans="2:7" ht="14.25" thickBot="1"/>
    <row r="2" spans="2:7" ht="14.25" thickBot="1">
      <c r="B2" s="3381" t="s">
        <v>3449</v>
      </c>
      <c r="C2" s="3382"/>
      <c r="D2" s="3000" t="s">
        <v>3450</v>
      </c>
      <c r="E2" s="3000" t="s">
        <v>3451</v>
      </c>
      <c r="F2" s="3000" t="s">
        <v>3452</v>
      </c>
      <c r="G2" s="3000" t="s">
        <v>3453</v>
      </c>
    </row>
    <row r="3" spans="2:7" ht="26.25" thickBot="1">
      <c r="B3" s="3383"/>
      <c r="C3" s="3384"/>
      <c r="D3" s="3001" t="s">
        <v>3468</v>
      </c>
      <c r="E3" s="3001" t="s">
        <v>3469</v>
      </c>
      <c r="F3" s="3001" t="s">
        <v>3472</v>
      </c>
      <c r="G3" s="3001" t="s">
        <v>3475</v>
      </c>
    </row>
    <row r="4" spans="2:7" ht="90" thickBot="1">
      <c r="B4" s="3385"/>
      <c r="C4" s="3386"/>
      <c r="D4" s="3002" t="s">
        <v>3478</v>
      </c>
      <c r="E4" s="3003" t="s">
        <v>3471</v>
      </c>
      <c r="F4" s="3003" t="s">
        <v>3474</v>
      </c>
      <c r="G4" s="3003" t="s">
        <v>3477</v>
      </c>
    </row>
    <row r="5" spans="2:7" ht="14.25" thickBot="1">
      <c r="B5" s="3387" t="s">
        <v>3454</v>
      </c>
      <c r="C5" s="3388"/>
      <c r="D5" s="3004">
        <v>43191</v>
      </c>
      <c r="E5" s="3004">
        <v>43191</v>
      </c>
      <c r="F5" s="3004">
        <v>43191</v>
      </c>
      <c r="G5" s="3004">
        <v>43191</v>
      </c>
    </row>
    <row r="6" spans="2:7" ht="14.25" thickBot="1">
      <c r="B6" s="3389" t="s">
        <v>3455</v>
      </c>
      <c r="C6" s="3390"/>
      <c r="D6" s="3003" t="s">
        <v>3382</v>
      </c>
      <c r="E6" s="3003" t="s">
        <v>3382</v>
      </c>
      <c r="F6" s="3003" t="s">
        <v>3382</v>
      </c>
      <c r="G6" s="3003" t="s">
        <v>3382</v>
      </c>
    </row>
    <row r="7" spans="2:7" ht="14.25" thickBot="1">
      <c r="B7" s="3394" t="s">
        <v>3481</v>
      </c>
      <c r="C7" s="3005" t="s">
        <v>1375</v>
      </c>
      <c r="D7" s="3003" t="s">
        <v>3513</v>
      </c>
      <c r="E7" s="3003" t="s">
        <v>3513</v>
      </c>
      <c r="F7" s="3003" t="s">
        <v>3513</v>
      </c>
      <c r="G7" s="3003" t="s">
        <v>3513</v>
      </c>
    </row>
    <row r="8" spans="2:7" ht="26.25" thickBot="1">
      <c r="B8" s="3395"/>
      <c r="C8" s="3005" t="s">
        <v>3456</v>
      </c>
      <c r="D8" s="3003" t="s">
        <v>3479</v>
      </c>
      <c r="E8" s="3003" t="s">
        <v>3479</v>
      </c>
      <c r="F8" s="3003" t="s">
        <v>3479</v>
      </c>
      <c r="G8" s="3003" t="s">
        <v>3479</v>
      </c>
    </row>
    <row r="9" spans="2:7" ht="14.25" thickBot="1">
      <c r="B9" s="3396"/>
      <c r="C9" s="3003" t="s">
        <v>3482</v>
      </c>
      <c r="D9" s="3008">
        <v>5.31</v>
      </c>
      <c r="E9" s="3008">
        <v>4</v>
      </c>
      <c r="F9" s="3008">
        <v>4.09</v>
      </c>
      <c r="G9" s="3008">
        <v>2.2999999999999998</v>
      </c>
    </row>
    <row r="10" spans="2:7" ht="141" thickBot="1">
      <c r="B10" s="3397" t="s">
        <v>3457</v>
      </c>
      <c r="C10" s="3006" t="s">
        <v>3483</v>
      </c>
      <c r="D10" s="3003" t="s">
        <v>3484</v>
      </c>
      <c r="E10" s="3003" t="s">
        <v>3514</v>
      </c>
      <c r="F10" s="3003" t="s">
        <v>3518</v>
      </c>
      <c r="G10" s="3003" t="s">
        <v>3519</v>
      </c>
    </row>
    <row r="11" spans="2:7" ht="60.75" customHeight="1" thickBot="1">
      <c r="B11" s="3398"/>
      <c r="C11" s="3006" t="s">
        <v>3485</v>
      </c>
      <c r="D11" s="3003" t="s">
        <v>3486</v>
      </c>
      <c r="E11" s="3003" t="s">
        <v>3515</v>
      </c>
      <c r="F11" s="3003" t="s">
        <v>3515</v>
      </c>
      <c r="G11" s="3003" t="s">
        <v>3515</v>
      </c>
    </row>
    <row r="12" spans="2:7" ht="201" customHeight="1" thickBot="1">
      <c r="B12" s="3398"/>
      <c r="C12" s="3006" t="s">
        <v>3458</v>
      </c>
      <c r="D12" s="3003" t="s">
        <v>3487</v>
      </c>
      <c r="E12" s="3003" t="s">
        <v>3516</v>
      </c>
      <c r="F12" s="3003" t="s">
        <v>3516</v>
      </c>
      <c r="G12" s="3003" t="s">
        <v>3516</v>
      </c>
    </row>
    <row r="13" spans="2:7" ht="14.25" thickBot="1">
      <c r="B13" s="3398"/>
      <c r="C13" s="3006" t="s">
        <v>3459</v>
      </c>
      <c r="D13" s="3003" t="s">
        <v>3386</v>
      </c>
      <c r="E13" s="3003" t="s">
        <v>3386</v>
      </c>
      <c r="F13" s="3003" t="s">
        <v>3386</v>
      </c>
      <c r="G13" s="3003" t="s">
        <v>3386</v>
      </c>
    </row>
    <row r="14" spans="2:7" ht="90" thickBot="1">
      <c r="B14" s="3398"/>
      <c r="C14" s="3006" t="s">
        <v>3488</v>
      </c>
      <c r="D14" s="3003" t="s">
        <v>3489</v>
      </c>
      <c r="E14" s="3003" t="s">
        <v>3517</v>
      </c>
      <c r="F14" s="3003" t="s">
        <v>3517</v>
      </c>
      <c r="G14" s="3003" t="s">
        <v>3517</v>
      </c>
    </row>
    <row r="15" spans="2:7" ht="14.25" thickBot="1">
      <c r="B15" s="3398"/>
      <c r="C15" s="3006" t="s">
        <v>3490</v>
      </c>
      <c r="D15" s="3003" t="s">
        <v>3491</v>
      </c>
      <c r="E15" s="3003" t="s">
        <v>3491</v>
      </c>
      <c r="F15" s="3003" t="s">
        <v>3491</v>
      </c>
      <c r="G15" s="3003" t="s">
        <v>3491</v>
      </c>
    </row>
    <row r="16" spans="2:7" ht="14.25" thickBot="1">
      <c r="B16" s="3398"/>
      <c r="C16" s="3006" t="s">
        <v>3492</v>
      </c>
      <c r="D16" s="3003" t="s">
        <v>3493</v>
      </c>
      <c r="E16" s="3003" t="s">
        <v>3494</v>
      </c>
      <c r="F16" s="3003" t="s">
        <v>3495</v>
      </c>
      <c r="G16" s="3003" t="s">
        <v>3494</v>
      </c>
    </row>
    <row r="17" spans="2:7" ht="14.25" thickBot="1">
      <c r="B17" s="3398"/>
      <c r="C17" s="3006" t="s">
        <v>3496</v>
      </c>
      <c r="D17" s="3003" t="s">
        <v>3494</v>
      </c>
      <c r="E17" s="3003" t="s">
        <v>3495</v>
      </c>
      <c r="F17" s="3003" t="s">
        <v>3495</v>
      </c>
      <c r="G17" s="3003" t="s">
        <v>3495</v>
      </c>
    </row>
    <row r="18" spans="2:7" ht="14.25" thickBot="1">
      <c r="B18" s="3398"/>
      <c r="C18" s="3006" t="s">
        <v>3079</v>
      </c>
      <c r="D18" s="3003" t="s">
        <v>3497</v>
      </c>
      <c r="E18" s="3003" t="s">
        <v>3497</v>
      </c>
      <c r="F18" s="3003" t="s">
        <v>3497</v>
      </c>
      <c r="G18" s="3003" t="s">
        <v>3497</v>
      </c>
    </row>
    <row r="19" spans="2:7" ht="14.25" thickBot="1">
      <c r="B19" s="3391" t="s">
        <v>3460</v>
      </c>
      <c r="C19" s="3006" t="s">
        <v>3498</v>
      </c>
      <c r="D19" s="3001" t="s">
        <v>3499</v>
      </c>
      <c r="E19" s="3001" t="s">
        <v>3500</v>
      </c>
      <c r="F19" s="3001" t="s">
        <v>3500</v>
      </c>
      <c r="G19" s="3001" t="s">
        <v>3501</v>
      </c>
    </row>
    <row r="20" spans="2:7" ht="14.25" thickBot="1">
      <c r="B20" s="3392"/>
      <c r="C20" s="3006" t="s">
        <v>3461</v>
      </c>
      <c r="D20" s="3001">
        <v>191290</v>
      </c>
      <c r="E20" s="3001">
        <v>80000</v>
      </c>
      <c r="F20" s="3001">
        <v>220000</v>
      </c>
      <c r="G20" s="3001">
        <v>1840017</v>
      </c>
    </row>
    <row r="21" spans="2:7" ht="14.25" thickBot="1">
      <c r="B21" s="3392"/>
      <c r="C21" s="3006" t="s">
        <v>3462</v>
      </c>
      <c r="D21" s="3001" t="s">
        <v>3375</v>
      </c>
      <c r="E21" s="3001" t="s">
        <v>3375</v>
      </c>
      <c r="F21" s="3001" t="s">
        <v>3375</v>
      </c>
      <c r="G21" s="3001" t="s">
        <v>3375</v>
      </c>
    </row>
    <row r="22" spans="2:7" ht="14.25" thickBot="1">
      <c r="B22" s="3392"/>
      <c r="C22" s="3006" t="s">
        <v>3463</v>
      </c>
      <c r="D22" s="3001" t="s">
        <v>3412</v>
      </c>
      <c r="E22" s="3001" t="s">
        <v>3502</v>
      </c>
      <c r="F22" s="3001" t="s">
        <v>3412</v>
      </c>
      <c r="G22" s="3001" t="s">
        <v>3412</v>
      </c>
    </row>
    <row r="23" spans="2:7" ht="14.25" thickBot="1">
      <c r="B23" s="3392"/>
      <c r="C23" s="3006" t="s">
        <v>3464</v>
      </c>
      <c r="D23" s="3007">
        <v>0.95</v>
      </c>
      <c r="E23" s="3007">
        <v>1</v>
      </c>
      <c r="F23" s="3007">
        <v>1</v>
      </c>
      <c r="G23" s="3007">
        <v>1</v>
      </c>
    </row>
    <row r="24" spans="2:7" ht="14.25" thickBot="1">
      <c r="B24" s="3392"/>
      <c r="C24" s="3006" t="s">
        <v>3465</v>
      </c>
      <c r="D24" s="3001" t="s">
        <v>3386</v>
      </c>
      <c r="E24" s="3001" t="s">
        <v>3386</v>
      </c>
      <c r="F24" s="3001" t="s">
        <v>3386</v>
      </c>
      <c r="G24" s="3001" t="s">
        <v>3386</v>
      </c>
    </row>
    <row r="25" spans="2:7" ht="26.25" thickBot="1">
      <c r="B25" s="3392"/>
      <c r="C25" s="3006" t="s">
        <v>3503</v>
      </c>
      <c r="D25" s="3001" t="s">
        <v>3504</v>
      </c>
      <c r="E25" s="3001" t="s">
        <v>3505</v>
      </c>
      <c r="F25" s="3001" t="s">
        <v>3504</v>
      </c>
      <c r="G25" s="3001" t="s">
        <v>3506</v>
      </c>
    </row>
    <row r="26" spans="2:7" ht="14.25" thickBot="1">
      <c r="B26" s="3392"/>
      <c r="C26" s="3006" t="s">
        <v>3507</v>
      </c>
      <c r="D26" s="3001" t="s">
        <v>3508</v>
      </c>
      <c r="E26" s="3001" t="s">
        <v>3508</v>
      </c>
      <c r="F26" s="3001" t="s">
        <v>3508</v>
      </c>
      <c r="G26" s="3001" t="s">
        <v>3508</v>
      </c>
    </row>
    <row r="27" spans="2:7" ht="14.25" thickBot="1">
      <c r="B27" s="3392"/>
      <c r="C27" s="3006" t="s">
        <v>3520</v>
      </c>
      <c r="D27" s="3001">
        <v>168.91</v>
      </c>
      <c r="E27" s="3001">
        <v>143</v>
      </c>
      <c r="F27" s="3001">
        <v>150</v>
      </c>
      <c r="G27" s="3001">
        <v>122</v>
      </c>
    </row>
    <row r="28" spans="2:7" ht="14.25" thickBot="1">
      <c r="B28" s="3392"/>
      <c r="C28" s="3006" t="s">
        <v>3509</v>
      </c>
      <c r="D28" s="3001" t="s">
        <v>3510</v>
      </c>
      <c r="E28" s="3001" t="s">
        <v>3510</v>
      </c>
      <c r="F28" s="3001" t="s">
        <v>3510</v>
      </c>
      <c r="G28" s="3001" t="s">
        <v>3510</v>
      </c>
    </row>
    <row r="29" spans="2:7" ht="14.25" thickBot="1">
      <c r="B29" s="3392"/>
      <c r="C29" s="3006" t="s">
        <v>3466</v>
      </c>
      <c r="D29" s="3001" t="s">
        <v>3511</v>
      </c>
      <c r="E29" s="3001" t="s">
        <v>3512</v>
      </c>
      <c r="F29" s="3001" t="s">
        <v>3512</v>
      </c>
      <c r="G29" s="3001" t="s">
        <v>3512</v>
      </c>
    </row>
    <row r="30" spans="2:7" ht="14.25" thickBot="1">
      <c r="B30" s="3393"/>
      <c r="C30" s="3006" t="s">
        <v>3467</v>
      </c>
      <c r="D30" s="3001" t="s">
        <v>3385</v>
      </c>
      <c r="E30" s="3001" t="s">
        <v>3385</v>
      </c>
      <c r="F30" s="3001" t="s">
        <v>3385</v>
      </c>
      <c r="G30" s="3001" t="s">
        <v>3385</v>
      </c>
    </row>
    <row r="34" spans="2:7">
      <c r="B34" s="3401" t="s">
        <v>3449</v>
      </c>
      <c r="C34" s="3401"/>
      <c r="D34" s="3010" t="s">
        <v>3450</v>
      </c>
      <c r="E34" s="3010" t="s">
        <v>3451</v>
      </c>
      <c r="F34" s="3010" t="s">
        <v>3452</v>
      </c>
      <c r="G34" s="3010" t="s">
        <v>3453</v>
      </c>
    </row>
    <row r="35" spans="2:7">
      <c r="B35" s="3401" t="s">
        <v>3521</v>
      </c>
      <c r="C35" s="3401"/>
      <c r="D35" s="3011">
        <v>100</v>
      </c>
      <c r="E35" s="3011">
        <v>100</v>
      </c>
      <c r="F35" s="3011">
        <v>100</v>
      </c>
      <c r="G35" s="3011">
        <v>100</v>
      </c>
    </row>
    <row r="36" spans="2:7">
      <c r="B36" s="3401" t="s">
        <v>3455</v>
      </c>
      <c r="C36" s="3401"/>
      <c r="D36" s="3011">
        <v>100</v>
      </c>
      <c r="E36" s="3011">
        <v>100</v>
      </c>
      <c r="F36" s="3011">
        <v>100</v>
      </c>
      <c r="G36" s="3011">
        <v>100</v>
      </c>
    </row>
    <row r="37" spans="2:7">
      <c r="B37" s="3402" t="s">
        <v>3480</v>
      </c>
      <c r="C37" s="3012" t="s">
        <v>1375</v>
      </c>
      <c r="D37" s="3011">
        <v>100</v>
      </c>
      <c r="E37" s="3011">
        <v>100</v>
      </c>
      <c r="F37" s="3011">
        <v>100</v>
      </c>
      <c r="G37" s="3011">
        <v>100</v>
      </c>
    </row>
    <row r="38" spans="2:7">
      <c r="B38" s="3402"/>
      <c r="C38" s="3012" t="s">
        <v>3456</v>
      </c>
      <c r="D38" s="3011">
        <v>100</v>
      </c>
      <c r="E38" s="3011">
        <v>100</v>
      </c>
      <c r="F38" s="3011">
        <v>100</v>
      </c>
      <c r="G38" s="3011">
        <v>100</v>
      </c>
    </row>
    <row r="39" spans="2:7">
      <c r="B39" s="3402"/>
      <c r="C39" s="3012" t="s">
        <v>3482</v>
      </c>
      <c r="D39" s="3011">
        <v>100</v>
      </c>
      <c r="E39" s="3011">
        <v>100</v>
      </c>
      <c r="F39" s="3011">
        <v>100</v>
      </c>
      <c r="G39" s="3011">
        <v>105</v>
      </c>
    </row>
    <row r="40" spans="2:7">
      <c r="B40" s="3403" t="s">
        <v>3457</v>
      </c>
      <c r="C40" s="3012" t="str">
        <f>C10</f>
        <v>商业繁华度</v>
      </c>
      <c r="D40" s="3011">
        <v>100</v>
      </c>
      <c r="E40" s="3011">
        <v>97</v>
      </c>
      <c r="F40" s="3011">
        <v>97</v>
      </c>
      <c r="G40" s="3011">
        <v>100</v>
      </c>
    </row>
    <row r="41" spans="2:7">
      <c r="B41" s="3403"/>
      <c r="C41" s="3012" t="str">
        <f t="shared" ref="C41:C48" si="0">C11</f>
        <v>交通便捷度</v>
      </c>
      <c r="D41" s="3011">
        <v>100</v>
      </c>
      <c r="E41" s="3011">
        <v>100</v>
      </c>
      <c r="F41" s="3011">
        <v>100</v>
      </c>
      <c r="G41" s="3011">
        <v>100</v>
      </c>
    </row>
    <row r="42" spans="2:7">
      <c r="B42" s="3403"/>
      <c r="C42" s="3012" t="str">
        <f t="shared" si="0"/>
        <v>公共配套设施</v>
      </c>
      <c r="D42" s="3011">
        <v>100</v>
      </c>
      <c r="E42" s="3011">
        <v>100</v>
      </c>
      <c r="F42" s="3011">
        <v>100</v>
      </c>
      <c r="G42" s="3011">
        <v>100</v>
      </c>
    </row>
    <row r="43" spans="2:7">
      <c r="B43" s="3403"/>
      <c r="C43" s="3012" t="str">
        <f t="shared" si="0"/>
        <v>区域基础设施水平</v>
      </c>
      <c r="D43" s="3011">
        <v>100</v>
      </c>
      <c r="E43" s="3011">
        <v>100</v>
      </c>
      <c r="F43" s="3011">
        <v>100</v>
      </c>
      <c r="G43" s="3011">
        <v>100</v>
      </c>
    </row>
    <row r="44" spans="2:7">
      <c r="B44" s="3403"/>
      <c r="C44" s="3012" t="str">
        <f t="shared" si="0"/>
        <v>自然及人文环境</v>
      </c>
      <c r="D44" s="3011">
        <v>100</v>
      </c>
      <c r="E44" s="3011">
        <v>100</v>
      </c>
      <c r="F44" s="3011">
        <v>100</v>
      </c>
      <c r="G44" s="3011">
        <v>100</v>
      </c>
    </row>
    <row r="45" spans="2:7">
      <c r="B45" s="3403"/>
      <c r="C45" s="3012" t="str">
        <f t="shared" si="0"/>
        <v>临街状况</v>
      </c>
      <c r="D45" s="3011">
        <v>100</v>
      </c>
      <c r="E45" s="3011">
        <v>100</v>
      </c>
      <c r="F45" s="3011">
        <v>100</v>
      </c>
      <c r="G45" s="3011">
        <v>100</v>
      </c>
    </row>
    <row r="46" spans="2:7">
      <c r="B46" s="3403"/>
      <c r="C46" s="3012" t="str">
        <f t="shared" si="0"/>
        <v>可视性</v>
      </c>
      <c r="D46" s="3011">
        <v>100</v>
      </c>
      <c r="E46" s="3011">
        <v>100</v>
      </c>
      <c r="F46" s="3011">
        <v>97</v>
      </c>
      <c r="G46" s="3011">
        <v>100</v>
      </c>
    </row>
    <row r="47" spans="2:7">
      <c r="B47" s="3403"/>
      <c r="C47" s="3012" t="str">
        <f t="shared" si="0"/>
        <v>人流量</v>
      </c>
      <c r="D47" s="3011">
        <v>100</v>
      </c>
      <c r="E47" s="3011">
        <v>99</v>
      </c>
      <c r="F47" s="3011">
        <v>99</v>
      </c>
      <c r="G47" s="3011">
        <v>99</v>
      </c>
    </row>
    <row r="48" spans="2:7">
      <c r="B48" s="3403"/>
      <c r="C48" s="3012" t="str">
        <f t="shared" si="0"/>
        <v>楼层</v>
      </c>
      <c r="D48" s="3011">
        <v>100</v>
      </c>
      <c r="E48" s="3011">
        <v>100</v>
      </c>
      <c r="F48" s="3011">
        <v>100</v>
      </c>
      <c r="G48" s="3011">
        <v>100</v>
      </c>
    </row>
    <row r="49" spans="2:8">
      <c r="B49" s="3402" t="s">
        <v>3460</v>
      </c>
      <c r="C49" s="3012" t="str">
        <f>C19</f>
        <v>商业类型</v>
      </c>
      <c r="D49" s="3011">
        <v>100</v>
      </c>
      <c r="E49" s="3011">
        <v>95</v>
      </c>
      <c r="F49" s="3011">
        <v>95</v>
      </c>
      <c r="G49" s="3011">
        <v>85</v>
      </c>
    </row>
    <row r="50" spans="2:8">
      <c r="B50" s="3402"/>
      <c r="C50" s="3012" t="str">
        <f t="shared" ref="C50:C59" si="1">C20</f>
        <v>项目建筑规模（㎡）</v>
      </c>
      <c r="D50" s="3011">
        <v>100</v>
      </c>
      <c r="E50" s="3011">
        <v>98</v>
      </c>
      <c r="F50" s="3011">
        <v>102</v>
      </c>
      <c r="G50" s="3011">
        <v>100</v>
      </c>
    </row>
    <row r="51" spans="2:8">
      <c r="B51" s="3402"/>
      <c r="C51" s="3012" t="str">
        <f t="shared" si="1"/>
        <v>建筑结构</v>
      </c>
      <c r="D51" s="3011">
        <v>100</v>
      </c>
      <c r="E51" s="3011">
        <v>100</v>
      </c>
      <c r="F51" s="3011">
        <v>100</v>
      </c>
      <c r="G51" s="3011">
        <v>100</v>
      </c>
    </row>
    <row r="52" spans="2:8">
      <c r="B52" s="3402"/>
      <c r="C52" s="3012" t="str">
        <f t="shared" si="1"/>
        <v>公共部分装修</v>
      </c>
      <c r="D52" s="3011">
        <v>100</v>
      </c>
      <c r="E52" s="3011">
        <v>97</v>
      </c>
      <c r="F52" s="3011">
        <v>100</v>
      </c>
      <c r="G52" s="3011">
        <v>100</v>
      </c>
    </row>
    <row r="53" spans="2:8">
      <c r="B53" s="3402"/>
      <c r="C53" s="3012" t="str">
        <f t="shared" si="1"/>
        <v>成新率</v>
      </c>
      <c r="D53" s="3011">
        <v>100</v>
      </c>
      <c r="E53" s="3011">
        <v>100</v>
      </c>
      <c r="F53" s="3011">
        <v>100</v>
      </c>
      <c r="G53" s="3011">
        <v>100</v>
      </c>
    </row>
    <row r="54" spans="2:8">
      <c r="B54" s="3402"/>
      <c r="C54" s="3012" t="str">
        <f t="shared" si="1"/>
        <v>市政基础设施</v>
      </c>
      <c r="D54" s="3011">
        <v>100</v>
      </c>
      <c r="E54" s="3011">
        <v>100</v>
      </c>
      <c r="F54" s="3011">
        <v>100</v>
      </c>
      <c r="G54" s="3011">
        <v>100</v>
      </c>
    </row>
    <row r="55" spans="2:8">
      <c r="B55" s="3402"/>
      <c r="C55" s="3012" t="str">
        <f t="shared" si="1"/>
        <v>业态</v>
      </c>
      <c r="D55" s="3011">
        <v>100</v>
      </c>
      <c r="E55" s="3011">
        <v>95</v>
      </c>
      <c r="F55" s="3011">
        <v>100</v>
      </c>
      <c r="G55" s="3011">
        <v>90</v>
      </c>
    </row>
    <row r="56" spans="2:8">
      <c r="B56" s="3402"/>
      <c r="C56" s="3012" t="str">
        <f t="shared" si="1"/>
        <v>层高</v>
      </c>
      <c r="D56" s="3011">
        <v>100</v>
      </c>
      <c r="E56" s="3011">
        <v>100</v>
      </c>
      <c r="F56" s="3011">
        <v>100</v>
      </c>
      <c r="G56" s="3011">
        <v>100</v>
      </c>
    </row>
    <row r="57" spans="2:8" ht="14.25" thickBot="1">
      <c r="B57" s="3402"/>
      <c r="C57" s="3012" t="str">
        <f t="shared" si="1"/>
        <v>单套建筑面积（平方米）</v>
      </c>
      <c r="D57" s="3011">
        <v>100</v>
      </c>
      <c r="E57" s="3011">
        <v>100</v>
      </c>
      <c r="F57" s="3011">
        <v>100</v>
      </c>
      <c r="G57" s="3011">
        <v>100</v>
      </c>
      <c r="H57" s="3009"/>
    </row>
    <row r="58" spans="2:8">
      <c r="B58" s="3402"/>
      <c r="C58" s="3012" t="str">
        <f t="shared" si="1"/>
        <v>进深比</v>
      </c>
      <c r="D58" s="3011">
        <v>100</v>
      </c>
      <c r="E58" s="3011">
        <v>100</v>
      </c>
      <c r="F58" s="3011">
        <v>100</v>
      </c>
      <c r="G58" s="3011">
        <v>100</v>
      </c>
    </row>
    <row r="59" spans="2:8">
      <c r="B59" s="3402"/>
      <c r="C59" s="3012" t="str">
        <f t="shared" si="1"/>
        <v>内部装修</v>
      </c>
      <c r="D59" s="3011">
        <v>100</v>
      </c>
      <c r="E59" s="3011">
        <v>97</v>
      </c>
      <c r="F59" s="3011">
        <v>97</v>
      </c>
      <c r="G59" s="3011">
        <v>97</v>
      </c>
    </row>
    <row r="60" spans="2:8">
      <c r="B60" s="3402"/>
      <c r="C60" s="3012" t="str">
        <f>C30</f>
        <v>内部装修维护状况</v>
      </c>
      <c r="D60" s="3011">
        <v>100</v>
      </c>
      <c r="E60" s="3011">
        <v>100</v>
      </c>
      <c r="F60" s="3011">
        <v>100</v>
      </c>
      <c r="G60" s="3011">
        <v>100</v>
      </c>
    </row>
    <row r="64" spans="2:8" ht="14.25" thickBot="1"/>
    <row r="65" spans="2:9" ht="14.25" thickBot="1">
      <c r="B65" s="3387" t="s">
        <v>3449</v>
      </c>
      <c r="C65" s="3388"/>
      <c r="D65" s="3404" t="s">
        <v>3451</v>
      </c>
      <c r="E65" s="3405"/>
      <c r="F65" s="3404" t="s">
        <v>3452</v>
      </c>
      <c r="G65" s="3405"/>
      <c r="H65" s="3404" t="s">
        <v>3453</v>
      </c>
      <c r="I65" s="3405"/>
    </row>
    <row r="66" spans="2:9" ht="14.25" thickBot="1">
      <c r="B66" s="3399" t="s">
        <v>3521</v>
      </c>
      <c r="C66" s="3400"/>
      <c r="D66" s="3013" t="s">
        <v>3522</v>
      </c>
      <c r="E66" s="3009">
        <f>E35</f>
        <v>100</v>
      </c>
      <c r="F66" s="3013" t="s">
        <v>3522</v>
      </c>
      <c r="G66" s="3009">
        <f>F35</f>
        <v>100</v>
      </c>
      <c r="H66" s="3013" t="s">
        <v>3522</v>
      </c>
      <c r="I66" s="3009">
        <f>G35</f>
        <v>100</v>
      </c>
    </row>
    <row r="67" spans="2:9" ht="14.25" thickBot="1">
      <c r="B67" s="3399" t="s">
        <v>3455</v>
      </c>
      <c r="C67" s="3400"/>
      <c r="D67" s="3013" t="s">
        <v>3522</v>
      </c>
      <c r="E67" s="3009">
        <f t="shared" ref="E67:E91" si="2">E36</f>
        <v>100</v>
      </c>
      <c r="F67" s="3013" t="s">
        <v>3522</v>
      </c>
      <c r="G67" s="3009">
        <f t="shared" ref="G67:G90" si="3">F36</f>
        <v>100</v>
      </c>
      <c r="H67" s="3013" t="s">
        <v>3522</v>
      </c>
      <c r="I67" s="3009">
        <f t="shared" ref="I67:I91" si="4">G36</f>
        <v>100</v>
      </c>
    </row>
    <row r="68" spans="2:9" ht="14.25" thickBot="1">
      <c r="B68" s="3406" t="s">
        <v>3480</v>
      </c>
      <c r="C68" s="3006" t="str">
        <f>C37</f>
        <v>用途</v>
      </c>
      <c r="D68" s="3013" t="s">
        <v>3522</v>
      </c>
      <c r="E68" s="3009">
        <f t="shared" si="2"/>
        <v>100</v>
      </c>
      <c r="F68" s="3013" t="s">
        <v>3522</v>
      </c>
      <c r="G68" s="3009">
        <f t="shared" si="3"/>
        <v>100</v>
      </c>
      <c r="H68" s="3013" t="s">
        <v>3522</v>
      </c>
      <c r="I68" s="3009">
        <f t="shared" si="4"/>
        <v>100</v>
      </c>
    </row>
    <row r="69" spans="2:9" ht="14.25" thickBot="1">
      <c r="B69" s="3398"/>
      <c r="C69" s="3006" t="str">
        <f t="shared" ref="C69:C70" si="5">C38</f>
        <v>土地使用年限（年）</v>
      </c>
      <c r="D69" s="3013" t="s">
        <v>3522</v>
      </c>
      <c r="E69" s="3009">
        <f t="shared" si="2"/>
        <v>100</v>
      </c>
      <c r="F69" s="3013" t="s">
        <v>3522</v>
      </c>
      <c r="G69" s="3009">
        <f t="shared" si="3"/>
        <v>100</v>
      </c>
      <c r="H69" s="3013" t="s">
        <v>3522</v>
      </c>
      <c r="I69" s="3009">
        <f t="shared" si="4"/>
        <v>100</v>
      </c>
    </row>
    <row r="70" spans="2:9" ht="14.25" thickBot="1">
      <c r="B70" s="3407"/>
      <c r="C70" s="3006" t="str">
        <f t="shared" si="5"/>
        <v>容积率</v>
      </c>
      <c r="D70" s="3013" t="s">
        <v>3522</v>
      </c>
      <c r="E70" s="3009">
        <f t="shared" si="2"/>
        <v>100</v>
      </c>
      <c r="F70" s="3013" t="s">
        <v>3522</v>
      </c>
      <c r="G70" s="3009">
        <f t="shared" si="3"/>
        <v>100</v>
      </c>
      <c r="H70" s="3013" t="s">
        <v>3522</v>
      </c>
      <c r="I70" s="3009">
        <f t="shared" si="4"/>
        <v>105</v>
      </c>
    </row>
    <row r="71" spans="2:9" ht="14.25" thickBot="1">
      <c r="B71" s="3391" t="s">
        <v>3457</v>
      </c>
      <c r="C71" s="3006" t="str">
        <f>C40</f>
        <v>商业繁华度</v>
      </c>
      <c r="D71" s="3013" t="s">
        <v>3522</v>
      </c>
      <c r="E71" s="3009">
        <f t="shared" si="2"/>
        <v>97</v>
      </c>
      <c r="F71" s="3013" t="s">
        <v>3522</v>
      </c>
      <c r="G71" s="3009">
        <f t="shared" si="3"/>
        <v>97</v>
      </c>
      <c r="H71" s="3013" t="s">
        <v>3522</v>
      </c>
      <c r="I71" s="3009">
        <f t="shared" si="4"/>
        <v>100</v>
      </c>
    </row>
    <row r="72" spans="2:9" ht="14.25" thickBot="1">
      <c r="B72" s="3392"/>
      <c r="C72" s="3006" t="str">
        <f t="shared" ref="C72:C79" si="6">C41</f>
        <v>交通便捷度</v>
      </c>
      <c r="D72" s="3013" t="s">
        <v>3522</v>
      </c>
      <c r="E72" s="3009">
        <f t="shared" si="2"/>
        <v>100</v>
      </c>
      <c r="F72" s="3013" t="s">
        <v>3522</v>
      </c>
      <c r="G72" s="3009">
        <f t="shared" si="3"/>
        <v>100</v>
      </c>
      <c r="H72" s="3013" t="s">
        <v>3522</v>
      </c>
      <c r="I72" s="3009">
        <f t="shared" si="4"/>
        <v>100</v>
      </c>
    </row>
    <row r="73" spans="2:9" ht="14.25" thickBot="1">
      <c r="B73" s="3392"/>
      <c r="C73" s="3006" t="str">
        <f t="shared" si="6"/>
        <v>公共配套设施</v>
      </c>
      <c r="D73" s="3013" t="s">
        <v>3522</v>
      </c>
      <c r="E73" s="3009">
        <f t="shared" si="2"/>
        <v>100</v>
      </c>
      <c r="F73" s="3013" t="s">
        <v>3522</v>
      </c>
      <c r="G73" s="3009">
        <f t="shared" si="3"/>
        <v>100</v>
      </c>
      <c r="H73" s="3013" t="s">
        <v>3522</v>
      </c>
      <c r="I73" s="3009">
        <f t="shared" si="4"/>
        <v>100</v>
      </c>
    </row>
    <row r="74" spans="2:9" ht="14.25" thickBot="1">
      <c r="B74" s="3392"/>
      <c r="C74" s="3006" t="str">
        <f t="shared" si="6"/>
        <v>区域基础设施水平</v>
      </c>
      <c r="D74" s="3013" t="s">
        <v>3522</v>
      </c>
      <c r="E74" s="3009">
        <f t="shared" si="2"/>
        <v>100</v>
      </c>
      <c r="F74" s="3013" t="s">
        <v>3522</v>
      </c>
      <c r="G74" s="3009">
        <f t="shared" si="3"/>
        <v>100</v>
      </c>
      <c r="H74" s="3013" t="s">
        <v>3522</v>
      </c>
      <c r="I74" s="3009">
        <f t="shared" si="4"/>
        <v>100</v>
      </c>
    </row>
    <row r="75" spans="2:9" ht="14.25" thickBot="1">
      <c r="B75" s="3392"/>
      <c r="C75" s="3006" t="str">
        <f t="shared" si="6"/>
        <v>自然及人文环境</v>
      </c>
      <c r="D75" s="3013" t="s">
        <v>3522</v>
      </c>
      <c r="E75" s="3009">
        <f t="shared" si="2"/>
        <v>100</v>
      </c>
      <c r="F75" s="3013" t="s">
        <v>3522</v>
      </c>
      <c r="G75" s="3009">
        <f t="shared" si="3"/>
        <v>100</v>
      </c>
      <c r="H75" s="3013" t="s">
        <v>3522</v>
      </c>
      <c r="I75" s="3009">
        <f t="shared" si="4"/>
        <v>100</v>
      </c>
    </row>
    <row r="76" spans="2:9" ht="14.25" thickBot="1">
      <c r="B76" s="3392"/>
      <c r="C76" s="3006" t="str">
        <f t="shared" si="6"/>
        <v>临街状况</v>
      </c>
      <c r="D76" s="3013" t="s">
        <v>3522</v>
      </c>
      <c r="E76" s="3009">
        <f t="shared" si="2"/>
        <v>100</v>
      </c>
      <c r="F76" s="3013" t="s">
        <v>3522</v>
      </c>
      <c r="G76" s="3009">
        <f t="shared" si="3"/>
        <v>100</v>
      </c>
      <c r="H76" s="3013" t="s">
        <v>3522</v>
      </c>
      <c r="I76" s="3009">
        <f t="shared" si="4"/>
        <v>100</v>
      </c>
    </row>
    <row r="77" spans="2:9" ht="14.25" thickBot="1">
      <c r="B77" s="3392"/>
      <c r="C77" s="3006" t="str">
        <f t="shared" si="6"/>
        <v>可视性</v>
      </c>
      <c r="D77" s="3013" t="s">
        <v>3522</v>
      </c>
      <c r="E77" s="3009">
        <f t="shared" si="2"/>
        <v>100</v>
      </c>
      <c r="F77" s="3013" t="s">
        <v>3522</v>
      </c>
      <c r="G77" s="3009">
        <f t="shared" si="3"/>
        <v>97</v>
      </c>
      <c r="H77" s="3013" t="s">
        <v>3522</v>
      </c>
      <c r="I77" s="3009">
        <f t="shared" si="4"/>
        <v>100</v>
      </c>
    </row>
    <row r="78" spans="2:9" ht="14.25" thickBot="1">
      <c r="B78" s="3392"/>
      <c r="C78" s="3006" t="str">
        <f t="shared" si="6"/>
        <v>人流量</v>
      </c>
      <c r="D78" s="3013" t="s">
        <v>3522</v>
      </c>
      <c r="E78" s="3009">
        <f t="shared" si="2"/>
        <v>99</v>
      </c>
      <c r="F78" s="3013" t="s">
        <v>3522</v>
      </c>
      <c r="G78" s="3009">
        <f t="shared" si="3"/>
        <v>99</v>
      </c>
      <c r="H78" s="3013" t="s">
        <v>3522</v>
      </c>
      <c r="I78" s="3009">
        <f t="shared" si="4"/>
        <v>99</v>
      </c>
    </row>
    <row r="79" spans="2:9" ht="14.25" thickBot="1">
      <c r="B79" s="3393"/>
      <c r="C79" s="3006" t="str">
        <f t="shared" si="6"/>
        <v>楼层</v>
      </c>
      <c r="D79" s="3013" t="s">
        <v>3522</v>
      </c>
      <c r="E79" s="3009">
        <f t="shared" si="2"/>
        <v>100</v>
      </c>
      <c r="F79" s="3013" t="s">
        <v>3522</v>
      </c>
      <c r="G79" s="3009">
        <f t="shared" si="3"/>
        <v>100</v>
      </c>
      <c r="H79" s="3013" t="s">
        <v>3522</v>
      </c>
      <c r="I79" s="3009">
        <f t="shared" si="4"/>
        <v>100</v>
      </c>
    </row>
    <row r="80" spans="2:9" ht="14.25" thickBot="1">
      <c r="B80" s="3391" t="s">
        <v>3460</v>
      </c>
      <c r="C80" s="3006" t="str">
        <f>C49</f>
        <v>商业类型</v>
      </c>
      <c r="D80" s="3013" t="s">
        <v>3522</v>
      </c>
      <c r="E80" s="3009">
        <f t="shared" si="2"/>
        <v>95</v>
      </c>
      <c r="F80" s="3013" t="s">
        <v>3522</v>
      </c>
      <c r="G80" s="3009">
        <f t="shared" si="3"/>
        <v>95</v>
      </c>
      <c r="H80" s="3013" t="s">
        <v>3522</v>
      </c>
      <c r="I80" s="3009">
        <f t="shared" si="4"/>
        <v>85</v>
      </c>
    </row>
    <row r="81" spans="2:9" ht="14.25" thickBot="1">
      <c r="B81" s="3392"/>
      <c r="C81" s="3006" t="str">
        <f t="shared" ref="C81:C91" si="7">C50</f>
        <v>项目建筑规模（㎡）</v>
      </c>
      <c r="D81" s="3013" t="s">
        <v>3522</v>
      </c>
      <c r="E81" s="3009">
        <f t="shared" si="2"/>
        <v>98</v>
      </c>
      <c r="F81" s="3013" t="s">
        <v>3522</v>
      </c>
      <c r="G81" s="3009">
        <f t="shared" si="3"/>
        <v>102</v>
      </c>
      <c r="H81" s="3013" t="s">
        <v>3522</v>
      </c>
      <c r="I81" s="3009">
        <f t="shared" si="4"/>
        <v>100</v>
      </c>
    </row>
    <row r="82" spans="2:9" ht="14.25" thickBot="1">
      <c r="B82" s="3392"/>
      <c r="C82" s="3006" t="str">
        <f t="shared" si="7"/>
        <v>建筑结构</v>
      </c>
      <c r="D82" s="3013" t="s">
        <v>3522</v>
      </c>
      <c r="E82" s="3009">
        <f t="shared" si="2"/>
        <v>100</v>
      </c>
      <c r="F82" s="3013" t="s">
        <v>3522</v>
      </c>
      <c r="G82" s="3009">
        <f t="shared" si="3"/>
        <v>100</v>
      </c>
      <c r="H82" s="3013" t="s">
        <v>3522</v>
      </c>
      <c r="I82" s="3009">
        <f t="shared" si="4"/>
        <v>100</v>
      </c>
    </row>
    <row r="83" spans="2:9" ht="14.25" thickBot="1">
      <c r="B83" s="3392"/>
      <c r="C83" s="3006" t="str">
        <f t="shared" si="7"/>
        <v>公共部分装修</v>
      </c>
      <c r="D83" s="3013" t="s">
        <v>3522</v>
      </c>
      <c r="E83" s="3009">
        <f t="shared" si="2"/>
        <v>97</v>
      </c>
      <c r="F83" s="3013" t="s">
        <v>3522</v>
      </c>
      <c r="G83" s="3009">
        <f t="shared" si="3"/>
        <v>100</v>
      </c>
      <c r="H83" s="3013" t="s">
        <v>3522</v>
      </c>
      <c r="I83" s="3009">
        <f t="shared" si="4"/>
        <v>100</v>
      </c>
    </row>
    <row r="84" spans="2:9" ht="14.25" thickBot="1">
      <c r="B84" s="3392"/>
      <c r="C84" s="3006" t="str">
        <f t="shared" si="7"/>
        <v>成新率</v>
      </c>
      <c r="D84" s="3013" t="s">
        <v>3522</v>
      </c>
      <c r="E84" s="3009">
        <f t="shared" si="2"/>
        <v>100</v>
      </c>
      <c r="F84" s="3013" t="s">
        <v>3522</v>
      </c>
      <c r="G84" s="3009">
        <f t="shared" si="3"/>
        <v>100</v>
      </c>
      <c r="H84" s="3013" t="s">
        <v>3522</v>
      </c>
      <c r="I84" s="3009">
        <f t="shared" si="4"/>
        <v>100</v>
      </c>
    </row>
    <row r="85" spans="2:9" ht="14.25" thickBot="1">
      <c r="B85" s="3392"/>
      <c r="C85" s="3006" t="str">
        <f t="shared" si="7"/>
        <v>市政基础设施</v>
      </c>
      <c r="D85" s="3013" t="s">
        <v>3522</v>
      </c>
      <c r="E85" s="3009">
        <f t="shared" si="2"/>
        <v>100</v>
      </c>
      <c r="F85" s="3013" t="s">
        <v>3522</v>
      </c>
      <c r="G85" s="3009">
        <f t="shared" si="3"/>
        <v>100</v>
      </c>
      <c r="H85" s="3013" t="s">
        <v>3522</v>
      </c>
      <c r="I85" s="3009">
        <f t="shared" si="4"/>
        <v>100</v>
      </c>
    </row>
    <row r="86" spans="2:9" ht="14.25" thickBot="1">
      <c r="B86" s="3392"/>
      <c r="C86" s="3006" t="str">
        <f t="shared" si="7"/>
        <v>业态</v>
      </c>
      <c r="D86" s="3013" t="s">
        <v>3522</v>
      </c>
      <c r="E86" s="3009">
        <f t="shared" si="2"/>
        <v>95</v>
      </c>
      <c r="F86" s="3013" t="s">
        <v>3522</v>
      </c>
      <c r="G86" s="3009">
        <f t="shared" si="3"/>
        <v>100</v>
      </c>
      <c r="H86" s="3013" t="s">
        <v>3522</v>
      </c>
      <c r="I86" s="3009">
        <f t="shared" si="4"/>
        <v>90</v>
      </c>
    </row>
    <row r="87" spans="2:9" ht="14.25" thickBot="1">
      <c r="B87" s="3392"/>
      <c r="C87" s="3006" t="str">
        <f t="shared" si="7"/>
        <v>层高</v>
      </c>
      <c r="D87" s="3013" t="s">
        <v>3522</v>
      </c>
      <c r="E87" s="3009">
        <f t="shared" si="2"/>
        <v>100</v>
      </c>
      <c r="F87" s="3013" t="s">
        <v>3522</v>
      </c>
      <c r="G87" s="3009">
        <f t="shared" si="3"/>
        <v>100</v>
      </c>
      <c r="H87" s="3013" t="s">
        <v>3522</v>
      </c>
      <c r="I87" s="3009">
        <f t="shared" si="4"/>
        <v>100</v>
      </c>
    </row>
    <row r="88" spans="2:9" ht="14.25" thickBot="1">
      <c r="B88" s="3392"/>
      <c r="C88" s="3006" t="str">
        <f t="shared" si="7"/>
        <v>单套建筑面积（平方米）</v>
      </c>
      <c r="D88" s="3013" t="s">
        <v>3522</v>
      </c>
      <c r="E88" s="3009">
        <f t="shared" si="2"/>
        <v>100</v>
      </c>
      <c r="F88" s="3013" t="s">
        <v>3522</v>
      </c>
      <c r="G88" s="3009">
        <f t="shared" si="3"/>
        <v>100</v>
      </c>
      <c r="H88" s="3013" t="s">
        <v>3522</v>
      </c>
      <c r="I88" s="3009">
        <f t="shared" si="4"/>
        <v>100</v>
      </c>
    </row>
    <row r="89" spans="2:9" ht="14.25" thickBot="1">
      <c r="B89" s="3392"/>
      <c r="C89" s="3006" t="str">
        <f t="shared" si="7"/>
        <v>进深比</v>
      </c>
      <c r="D89" s="3013" t="s">
        <v>3522</v>
      </c>
      <c r="E89" s="3009">
        <f t="shared" si="2"/>
        <v>100</v>
      </c>
      <c r="F89" s="3013" t="s">
        <v>3522</v>
      </c>
      <c r="G89" s="3009">
        <f t="shared" si="3"/>
        <v>100</v>
      </c>
      <c r="H89" s="3013" t="s">
        <v>3522</v>
      </c>
      <c r="I89" s="3009">
        <f t="shared" si="4"/>
        <v>100</v>
      </c>
    </row>
    <row r="90" spans="2:9" ht="14.25" thickBot="1">
      <c r="B90" s="3392"/>
      <c r="C90" s="3006" t="str">
        <f t="shared" si="7"/>
        <v>内部装修</v>
      </c>
      <c r="D90" s="3013" t="s">
        <v>3522</v>
      </c>
      <c r="E90" s="3009">
        <f t="shared" si="2"/>
        <v>97</v>
      </c>
      <c r="F90" s="3013" t="s">
        <v>3522</v>
      </c>
      <c r="G90" s="3009">
        <f t="shared" si="3"/>
        <v>97</v>
      </c>
      <c r="H90" s="3013" t="s">
        <v>3522</v>
      </c>
      <c r="I90" s="3009">
        <f t="shared" si="4"/>
        <v>97</v>
      </c>
    </row>
    <row r="91" spans="2:9" ht="14.25" thickBot="1">
      <c r="B91" s="3392"/>
      <c r="C91" s="3006" t="str">
        <f t="shared" si="7"/>
        <v>内部装修维护状况</v>
      </c>
      <c r="D91" s="3013" t="s">
        <v>3522</v>
      </c>
      <c r="E91" s="3009">
        <f t="shared" si="2"/>
        <v>100</v>
      </c>
      <c r="F91" s="3013" t="s">
        <v>3522</v>
      </c>
      <c r="G91" s="3009">
        <f>F60</f>
        <v>100</v>
      </c>
      <c r="H91" s="3013" t="s">
        <v>3522</v>
      </c>
      <c r="I91" s="3009">
        <f t="shared" si="4"/>
        <v>100</v>
      </c>
    </row>
    <row r="92" spans="2:9" ht="14.25" thickBot="1">
      <c r="B92" s="3408" t="s">
        <v>3523</v>
      </c>
      <c r="C92" s="3409"/>
      <c r="D92" s="3387">
        <v>36575</v>
      </c>
      <c r="E92" s="3388"/>
      <c r="F92" s="3387">
        <v>38800</v>
      </c>
      <c r="G92" s="3388"/>
      <c r="H92" s="3387">
        <v>40740</v>
      </c>
      <c r="I92" s="3388"/>
    </row>
    <row r="93" spans="2:9" ht="14.25" thickBot="1">
      <c r="B93" s="3408" t="s">
        <v>3524</v>
      </c>
      <c r="C93" s="3409"/>
      <c r="D93" s="3387">
        <v>45768</v>
      </c>
      <c r="E93" s="3388"/>
      <c r="F93" s="3387">
        <v>44316</v>
      </c>
      <c r="G93" s="3388"/>
      <c r="H93" s="3387">
        <v>52816</v>
      </c>
      <c r="I93" s="3388"/>
    </row>
  </sheetData>
  <mergeCells count="29">
    <mergeCell ref="B93:C93"/>
    <mergeCell ref="D93:E93"/>
    <mergeCell ref="F93:G93"/>
    <mergeCell ref="H93:I93"/>
    <mergeCell ref="F92:G92"/>
    <mergeCell ref="B71:B79"/>
    <mergeCell ref="B80:B91"/>
    <mergeCell ref="B92:C92"/>
    <mergeCell ref="D92:E92"/>
    <mergeCell ref="H92:I92"/>
    <mergeCell ref="D65:E65"/>
    <mergeCell ref="F65:G65"/>
    <mergeCell ref="H65:I65"/>
    <mergeCell ref="B66:C66"/>
    <mergeCell ref="B68:B70"/>
    <mergeCell ref="B67:C67"/>
    <mergeCell ref="B34:C34"/>
    <mergeCell ref="B35:C35"/>
    <mergeCell ref="B36:C36"/>
    <mergeCell ref="B37:B39"/>
    <mergeCell ref="B49:B60"/>
    <mergeCell ref="B40:B48"/>
    <mergeCell ref="B65:C65"/>
    <mergeCell ref="B2:C4"/>
    <mergeCell ref="B5:C5"/>
    <mergeCell ref="B6:C6"/>
    <mergeCell ref="B19:B30"/>
    <mergeCell ref="B7:B9"/>
    <mergeCell ref="B10:B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60" t="str">
        <f>IF(项目基本情况!B9="房地产市场价值","估价结果一览表","结果表-2")</f>
        <v>结果表-2</v>
      </c>
      <c r="B1" s="3060"/>
      <c r="C1" s="3060"/>
      <c r="D1" s="3060"/>
      <c r="E1" s="3060"/>
      <c r="F1" s="3060"/>
      <c r="G1" s="3060"/>
      <c r="H1" s="3060"/>
      <c r="I1" s="3060"/>
    </row>
    <row r="2" spans="1:9" ht="30" customHeight="1" thickTop="1">
      <c r="A2" s="3061" t="s">
        <v>1640</v>
      </c>
      <c r="B2" s="3061" t="s">
        <v>1641</v>
      </c>
      <c r="C2" s="3061" t="s">
        <v>1642</v>
      </c>
      <c r="D2" s="3061" t="str">
        <f>结果表!D116</f>
        <v>出让国有建设用地使用权价值</v>
      </c>
      <c r="E2" s="3061"/>
      <c r="F2" s="3061" t="str">
        <f>结果表!F116</f>
        <v>在建建筑物价值</v>
      </c>
      <c r="G2" s="3061"/>
      <c r="H2" s="3061" t="str">
        <f>IF(项目基本情况!B9="房地产市场价值","房地产市场价值","房地产价值")</f>
        <v>房地产价值</v>
      </c>
      <c r="I2" s="3061"/>
    </row>
    <row r="3" spans="1:9" ht="15">
      <c r="A3" s="3055"/>
      <c r="B3" s="3055"/>
      <c r="C3" s="3055"/>
      <c r="D3" s="1046" t="s">
        <v>1637</v>
      </c>
      <c r="E3" s="1046" t="s">
        <v>1643</v>
      </c>
      <c r="F3" s="1046" t="s">
        <v>1637</v>
      </c>
      <c r="G3" s="1046" t="s">
        <v>1638</v>
      </c>
      <c r="H3" s="1046" t="s">
        <v>1637</v>
      </c>
      <c r="I3" s="1046" t="s">
        <v>1638</v>
      </c>
    </row>
    <row r="4" spans="1:9" ht="30">
      <c r="A4" s="1975" t="str">
        <f>项目基本情况!S2</f>
        <v>江苏省宿迁市宿城区水韵城项目部分商业用途房地产</v>
      </c>
      <c r="B4" s="1046">
        <f>项目基本情况!C17</f>
        <v>4833.9999999999973</v>
      </c>
      <c r="C4" s="1046">
        <f>项目基本情况!C18</f>
        <v>909.82</v>
      </c>
      <c r="D4" s="1046" t="e">
        <f ca="1">结果表!D118</f>
        <v>#REF!</v>
      </c>
      <c r="E4" s="1046" t="e">
        <f ca="1">结果表!E118</f>
        <v>#REF!</v>
      </c>
      <c r="F4" s="1046" t="e">
        <f ca="1">结果表!F118</f>
        <v>#REF!</v>
      </c>
      <c r="G4" s="1046" t="e">
        <f ca="1">结果表!G118</f>
        <v>#REF!</v>
      </c>
      <c r="H4" s="1046">
        <f ca="1">结果表!H118</f>
        <v>666</v>
      </c>
      <c r="I4" s="1046">
        <f ca="1">结果表!I118</f>
        <v>39429</v>
      </c>
    </row>
    <row r="5" spans="1:9" ht="30" customHeight="1">
      <c r="A5" s="3055" t="s">
        <v>1639</v>
      </c>
      <c r="B5" s="3055"/>
      <c r="C5" s="3055"/>
      <c r="D5" s="3056" t="e">
        <f ca="1">结果表!D119</f>
        <v>#REF!</v>
      </c>
      <c r="E5" s="3056"/>
      <c r="F5" s="3056" t="e">
        <f ca="1">结果表!F119</f>
        <v>#REF!</v>
      </c>
      <c r="G5" s="3056"/>
      <c r="H5" s="3056" t="str">
        <f ca="1">结果表!H119</f>
        <v>陆佰陆拾陆万元整</v>
      </c>
      <c r="I5" s="3056"/>
    </row>
    <row r="6" spans="1:9" ht="15.75">
      <c r="A6" s="3054" t="str">
        <f>结果表!A120</f>
        <v>估价师知悉的法定优先受偿款</v>
      </c>
      <c r="B6" s="3054"/>
      <c r="C6" s="3054"/>
      <c r="D6" s="3054">
        <f>结果表!D120</f>
        <v>0</v>
      </c>
      <c r="E6" s="3054"/>
      <c r="F6" s="3054"/>
      <c r="G6" s="3054"/>
      <c r="H6" s="3054"/>
      <c r="I6" s="3054"/>
    </row>
    <row r="7" spans="1:9" ht="15">
      <c r="A7" s="3055" t="s">
        <v>1639</v>
      </c>
      <c r="B7" s="3055"/>
      <c r="C7" s="3055"/>
      <c r="D7" s="3057" t="str">
        <f>结果表!D121</f>
        <v>零元整</v>
      </c>
      <c r="E7" s="3058"/>
      <c r="F7" s="3058"/>
      <c r="G7" s="3058"/>
      <c r="H7" s="3058"/>
      <c r="I7" s="3059"/>
    </row>
    <row r="8" spans="1:9" ht="15.75">
      <c r="A8" s="3054" t="str">
        <f>结果表!A122</f>
        <v>房地产抵押价值</v>
      </c>
      <c r="B8" s="3054"/>
      <c r="C8" s="3054"/>
      <c r="D8" s="3054">
        <f ca="1">结果表!D122</f>
        <v>666</v>
      </c>
      <c r="E8" s="3054"/>
      <c r="F8" s="3054"/>
      <c r="G8" s="3054"/>
      <c r="H8" s="3054"/>
      <c r="I8" s="3054"/>
    </row>
    <row r="9" spans="1:9" ht="15">
      <c r="A9" s="3055" t="s">
        <v>1639</v>
      </c>
      <c r="B9" s="3055"/>
      <c r="C9" s="3055"/>
      <c r="D9" s="3056" t="str">
        <f ca="1">结果表!D123</f>
        <v>陆佰陆拾陆万元整</v>
      </c>
      <c r="E9" s="3056"/>
      <c r="F9" s="3056"/>
      <c r="G9" s="3056"/>
      <c r="H9" s="3056"/>
      <c r="I9" s="3056"/>
    </row>
    <row r="10" spans="1:9" ht="15.75">
      <c r="A10" s="3054" t="str">
        <f>结果表!A124</f>
        <v/>
      </c>
      <c r="B10" s="3054"/>
      <c r="C10" s="3054"/>
      <c r="D10" s="3054" t="str">
        <f>结果表!D124</f>
        <v>——</v>
      </c>
      <c r="E10" s="3054"/>
      <c r="F10" s="3054"/>
      <c r="G10" s="3054"/>
      <c r="H10" s="3054"/>
      <c r="I10" s="3054"/>
    </row>
    <row r="11" spans="1:9" ht="15">
      <c r="A11" s="3055" t="s">
        <v>1639</v>
      </c>
      <c r="B11" s="3055"/>
      <c r="C11" s="3055"/>
      <c r="D11" s="3056" t="e">
        <f>结果表!D125</f>
        <v>#VALUE!</v>
      </c>
      <c r="E11" s="3056"/>
      <c r="F11" s="3056"/>
      <c r="G11" s="3056"/>
      <c r="H11" s="3056"/>
      <c r="I11" s="3056"/>
    </row>
    <row r="12" spans="1:9" ht="15.75">
      <c r="A12" s="3054" t="str">
        <f>结果表!A126</f>
        <v/>
      </c>
      <c r="B12" s="3054"/>
      <c r="C12" s="3054"/>
      <c r="D12" s="3054" t="str">
        <f>结果表!D126</f>
        <v>——</v>
      </c>
      <c r="E12" s="3054"/>
      <c r="F12" s="3054"/>
      <c r="G12" s="3054"/>
      <c r="H12" s="3054"/>
      <c r="I12" s="3054"/>
    </row>
    <row r="13" spans="1:9" ht="15.75" thickBot="1">
      <c r="A13" s="3051" t="s">
        <v>1639</v>
      </c>
      <c r="B13" s="3051"/>
      <c r="C13" s="3051"/>
      <c r="D13" s="3052" t="e">
        <f>结果表!D127</f>
        <v>#VALUE!</v>
      </c>
      <c r="E13" s="3052"/>
      <c r="F13" s="3052"/>
      <c r="G13" s="3052"/>
      <c r="H13" s="3052"/>
      <c r="I13" s="3052"/>
    </row>
    <row r="14" spans="1:9" ht="15" thickTop="1">
      <c r="A14" s="3053" t="s">
        <v>1644</v>
      </c>
      <c r="B14" s="3053"/>
      <c r="C14" s="3053"/>
      <c r="D14" s="3053"/>
      <c r="E14" s="3053"/>
      <c r="F14" s="3053"/>
      <c r="G14" s="3053"/>
      <c r="H14" s="3053"/>
      <c r="I14" s="3053"/>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68" t="s">
        <v>1661</v>
      </c>
      <c r="B1" s="3068"/>
      <c r="C1" s="3068"/>
      <c r="D1" s="3068"/>
    </row>
    <row r="2" spans="1:4" ht="18">
      <c r="A2" s="3069" t="s">
        <v>1645</v>
      </c>
      <c r="B2" s="3069"/>
      <c r="C2" s="3069"/>
      <c r="D2" s="3069"/>
    </row>
    <row r="3" spans="1:4" ht="18.75">
      <c r="A3" s="1979" t="s">
        <v>1646</v>
      </c>
      <c r="B3" s="1979" t="s">
        <v>1647</v>
      </c>
      <c r="C3" s="1979" t="s">
        <v>1648</v>
      </c>
      <c r="D3" s="1979" t="s">
        <v>1649</v>
      </c>
    </row>
    <row r="4" spans="1:4" ht="56.25" customHeight="1">
      <c r="A4" s="1980" t="str">
        <f>项目基本情况!B4</f>
        <v>郑燚</v>
      </c>
      <c r="B4" s="1981">
        <f ca="1">项目基本情况!C4</f>
        <v>1120070131</v>
      </c>
      <c r="C4" s="1982"/>
      <c r="D4" s="1983" t="s">
        <v>1650</v>
      </c>
    </row>
    <row r="5" spans="1:4" ht="56.25" customHeight="1">
      <c r="A5" s="1980" t="str">
        <f>项目基本情况!D4</f>
        <v>王萌</v>
      </c>
      <c r="B5" s="1981">
        <f ca="1">项目基本情况!E4</f>
        <v>1120130048</v>
      </c>
      <c r="C5" s="1984"/>
      <c r="D5" s="1983" t="s">
        <v>1650</v>
      </c>
    </row>
    <row r="6" spans="1:4" ht="18">
      <c r="A6" s="3069" t="s">
        <v>1651</v>
      </c>
      <c r="B6" s="3069"/>
      <c r="C6" s="3069"/>
      <c r="D6" s="3069"/>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70" t="s">
        <v>1654</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7"/>
      <c r="C12" s="3067"/>
      <c r="D12" s="3067"/>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7"/>
      <c r="C13" s="3067"/>
      <c r="D13" s="3067"/>
    </row>
    <row r="14" spans="1:4" ht="15.75" customHeight="1">
      <c r="A14" s="3062" t="str">
        <f>IF(项目基本情况!B8="抵押","4.本次评估估价师所知悉的法定优先受偿款情况说明如下：","——")</f>
        <v>4.本次评估估价师所知悉的法定优先受偿款情况说明如下：</v>
      </c>
      <c r="B14" s="3067"/>
      <c r="C14" s="3067"/>
      <c r="D14" s="3067"/>
    </row>
    <row r="15" spans="1:4" ht="42" customHeight="1">
      <c r="A15" s="3062" t="str">
        <f>IF(项目基本情况!B8="抵押","（1）"&amp;CONCATENATE(项目基本情况!L20,项目基本情况!L21,项目基本情况!L22),"——")</f>
        <v>（1）根据估价对象《房屋所有权证》原件、《国有土地使用权》原件，截至价值时点，估价对象抵押权未见登记。</v>
      </c>
      <c r="B15" s="3062"/>
      <c r="C15" s="3062"/>
      <c r="D15" s="3062"/>
    </row>
    <row r="16" spans="1:4" ht="30" customHeight="1">
      <c r="A16" s="3064" t="s">
        <v>1655</v>
      </c>
      <c r="B16" s="3064"/>
      <c r="C16" s="3064"/>
      <c r="D16" s="3064"/>
    </row>
    <row r="17" spans="1:4" ht="144" customHeight="1">
      <c r="A17" s="3064" t="s">
        <v>1656</v>
      </c>
      <c r="B17" s="3064"/>
      <c r="C17" s="3064"/>
      <c r="D17" s="3064"/>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1657</v>
      </c>
      <c r="B22" s="3066"/>
      <c r="C22" s="3066"/>
      <c r="D22" s="306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63">
        <v>42551</v>
      </c>
      <c r="D31" s="30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76" t="s">
        <v>1668</v>
      </c>
      <c r="B15" s="3071" t="s">
        <v>136</v>
      </c>
      <c r="C15" s="3072"/>
    </row>
    <row r="16" spans="1:7" ht="13.5">
      <c r="A16" s="3077"/>
      <c r="B16" s="3071" t="s">
        <v>69</v>
      </c>
      <c r="C16" s="3072"/>
    </row>
    <row r="17" spans="1:3" ht="13.5">
      <c r="A17" s="3077"/>
      <c r="B17" s="3074" t="s">
        <v>1669</v>
      </c>
      <c r="C17" s="2002" t="s">
        <v>1668</v>
      </c>
    </row>
    <row r="18" spans="1:3" ht="13.5">
      <c r="A18" s="3077"/>
      <c r="B18" s="3074"/>
      <c r="C18" s="2002" t="s">
        <v>1670</v>
      </c>
    </row>
    <row r="19" spans="1:3" ht="13.5">
      <c r="A19" s="3077"/>
      <c r="B19" s="3074"/>
      <c r="C19" s="2002" t="s">
        <v>1671</v>
      </c>
    </row>
    <row r="20" spans="1:3" ht="13.5">
      <c r="A20" s="3078"/>
      <c r="B20" s="3073" t="s">
        <v>1672</v>
      </c>
      <c r="C20" s="3072"/>
    </row>
    <row r="21" spans="1:3" ht="13.5">
      <c r="A21" s="2003" t="s">
        <v>1673</v>
      </c>
      <c r="B21" s="2004"/>
      <c r="C21" s="2005"/>
    </row>
    <row r="22" spans="1:3" ht="13.5">
      <c r="A22" s="3075" t="s">
        <v>1674</v>
      </c>
      <c r="B22" s="3073" t="s">
        <v>1675</v>
      </c>
      <c r="C22" s="3072"/>
    </row>
    <row r="23" spans="1:3" ht="13.5">
      <c r="A23" s="3075"/>
      <c r="B23" s="3073" t="s">
        <v>1676</v>
      </c>
      <c r="C23" s="3072"/>
    </row>
    <row r="24" spans="1:3" ht="13.5">
      <c r="A24" s="3075"/>
      <c r="B24" s="3073" t="s">
        <v>1677</v>
      </c>
      <c r="C24" s="3072"/>
    </row>
    <row r="25" spans="1:3" ht="13.5">
      <c r="A25" s="3075"/>
      <c r="B25" s="3074" t="s">
        <v>1678</v>
      </c>
      <c r="C25" s="2002" t="s">
        <v>1679</v>
      </c>
    </row>
    <row r="26" spans="1:3" ht="13.5">
      <c r="A26" s="3075"/>
      <c r="B26" s="3074"/>
      <c r="C26" s="2002" t="s">
        <v>1680</v>
      </c>
    </row>
    <row r="27" spans="1:3" ht="13.5">
      <c r="A27" s="3075"/>
      <c r="B27" s="3074"/>
      <c r="C27" s="2002" t="s">
        <v>1681</v>
      </c>
    </row>
    <row r="28" spans="1:3" ht="13.5">
      <c r="A28" s="3075"/>
      <c r="B28" s="3074"/>
      <c r="C28" s="2002" t="s">
        <v>1682</v>
      </c>
    </row>
    <row r="29" spans="1:3" ht="13.5">
      <c r="A29" s="3075"/>
      <c r="B29" s="3074"/>
      <c r="C29" s="2002" t="s">
        <v>1683</v>
      </c>
    </row>
    <row r="30" spans="1:3" ht="13.5">
      <c r="A30" s="3075"/>
      <c r="B30" s="3074"/>
      <c r="C30" s="2002" t="s">
        <v>1684</v>
      </c>
    </row>
    <row r="31" spans="1:3" ht="13.5">
      <c r="A31" s="3075"/>
      <c r="B31" s="3074"/>
      <c r="C31" s="2002" t="s">
        <v>1685</v>
      </c>
    </row>
    <row r="32" spans="1:3" ht="13.5">
      <c r="A32" s="3075"/>
      <c r="B32" s="3074"/>
      <c r="C32" s="2002" t="s">
        <v>1686</v>
      </c>
    </row>
    <row r="33" spans="1:3" ht="13.5">
      <c r="A33" s="3075"/>
      <c r="B33" s="3074"/>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43215</v>
      </c>
      <c r="C2" s="1021" t="s">
        <v>826</v>
      </c>
      <c r="D2" s="1021"/>
    </row>
    <row r="3" spans="1:6" ht="24" customHeight="1">
      <c r="A3" s="1022" t="s">
        <v>827</v>
      </c>
      <c r="B3" s="1023" t="s">
        <v>828</v>
      </c>
      <c r="C3" s="2344" t="s">
        <v>829</v>
      </c>
      <c r="D3" s="2347" t="s">
        <v>830</v>
      </c>
      <c r="E3" s="1024" t="s">
        <v>831</v>
      </c>
      <c r="F3" s="1023" t="s">
        <v>829</v>
      </c>
    </row>
    <row r="4" spans="1:6" ht="24" customHeight="1">
      <c r="A4" s="1704" t="s">
        <v>832</v>
      </c>
      <c r="B4" s="1024">
        <f ca="1">IF(C4&lt;B2,"已过期",1119970066)</f>
        <v>1119970066</v>
      </c>
      <c r="C4" s="2345">
        <v>43849</v>
      </c>
      <c r="D4" s="2348" t="s">
        <v>832</v>
      </c>
      <c r="E4" s="1024">
        <f ca="1">IF(F4&lt;B2,"已过期",96010014)</f>
        <v>96010014</v>
      </c>
      <c r="F4" s="1032">
        <v>47118</v>
      </c>
    </row>
    <row r="5" spans="1:6" ht="24" customHeight="1">
      <c r="A5" s="1704" t="s">
        <v>833</v>
      </c>
      <c r="B5" s="1024">
        <f ca="1">IF(C5&lt;B2,"已过期",1119970074)</f>
        <v>1119970074</v>
      </c>
      <c r="C5" s="2345">
        <v>43849</v>
      </c>
      <c r="D5" s="2348" t="s">
        <v>833</v>
      </c>
      <c r="E5" s="1024">
        <f ca="1">IF(F5&lt;B2,"已过期",2002110027)</f>
        <v>2002110027</v>
      </c>
      <c r="F5" s="1032">
        <v>46752</v>
      </c>
    </row>
    <row r="6" spans="1:6" ht="24" customHeight="1">
      <c r="A6" s="1704" t="s">
        <v>834</v>
      </c>
      <c r="B6" s="1024">
        <f ca="1">IF(C6&lt;B2,"已过期",1119970111)</f>
        <v>1119970111</v>
      </c>
      <c r="C6" s="2345">
        <v>43849</v>
      </c>
      <c r="D6" s="2348" t="s">
        <v>834</v>
      </c>
      <c r="E6" s="1024">
        <f ca="1">IF(F6&lt;B2,"已过期",94010078)</f>
        <v>94010078</v>
      </c>
      <c r="F6" s="1032">
        <v>46387</v>
      </c>
    </row>
    <row r="7" spans="1:6" ht="24" customHeight="1">
      <c r="A7" s="1704" t="s">
        <v>835</v>
      </c>
      <c r="B7" s="1024">
        <f ca="1">IF(C7&lt;B2,"已过期",1120050019)</f>
        <v>1120050019</v>
      </c>
      <c r="C7" s="2345">
        <v>43359</v>
      </c>
      <c r="D7" s="2348" t="s">
        <v>835</v>
      </c>
      <c r="E7" s="1024">
        <f ca="1">IF(F7&lt;B2,"已过期",2002110030)</f>
        <v>2002110030</v>
      </c>
      <c r="F7" s="1032">
        <v>46387</v>
      </c>
    </row>
    <row r="8" spans="1:6" ht="24" customHeight="1">
      <c r="A8" s="1704" t="s">
        <v>836</v>
      </c>
      <c r="B8" s="1024">
        <f ca="1">IF(C8&lt;B2,"已过期",1120000080)</f>
        <v>1120000080</v>
      </c>
      <c r="C8" s="2345">
        <v>43849</v>
      </c>
      <c r="D8" s="2348" t="s">
        <v>836</v>
      </c>
      <c r="E8" s="1024">
        <f ca="1">IF(F8&lt;B2,"已过期",2000110082)</f>
        <v>2000110082</v>
      </c>
      <c r="F8" s="1032">
        <v>46387</v>
      </c>
    </row>
    <row r="9" spans="1:6" ht="24" customHeight="1">
      <c r="A9" s="1704" t="s">
        <v>837</v>
      </c>
      <c r="B9" s="1024">
        <f ca="1">IF(C9&lt;B2,"已过期",1419970001)</f>
        <v>1419970001</v>
      </c>
      <c r="C9" s="2345">
        <v>43867</v>
      </c>
      <c r="D9" s="2348" t="s">
        <v>837</v>
      </c>
      <c r="E9" s="1024">
        <f ca="1">IF(F9&lt;B2,"已过期",2002110125)</f>
        <v>2002110125</v>
      </c>
      <c r="F9" s="1032">
        <v>47118</v>
      </c>
    </row>
    <row r="10" spans="1:6" ht="24" customHeight="1">
      <c r="A10" s="1704" t="s">
        <v>838</v>
      </c>
      <c r="B10" s="1024">
        <f ca="1">IF(C10&lt;B2,"已过期",1120060040)</f>
        <v>1120060040</v>
      </c>
      <c r="C10" s="2345">
        <v>43483</v>
      </c>
      <c r="D10" s="2348" t="s">
        <v>838</v>
      </c>
      <c r="E10" s="1024">
        <f ca="1">IF(F10&lt;B2,"已过期",2004110096)</f>
        <v>2004110096</v>
      </c>
      <c r="F10" s="1032">
        <v>47118</v>
      </c>
    </row>
    <row r="11" spans="1:6" ht="24" customHeight="1">
      <c r="A11" s="1704" t="s">
        <v>839</v>
      </c>
      <c r="B11" s="1024">
        <f ca="1">IF(C11&lt;B2,"已过期",1120100036)</f>
        <v>1120100036</v>
      </c>
      <c r="C11" s="2345">
        <v>43622</v>
      </c>
      <c r="D11" s="2348" t="s">
        <v>839</v>
      </c>
      <c r="E11" s="1024">
        <f ca="1">IF(F11&lt;B2,"已过期",2010110070)</f>
        <v>2010110070</v>
      </c>
      <c r="F11" s="1032">
        <v>47907</v>
      </c>
    </row>
    <row r="12" spans="1:6" ht="24" customHeight="1">
      <c r="A12" s="1704"/>
      <c r="B12" s="1024"/>
      <c r="C12" s="2345"/>
      <c r="D12" s="2348"/>
      <c r="E12" s="1024"/>
      <c r="F12" s="1024"/>
    </row>
    <row r="13" spans="1:6" ht="24" customHeight="1">
      <c r="A13" s="1704" t="s">
        <v>840</v>
      </c>
      <c r="B13" s="1024">
        <f ca="1">IF(C13&lt;B2,"已过期",1120070131)</f>
        <v>1120070131</v>
      </c>
      <c r="C13" s="2345">
        <v>43814</v>
      </c>
      <c r="D13" s="2348" t="s">
        <v>840</v>
      </c>
      <c r="E13" s="1024">
        <v>2014110011</v>
      </c>
      <c r="F13" s="1032">
        <v>49302</v>
      </c>
    </row>
    <row r="14" spans="1:6" ht="24" customHeight="1">
      <c r="A14" s="1704" t="s">
        <v>841</v>
      </c>
      <c r="B14" s="1024">
        <f ca="1">IF(C14&lt;B2,"已过期",1120130020)</f>
        <v>1120130020</v>
      </c>
      <c r="C14" s="2345">
        <v>43622</v>
      </c>
      <c r="D14" s="2348"/>
      <c r="E14" s="1024"/>
      <c r="F14" s="1024"/>
    </row>
    <row r="15" spans="1:6" ht="24" customHeight="1">
      <c r="A15" s="1705" t="s">
        <v>1149</v>
      </c>
      <c r="B15" s="1024">
        <v>1120070085</v>
      </c>
      <c r="C15" s="2345">
        <v>43814</v>
      </c>
      <c r="D15" s="2349" t="s">
        <v>1149</v>
      </c>
      <c r="E15" s="1024">
        <v>2004110128</v>
      </c>
      <c r="F15" s="1025">
        <v>47118</v>
      </c>
    </row>
    <row r="16" spans="1:6" ht="24" customHeight="1">
      <c r="A16" s="1704" t="s">
        <v>842</v>
      </c>
      <c r="B16" s="1024">
        <f ca="1">IF(C16&lt;B2,"已过期",1120140022)</f>
        <v>1120140022</v>
      </c>
      <c r="C16" s="2345">
        <v>44029</v>
      </c>
      <c r="D16" s="2348" t="s">
        <v>842</v>
      </c>
      <c r="E16" s="1024">
        <f ca="1">IF(F16&lt;B2,"已过期",2008110059)</f>
        <v>2008110059</v>
      </c>
      <c r="F16" s="1032">
        <v>47177</v>
      </c>
    </row>
    <row r="17" spans="1:7" ht="24" customHeight="1">
      <c r="A17" s="1704"/>
      <c r="B17" s="1024"/>
      <c r="C17" s="2345"/>
      <c r="D17" s="2348"/>
      <c r="E17" s="1024"/>
      <c r="F17" s="1032"/>
    </row>
    <row r="18" spans="1:7" ht="24" customHeight="1">
      <c r="A18" s="1704"/>
      <c r="B18" s="1024"/>
      <c r="C18" s="2345"/>
      <c r="D18" s="2348"/>
      <c r="E18" s="1024"/>
      <c r="F18" s="1032"/>
    </row>
    <row r="19" spans="1:7" ht="24" customHeight="1">
      <c r="A19" s="1704"/>
      <c r="B19" s="1024"/>
      <c r="C19" s="2345"/>
      <c r="D19" s="2348"/>
      <c r="E19" s="1024"/>
      <c r="F19" s="1024"/>
    </row>
    <row r="20" spans="1:7" ht="24" customHeight="1">
      <c r="A20" s="1704"/>
      <c r="B20" s="1024"/>
      <c r="C20" s="2345"/>
      <c r="D20" s="2348"/>
      <c r="E20" s="1024"/>
      <c r="F20" s="1024"/>
    </row>
    <row r="21" spans="1:7" ht="24" customHeight="1">
      <c r="A21" s="1704"/>
      <c r="B21" s="1024"/>
      <c r="C21" s="2345"/>
      <c r="D21" s="2348" t="s">
        <v>843</v>
      </c>
      <c r="E21" s="1024">
        <f ca="1">IF(F21&lt;B2,"已过期",2011110090)</f>
        <v>2011110090</v>
      </c>
      <c r="F21" s="1032">
        <v>48302</v>
      </c>
    </row>
    <row r="22" spans="1:7" ht="24" customHeight="1">
      <c r="A22" s="1704" t="s">
        <v>844</v>
      </c>
      <c r="B22" s="1024">
        <f ca="1">IF(C22&lt;B2,"已过期",1120020033)</f>
        <v>1120020033</v>
      </c>
      <c r="C22" s="2345">
        <v>43304</v>
      </c>
      <c r="D22" s="2348" t="s">
        <v>844</v>
      </c>
      <c r="E22" s="1024">
        <f ca="1">IF(F22&lt;B2,"已过期",2000110137)</f>
        <v>2000110137</v>
      </c>
      <c r="F22" s="1032">
        <v>46387</v>
      </c>
    </row>
    <row r="23" spans="1:7" ht="24" customHeight="1">
      <c r="A23" s="1704" t="s">
        <v>845</v>
      </c>
      <c r="B23" s="1024">
        <f ca="1">IF(C23&lt;B2,"已过期",1120130048)</f>
        <v>1120130048</v>
      </c>
      <c r="C23" s="2345">
        <v>43686</v>
      </c>
      <c r="D23" s="2348"/>
      <c r="E23" s="1024"/>
      <c r="F23" s="1024"/>
    </row>
    <row r="24" spans="1:7" s="1026" customFormat="1" ht="24" customHeight="1">
      <c r="A24" s="1705" t="s">
        <v>1333</v>
      </c>
      <c r="B24" s="1705" t="s">
        <v>1333</v>
      </c>
      <c r="C24" s="2346" t="s">
        <v>1333</v>
      </c>
      <c r="D24" s="2349" t="s">
        <v>1333</v>
      </c>
      <c r="E24" s="1705" t="s">
        <v>1333</v>
      </c>
      <c r="F24" s="1705" t="s">
        <v>1333</v>
      </c>
    </row>
    <row r="25" spans="1:7" ht="24" customHeight="1">
      <c r="A25" s="3079" t="s">
        <v>846</v>
      </c>
      <c r="B25" s="3079"/>
      <c r="C25" s="3079"/>
      <c r="D25" s="3079"/>
      <c r="E25" s="3079"/>
      <c r="F25" s="3079"/>
      <c r="G25" s="3079"/>
    </row>
    <row r="26" spans="1:7" s="1027" customFormat="1" ht="24" customHeight="1">
      <c r="A26" s="3080" t="s">
        <v>847</v>
      </c>
      <c r="B26" s="3080"/>
      <c r="C26" s="3081"/>
      <c r="D26" s="3082" t="s">
        <v>848</v>
      </c>
      <c r="E26" s="3080"/>
      <c r="F26" s="3080"/>
    </row>
    <row r="27" spans="1:7" s="1029" customFormat="1" ht="24" customHeight="1">
      <c r="A27" s="1028" t="s">
        <v>849</v>
      </c>
      <c r="B27" s="1023" t="s">
        <v>850</v>
      </c>
      <c r="C27" s="2344" t="s">
        <v>851</v>
      </c>
      <c r="D27" s="2352" t="s">
        <v>849</v>
      </c>
      <c r="E27" s="1023" t="s">
        <v>850</v>
      </c>
      <c r="F27" s="1023" t="s">
        <v>851</v>
      </c>
    </row>
    <row r="28" spans="1:7" s="1029" customFormat="1" ht="24" customHeight="1">
      <c r="A28" s="1030" t="s">
        <v>852</v>
      </c>
      <c r="B28" s="1031" t="s">
        <v>853</v>
      </c>
      <c r="C28" s="2350">
        <v>43725</v>
      </c>
      <c r="D28" s="2353" t="s">
        <v>854</v>
      </c>
      <c r="E28" s="1030" t="s">
        <v>855</v>
      </c>
      <c r="F28" s="1060">
        <v>44377</v>
      </c>
    </row>
    <row r="29" spans="1:7" s="1029" customFormat="1" ht="24" customHeight="1">
      <c r="A29" s="1030"/>
      <c r="B29" s="1030"/>
      <c r="C29" s="2351"/>
      <c r="D29" s="2353"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2018-04-25T09:19:30Z</dcterms:modified>
</cp:coreProperties>
</file>