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9"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比较法-商业" sheetId="33"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67" i="78"/>
  <c r="I68"/>
  <c r="I69"/>
  <c r="I70"/>
  <c r="I71"/>
  <c r="I72"/>
  <c r="I73"/>
  <c r="I74"/>
  <c r="I75"/>
  <c r="I76"/>
  <c r="I77"/>
  <c r="I78"/>
  <c r="I79"/>
  <c r="I80"/>
  <c r="I81"/>
  <c r="I82"/>
  <c r="I83"/>
  <c r="I84"/>
  <c r="I85"/>
  <c r="I86"/>
  <c r="I87"/>
  <c r="I88"/>
  <c r="I89"/>
  <c r="I90"/>
  <c r="I91"/>
  <c r="I66"/>
  <c r="G91"/>
  <c r="G67"/>
  <c r="G68"/>
  <c r="G69"/>
  <c r="G70"/>
  <c r="G71"/>
  <c r="G72"/>
  <c r="G73"/>
  <c r="G74"/>
  <c r="G75"/>
  <c r="G76"/>
  <c r="G77"/>
  <c r="G78"/>
  <c r="G79"/>
  <c r="G80"/>
  <c r="G81"/>
  <c r="G82"/>
  <c r="G83"/>
  <c r="G84"/>
  <c r="G85"/>
  <c r="G86"/>
  <c r="G87"/>
  <c r="G88"/>
  <c r="G89"/>
  <c r="G90"/>
  <c r="G66"/>
  <c r="E67"/>
  <c r="E68"/>
  <c r="E69"/>
  <c r="E70"/>
  <c r="E71"/>
  <c r="E72"/>
  <c r="E73"/>
  <c r="E74"/>
  <c r="E75"/>
  <c r="E76"/>
  <c r="E77"/>
  <c r="E78"/>
  <c r="E79"/>
  <c r="E80"/>
  <c r="E81"/>
  <c r="E82"/>
  <c r="E83"/>
  <c r="E84"/>
  <c r="E85"/>
  <c r="E86"/>
  <c r="E87"/>
  <c r="E88"/>
  <c r="E89"/>
  <c r="E90"/>
  <c r="E91"/>
  <c r="E66"/>
  <c r="C83"/>
  <c r="C85"/>
  <c r="C87"/>
  <c r="C89"/>
  <c r="C72"/>
  <c r="C74"/>
  <c r="C76"/>
  <c r="C78"/>
  <c r="C69"/>
  <c r="C70"/>
  <c r="C68"/>
  <c r="C60"/>
  <c r="C91" s="1"/>
  <c r="C50"/>
  <c r="C81" s="1"/>
  <c r="C51"/>
  <c r="C82" s="1"/>
  <c r="C52"/>
  <c r="C53"/>
  <c r="C84" s="1"/>
  <c r="C54"/>
  <c r="C55"/>
  <c r="C86" s="1"/>
  <c r="C56"/>
  <c r="C57"/>
  <c r="C88" s="1"/>
  <c r="C58"/>
  <c r="C59"/>
  <c r="C90" s="1"/>
  <c r="C49"/>
  <c r="C80" s="1"/>
  <c r="C48"/>
  <c r="C79" s="1"/>
  <c r="C41"/>
  <c r="C42"/>
  <c r="C73" s="1"/>
  <c r="C43"/>
  <c r="C44"/>
  <c r="C75" s="1"/>
  <c r="C45"/>
  <c r="C46"/>
  <c r="C77" s="1"/>
  <c r="C47"/>
  <c r="C40"/>
  <c r="C71" s="1"/>
  <c r="E111" i="77" l="1"/>
  <c r="V25" i="31"/>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24"/>
  <c r="I47" i="33"/>
  <c r="G47"/>
  <c r="E47"/>
  <c r="N7" i="1"/>
  <c r="N6"/>
  <c r="C36" i="33" s="1"/>
  <c r="F19" i="6"/>
  <c r="C40" i="33" s="1"/>
  <c r="H111" i="77"/>
  <c r="I13" i="3"/>
  <c r="F20" i="6" s="1"/>
  <c r="Y6" i="1" l="1"/>
  <c r="C118" i="33"/>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1" i="76"/>
  <c r="B9"/>
  <c r="E11"/>
  <c r="E9"/>
  <c r="E13"/>
  <c r="B8"/>
  <c r="E12"/>
  <c r="B12"/>
  <c r="E10"/>
  <c r="B10"/>
  <c r="E8"/>
  <c r="B7"/>
  <c r="E7"/>
  <c r="B13"/>
  <c r="C76" i="9" l="1"/>
  <c r="I107" i="40" l="1"/>
  <c r="K6" i="4" l="1"/>
  <c r="B22" i="31" l="1"/>
  <c r="N56" i="9" l="1"/>
  <c r="M56"/>
  <c r="K56"/>
  <c r="E15" i="74" l="1"/>
  <c r="F15"/>
  <c r="E16"/>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F6" i="73"/>
  <c r="F4"/>
  <c r="F5"/>
  <c r="F3"/>
  <c r="D5"/>
  <c r="I1" l="1"/>
  <c r="B39" i="1" s="1"/>
  <c r="D3" i="73"/>
  <c r="D4"/>
  <c r="D6"/>
  <c r="D7"/>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X21" l="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12" i="1"/>
  <c r="AO11"/>
  <c r="AO13"/>
  <c r="AO10"/>
  <c r="AO9"/>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G100" s="1"/>
  <c r="BT99"/>
  <c r="BS99"/>
  <c r="BR99"/>
  <c r="BQ99"/>
  <c r="BP99"/>
  <c r="BO99"/>
  <c r="BN99"/>
  <c r="BM99"/>
  <c r="BL99" s="1"/>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c r="AX98"/>
  <c r="AW98"/>
  <c r="AV98"/>
  <c r="AC98"/>
  <c r="H98"/>
  <c r="BT97"/>
  <c r="BS97"/>
  <c r="BR97"/>
  <c r="BQ97"/>
  <c r="BP97"/>
  <c r="BO97"/>
  <c r="BN97"/>
  <c r="BM97"/>
  <c r="BL97"/>
  <c r="BK97"/>
  <c r="BJ97"/>
  <c r="BI97"/>
  <c r="BH97"/>
  <c r="BG97"/>
  <c r="BF97"/>
  <c r="BE97"/>
  <c r="BD97"/>
  <c r="BC97"/>
  <c r="BB97"/>
  <c r="BA97" s="1"/>
  <c r="AX97"/>
  <c r="AW97"/>
  <c r="AV97"/>
  <c r="AC97"/>
  <c r="H97"/>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AX94"/>
  <c r="AW94"/>
  <c r="AV94"/>
  <c r="AC94"/>
  <c r="H94"/>
  <c r="G94" s="1"/>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G87" s="1"/>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G85" s="1"/>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G81" s="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G78" s="1"/>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G74" s="1"/>
  <c r="BT73"/>
  <c r="BS73"/>
  <c r="BR73"/>
  <c r="BQ73"/>
  <c r="BP73"/>
  <c r="BO73"/>
  <c r="BN73"/>
  <c r="BM73"/>
  <c r="BL73" s="1"/>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BA70"/>
  <c r="AX70"/>
  <c r="AW70"/>
  <c r="AV70"/>
  <c r="AC70"/>
  <c r="H70"/>
  <c r="BT69"/>
  <c r="BS69"/>
  <c r="BR69"/>
  <c r="BQ69"/>
  <c r="BP69"/>
  <c r="BO69"/>
  <c r="BN69"/>
  <c r="BM69"/>
  <c r="BL69"/>
  <c r="BK69"/>
  <c r="BJ69"/>
  <c r="BI69"/>
  <c r="BH69"/>
  <c r="BG69"/>
  <c r="BF69"/>
  <c r="BE69"/>
  <c r="BD69"/>
  <c r="BC69"/>
  <c r="BB69"/>
  <c r="BA69" s="1"/>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s="1"/>
  <c r="AZ65" s="1"/>
  <c r="AX65"/>
  <c r="AW65"/>
  <c r="AV65"/>
  <c r="AC65"/>
  <c r="H65"/>
  <c r="G65" s="1"/>
  <c r="BT64"/>
  <c r="BS64"/>
  <c r="BR64"/>
  <c r="BQ64"/>
  <c r="BP64"/>
  <c r="BO64"/>
  <c r="BN64"/>
  <c r="BM64"/>
  <c r="BL64" s="1"/>
  <c r="BK64"/>
  <c r="BJ64"/>
  <c r="BI64"/>
  <c r="BH64"/>
  <c r="BG64"/>
  <c r="BF64"/>
  <c r="BE64"/>
  <c r="BD64"/>
  <c r="BC64"/>
  <c r="BB64"/>
  <c r="AX64"/>
  <c r="AW64"/>
  <c r="AV64"/>
  <c r="AC64"/>
  <c r="H64"/>
  <c r="G64" s="1"/>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G62" s="1"/>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G60" s="1"/>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G58" s="1"/>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G55" s="1"/>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G51" s="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G49" s="1"/>
  <c r="BT48"/>
  <c r="BS48"/>
  <c r="BR48"/>
  <c r="BQ48"/>
  <c r="BP48"/>
  <c r="BO48"/>
  <c r="BN48"/>
  <c r="BM48"/>
  <c r="BL48" s="1"/>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s="1"/>
  <c r="AZ46" s="1"/>
  <c r="AX46"/>
  <c r="AW46"/>
  <c r="AV46"/>
  <c r="AC46"/>
  <c r="H46"/>
  <c r="G46" s="1"/>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s="1"/>
  <c r="AX42"/>
  <c r="AW42"/>
  <c r="AV42"/>
  <c r="AC42"/>
  <c r="H42"/>
  <c r="G42" s="1"/>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s="1"/>
  <c r="AX39"/>
  <c r="AW39"/>
  <c r="AV39"/>
  <c r="AC39"/>
  <c r="H39"/>
  <c r="G39" s="1"/>
  <c r="BT38"/>
  <c r="BS38"/>
  <c r="BR38"/>
  <c r="BQ38"/>
  <c r="BP38"/>
  <c r="BO38"/>
  <c r="BN38"/>
  <c r="BM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BA37" s="1"/>
  <c r="AX37"/>
  <c r="AW37"/>
  <c r="AV37"/>
  <c r="AC37"/>
  <c r="H37"/>
  <c r="BT36"/>
  <c r="BS36"/>
  <c r="BR36"/>
  <c r="BQ36"/>
  <c r="BP36"/>
  <c r="BO36"/>
  <c r="BN36"/>
  <c r="BM36"/>
  <c r="BL36"/>
  <c r="BK36"/>
  <c r="BJ36"/>
  <c r="BI36"/>
  <c r="BH36"/>
  <c r="BG36"/>
  <c r="BF36"/>
  <c r="BE36"/>
  <c r="BD36"/>
  <c r="BC36"/>
  <c r="BB36"/>
  <c r="BA36" s="1"/>
  <c r="AZ36" s="1"/>
  <c r="AX36"/>
  <c r="AW36"/>
  <c r="AV36"/>
  <c r="AC36"/>
  <c r="H36"/>
  <c r="G36" s="1"/>
  <c r="BT35"/>
  <c r="BS35"/>
  <c r="BR35"/>
  <c r="BQ35"/>
  <c r="BP35"/>
  <c r="BO35"/>
  <c r="BN35"/>
  <c r="BM35"/>
  <c r="BK35"/>
  <c r="BJ35"/>
  <c r="BI35"/>
  <c r="BH35"/>
  <c r="BG35"/>
  <c r="BF35"/>
  <c r="BE35"/>
  <c r="BD35"/>
  <c r="BC35"/>
  <c r="BB35"/>
  <c r="BA35"/>
  <c r="AX35"/>
  <c r="AW35"/>
  <c r="AV35"/>
  <c r="AC35"/>
  <c r="H35"/>
  <c r="BT34"/>
  <c r="BS34"/>
  <c r="BR34"/>
  <c r="BQ34"/>
  <c r="BP34"/>
  <c r="BO34"/>
  <c r="BN34"/>
  <c r="BM34"/>
  <c r="BL34"/>
  <c r="BK34"/>
  <c r="BJ34"/>
  <c r="BI34"/>
  <c r="BH34"/>
  <c r="BG34"/>
  <c r="BF34"/>
  <c r="BE34"/>
  <c r="BD34"/>
  <c r="BC34"/>
  <c r="BB34"/>
  <c r="BA34" s="1"/>
  <c r="AZ34" s="1"/>
  <c r="AX34"/>
  <c r="AW34"/>
  <c r="AV34"/>
  <c r="AC34"/>
  <c r="H34"/>
  <c r="G34" s="1"/>
  <c r="BT33"/>
  <c r="BS33"/>
  <c r="BR33"/>
  <c r="BQ33"/>
  <c r="BP33"/>
  <c r="BO33"/>
  <c r="BN33"/>
  <c r="BM33"/>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s="1"/>
  <c r="AX32"/>
  <c r="AW32"/>
  <c r="AV32"/>
  <c r="AC32"/>
  <c r="H32"/>
  <c r="G32" s="1"/>
  <c r="BT31"/>
  <c r="BS31"/>
  <c r="BR31"/>
  <c r="BQ31"/>
  <c r="BP31"/>
  <c r="BO31"/>
  <c r="BN31"/>
  <c r="BM3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s="1"/>
  <c r="AZ30" s="1"/>
  <c r="AX30"/>
  <c r="AW30"/>
  <c r="AV30"/>
  <c r="AC30"/>
  <c r="H30"/>
  <c r="G30" s="1"/>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G27" s="1"/>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G24" s="1"/>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G21" s="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G19" s="1"/>
  <c r="BT18"/>
  <c r="BS18"/>
  <c r="BR18"/>
  <c r="BQ18"/>
  <c r="BP18"/>
  <c r="BO18"/>
  <c r="BN18"/>
  <c r="BM18"/>
  <c r="BL18" s="1"/>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c r="AX207"/>
  <c r="AW207"/>
  <c r="AV207"/>
  <c r="AC207"/>
  <c r="H207"/>
  <c r="BT206"/>
  <c r="BS206"/>
  <c r="BR206"/>
  <c r="BQ206"/>
  <c r="BP206"/>
  <c r="BO206"/>
  <c r="BN206"/>
  <c r="BM206"/>
  <c r="BL206"/>
  <c r="BK206"/>
  <c r="BJ206"/>
  <c r="BI206"/>
  <c r="BH206"/>
  <c r="BG206"/>
  <c r="BF206"/>
  <c r="BE206"/>
  <c r="BD206"/>
  <c r="BC206"/>
  <c r="BB206"/>
  <c r="BA206" s="1"/>
  <c r="AX206"/>
  <c r="AW206"/>
  <c r="AV206"/>
  <c r="AC206"/>
  <c r="H206"/>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s="1"/>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s="1"/>
  <c r="AX198"/>
  <c r="AW198"/>
  <c r="AV198"/>
  <c r="AC198"/>
  <c r="H198"/>
  <c r="G198" s="1"/>
  <c r="BT197"/>
  <c r="BS197"/>
  <c r="BR197"/>
  <c r="BQ197"/>
  <c r="BP197"/>
  <c r="BO197"/>
  <c r="BN197"/>
  <c r="BM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G190" s="1"/>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s="1"/>
  <c r="AX184"/>
  <c r="AW184"/>
  <c r="AV184"/>
  <c r="AC184"/>
  <c r="H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s="1"/>
  <c r="AX182"/>
  <c r="AW182"/>
  <c r="AV182"/>
  <c r="AC182"/>
  <c r="H182"/>
  <c r="G182" s="1"/>
  <c r="BT181"/>
  <c r="BS181"/>
  <c r="BR181"/>
  <c r="BQ181"/>
  <c r="BP181"/>
  <c r="BO181"/>
  <c r="BN181"/>
  <c r="BM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G174" s="1"/>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BA168" s="1"/>
  <c r="AX168"/>
  <c r="AW168"/>
  <c r="AV168"/>
  <c r="AC168"/>
  <c r="H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G158" s="1"/>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G155" s="1"/>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s="1"/>
  <c r="AX150"/>
  <c r="AW150"/>
  <c r="AV150"/>
  <c r="AC150"/>
  <c r="H150"/>
  <c r="G150" s="1"/>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AX148"/>
  <c r="AW148"/>
  <c r="AV148"/>
  <c r="AC148"/>
  <c r="H148"/>
  <c r="G148" s="1"/>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s="1"/>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s="1"/>
  <c r="AZ122" s="1"/>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BT114"/>
  <c r="BS114"/>
  <c r="BR114"/>
  <c r="BQ114"/>
  <c r="BP114"/>
  <c r="BO114"/>
  <c r="BN114"/>
  <c r="BM114"/>
  <c r="BL114"/>
  <c r="BK114"/>
  <c r="BJ114"/>
  <c r="BI114"/>
  <c r="BH114"/>
  <c r="BG114"/>
  <c r="BF114"/>
  <c r="BE114"/>
  <c r="BD114"/>
  <c r="BC114"/>
  <c r="BB114"/>
  <c r="BA114" s="1"/>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s="1"/>
  <c r="AZ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G299" s="1"/>
  <c r="BT298"/>
  <c r="BS298"/>
  <c r="BR298"/>
  <c r="BQ298"/>
  <c r="BP298"/>
  <c r="BO298"/>
  <c r="BN298"/>
  <c r="BM298"/>
  <c r="BL298" s="1"/>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c r="AX297"/>
  <c r="AW297"/>
  <c r="AV297"/>
  <c r="AC297"/>
  <c r="H297"/>
  <c r="BT296"/>
  <c r="BS296"/>
  <c r="BR296"/>
  <c r="BQ296"/>
  <c r="BP296"/>
  <c r="BO296"/>
  <c r="BN296"/>
  <c r="BM296"/>
  <c r="BL296"/>
  <c r="BK296"/>
  <c r="BJ296"/>
  <c r="BI296"/>
  <c r="BH296"/>
  <c r="BG296"/>
  <c r="BF296"/>
  <c r="BE296"/>
  <c r="BD296"/>
  <c r="BC296"/>
  <c r="BB296"/>
  <c r="BA296" s="1"/>
  <c r="AX296"/>
  <c r="AW296"/>
  <c r="AV296"/>
  <c r="AC296"/>
  <c r="H296"/>
  <c r="BT295"/>
  <c r="BS295"/>
  <c r="BR295"/>
  <c r="BQ295"/>
  <c r="BP295"/>
  <c r="BO295"/>
  <c r="BN295"/>
  <c r="BM295"/>
  <c r="BL295"/>
  <c r="BK295"/>
  <c r="BJ295"/>
  <c r="BI295"/>
  <c r="BH295"/>
  <c r="BG295"/>
  <c r="BF295"/>
  <c r="BE295"/>
  <c r="BD295"/>
  <c r="BC295"/>
  <c r="BB295"/>
  <c r="BA295" s="1"/>
  <c r="AX295"/>
  <c r="AW295"/>
  <c r="AV295"/>
  <c r="AC295"/>
  <c r="H295"/>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G293" s="1"/>
  <c r="BT292"/>
  <c r="BS292"/>
  <c r="BR292"/>
  <c r="BQ292"/>
  <c r="BP292"/>
  <c r="BO292"/>
  <c r="BN292"/>
  <c r="BM292"/>
  <c r="BL292" s="1"/>
  <c r="BK292"/>
  <c r="BJ292"/>
  <c r="BI292"/>
  <c r="BH292"/>
  <c r="BG292"/>
  <c r="BF292"/>
  <c r="BE292"/>
  <c r="BD292"/>
  <c r="BC292"/>
  <c r="BB292"/>
  <c r="AX292"/>
  <c r="AW292"/>
  <c r="AV292"/>
  <c r="AC292"/>
  <c r="H292"/>
  <c r="G292" s="1"/>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G290" s="1"/>
  <c r="BT289"/>
  <c r="BS289"/>
  <c r="BR289"/>
  <c r="BQ289"/>
  <c r="BP289"/>
  <c r="BO289"/>
  <c r="BN289"/>
  <c r="BM289"/>
  <c r="BL289" s="1"/>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s="1"/>
  <c r="AX287"/>
  <c r="AW287"/>
  <c r="AV287"/>
  <c r="AC287"/>
  <c r="H287"/>
  <c r="G287" s="1"/>
  <c r="BT286"/>
  <c r="BS286"/>
  <c r="BR286"/>
  <c r="BQ286"/>
  <c r="BP286"/>
  <c r="BO286"/>
  <c r="BN286"/>
  <c r="BM286"/>
  <c r="BK286"/>
  <c r="BJ286"/>
  <c r="BI286"/>
  <c r="BH286"/>
  <c r="BG286"/>
  <c r="BF286"/>
  <c r="BE286"/>
  <c r="BD286"/>
  <c r="BC286"/>
  <c r="BB286"/>
  <c r="BA286"/>
  <c r="AX286"/>
  <c r="AW286"/>
  <c r="AV286"/>
  <c r="AC286"/>
  <c r="H286"/>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s="1"/>
  <c r="AZ284" s="1"/>
  <c r="AX284"/>
  <c r="AW284"/>
  <c r="AV284"/>
  <c r="AC284"/>
  <c r="H284"/>
  <c r="G284" s="1"/>
  <c r="BT283"/>
  <c r="BS283"/>
  <c r="BR283"/>
  <c r="BQ283"/>
  <c r="BP283"/>
  <c r="BO283"/>
  <c r="BN283"/>
  <c r="BM283"/>
  <c r="BL283" s="1"/>
  <c r="BK283"/>
  <c r="BJ283"/>
  <c r="BI283"/>
  <c r="BH283"/>
  <c r="BG283"/>
  <c r="BF283"/>
  <c r="BE283"/>
  <c r="BD283"/>
  <c r="BC283"/>
  <c r="BB283"/>
  <c r="AX283"/>
  <c r="AW283"/>
  <c r="AV283"/>
  <c r="AC283"/>
  <c r="H283"/>
  <c r="G283" s="1"/>
  <c r="BT282"/>
  <c r="BS282"/>
  <c r="BR282"/>
  <c r="BQ282"/>
  <c r="BP282"/>
  <c r="BO282"/>
  <c r="BN282"/>
  <c r="BM282"/>
  <c r="BL282" s="1"/>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c r="AX281"/>
  <c r="AW281"/>
  <c r="AV281"/>
  <c r="AC281"/>
  <c r="H281"/>
  <c r="BT280"/>
  <c r="BS280"/>
  <c r="BR280"/>
  <c r="BQ280"/>
  <c r="BP280"/>
  <c r="BO280"/>
  <c r="BN280"/>
  <c r="BM280"/>
  <c r="BL280"/>
  <c r="BK280"/>
  <c r="BJ280"/>
  <c r="BI280"/>
  <c r="BH280"/>
  <c r="BG280"/>
  <c r="BF280"/>
  <c r="BE280"/>
  <c r="BD280"/>
  <c r="BC280"/>
  <c r="BB280"/>
  <c r="BA280" s="1"/>
  <c r="AX280"/>
  <c r="AW280"/>
  <c r="AV280"/>
  <c r="AC280"/>
  <c r="H280"/>
  <c r="BT279"/>
  <c r="BS279"/>
  <c r="BR279"/>
  <c r="BQ279"/>
  <c r="BP279"/>
  <c r="BO279"/>
  <c r="BN279"/>
  <c r="BM279"/>
  <c r="BL279"/>
  <c r="BK279"/>
  <c r="BJ279"/>
  <c r="BI279"/>
  <c r="BH279"/>
  <c r="BG279"/>
  <c r="BF279"/>
  <c r="BE279"/>
  <c r="BD279"/>
  <c r="BC279"/>
  <c r="BB279"/>
  <c r="BA279" s="1"/>
  <c r="AX279"/>
  <c r="AW279"/>
  <c r="AV279"/>
  <c r="AC279"/>
  <c r="H279"/>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G277" s="1"/>
  <c r="BT276"/>
  <c r="BS276"/>
  <c r="BR276"/>
  <c r="BQ276"/>
  <c r="BP276"/>
  <c r="BO276"/>
  <c r="BN276"/>
  <c r="BM276"/>
  <c r="BL276" s="1"/>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G274" s="1"/>
  <c r="BT273"/>
  <c r="BS273"/>
  <c r="BR273"/>
  <c r="BQ273"/>
  <c r="BP273"/>
  <c r="BO273"/>
  <c r="BN273"/>
  <c r="BM273"/>
  <c r="BL273" s="1"/>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G270" s="1"/>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G263" s="1"/>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s="1"/>
  <c r="AX259"/>
  <c r="AW259"/>
  <c r="AV259"/>
  <c r="AC259"/>
  <c r="H259"/>
  <c r="G259" s="1"/>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G254" s="1"/>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G252" s="1"/>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G250" s="1"/>
  <c r="BT249"/>
  <c r="BS249"/>
  <c r="BR249"/>
  <c r="BQ249"/>
  <c r="BP249"/>
  <c r="BO249"/>
  <c r="BN249"/>
  <c r="BM249"/>
  <c r="BL249" s="1"/>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c r="AX246"/>
  <c r="AW246"/>
  <c r="AV246"/>
  <c r="AC246"/>
  <c r="H246"/>
  <c r="BT245"/>
  <c r="BS245"/>
  <c r="BR245"/>
  <c r="BQ245"/>
  <c r="BP245"/>
  <c r="BO245"/>
  <c r="BN245"/>
  <c r="BM245"/>
  <c r="BL245"/>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s="1"/>
  <c r="AX243"/>
  <c r="AW243"/>
  <c r="AV243"/>
  <c r="AC243"/>
  <c r="H243"/>
  <c r="G243" s="1"/>
  <c r="BT242"/>
  <c r="BS242"/>
  <c r="BR242"/>
  <c r="BQ242"/>
  <c r="BP242"/>
  <c r="BO242"/>
  <c r="BN242"/>
  <c r="BM242"/>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X240"/>
  <c r="AW240"/>
  <c r="AV240"/>
  <c r="AC240"/>
  <c r="H240"/>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s="1"/>
  <c r="AX238"/>
  <c r="AW238"/>
  <c r="AV238"/>
  <c r="AC238"/>
  <c r="H238"/>
  <c r="G238" s="1"/>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s="1"/>
  <c r="AX234"/>
  <c r="AW234"/>
  <c r="AV234"/>
  <c r="AC234"/>
  <c r="H234"/>
  <c r="G234" s="1"/>
  <c r="BT233"/>
  <c r="BS233"/>
  <c r="BR233"/>
  <c r="BQ233"/>
  <c r="BP233"/>
  <c r="BO233"/>
  <c r="BN233"/>
  <c r="BM233"/>
  <c r="BL233" s="1"/>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G227" s="1"/>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G224" s="1"/>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s="1"/>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s="1"/>
  <c r="AX218"/>
  <c r="AW218"/>
  <c r="AV218"/>
  <c r="AC218"/>
  <c r="H218"/>
  <c r="G218" s="1"/>
  <c r="BT217"/>
  <c r="BS217"/>
  <c r="BR217"/>
  <c r="BQ217"/>
  <c r="BP217"/>
  <c r="BO217"/>
  <c r="BN217"/>
  <c r="BM217"/>
  <c r="BK217"/>
  <c r="BJ217"/>
  <c r="BI217"/>
  <c r="BH217"/>
  <c r="BG217"/>
  <c r="BF217"/>
  <c r="BE217"/>
  <c r="BD217"/>
  <c r="BC217"/>
  <c r="BB217"/>
  <c r="BA217"/>
  <c r="AX217"/>
  <c r="AW217"/>
  <c r="AV217"/>
  <c r="AC217"/>
  <c r="H217"/>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s="1"/>
  <c r="AX215"/>
  <c r="AW215"/>
  <c r="AV215"/>
  <c r="AC215"/>
  <c r="H215"/>
  <c r="G215" s="1"/>
  <c r="BT214"/>
  <c r="BS214"/>
  <c r="BR214"/>
  <c r="BQ214"/>
  <c r="BP214"/>
  <c r="BO214"/>
  <c r="BN214"/>
  <c r="BM214"/>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s="1"/>
  <c r="AX213"/>
  <c r="AW213"/>
  <c r="AV213"/>
  <c r="AC213"/>
  <c r="H213"/>
  <c r="G213" s="1"/>
  <c r="BT212"/>
  <c r="BS212"/>
  <c r="BR212"/>
  <c r="BQ212"/>
  <c r="BP212"/>
  <c r="BO212"/>
  <c r="BN212"/>
  <c r="BM212"/>
  <c r="BL212" s="1"/>
  <c r="BK212"/>
  <c r="BJ212"/>
  <c r="BI212"/>
  <c r="BH212"/>
  <c r="BG212"/>
  <c r="BF212"/>
  <c r="BE212"/>
  <c r="BD212"/>
  <c r="BC212"/>
  <c r="BB212"/>
  <c r="AX212"/>
  <c r="AW212"/>
  <c r="AV212"/>
  <c r="AC212"/>
  <c r="H212"/>
  <c r="G212" s="1"/>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G209" s="1"/>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G396" s="1"/>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BA366" s="1"/>
  <c r="AX366"/>
  <c r="AW366"/>
  <c r="AV366"/>
  <c r="AC366"/>
  <c r="H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BA349" s="1"/>
  <c r="AX349"/>
  <c r="AW349"/>
  <c r="AV349"/>
  <c r="AC349"/>
  <c r="H349"/>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G490" s="1"/>
  <c r="BT489"/>
  <c r="BS489"/>
  <c r="BR489"/>
  <c r="BQ489"/>
  <c r="BP489"/>
  <c r="BO489"/>
  <c r="BN489"/>
  <c r="BM489"/>
  <c r="BL489" s="1"/>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G488" s="1"/>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G486" s="1"/>
  <c r="BT485"/>
  <c r="BS485"/>
  <c r="BR485"/>
  <c r="BQ485"/>
  <c r="BP485"/>
  <c r="BO485"/>
  <c r="BN485"/>
  <c r="BM485"/>
  <c r="BL485" s="1"/>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G484" s="1"/>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G481" s="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G473" s="1"/>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G471" s="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s="1"/>
  <c r="AZ468" s="1"/>
  <c r="AX468"/>
  <c r="AW468"/>
  <c r="AV468"/>
  <c r="AC468"/>
  <c r="H468"/>
  <c r="G468" s="1"/>
  <c r="BT467"/>
  <c r="BS467"/>
  <c r="BR467"/>
  <c r="BQ467"/>
  <c r="BP467"/>
  <c r="BO467"/>
  <c r="BN467"/>
  <c r="BM467"/>
  <c r="BL467" s="1"/>
  <c r="BK467"/>
  <c r="BJ467"/>
  <c r="BI467"/>
  <c r="BH467"/>
  <c r="BG467"/>
  <c r="BF467"/>
  <c r="BE467"/>
  <c r="BD467"/>
  <c r="BC467"/>
  <c r="BB467"/>
  <c r="AX467"/>
  <c r="AW467"/>
  <c r="AV467"/>
  <c r="AC467"/>
  <c r="H467"/>
  <c r="G467" s="1"/>
  <c r="BT466"/>
  <c r="BS466"/>
  <c r="BR466"/>
  <c r="BQ466"/>
  <c r="BP466"/>
  <c r="BO466"/>
  <c r="BN466"/>
  <c r="BM466"/>
  <c r="BL466" s="1"/>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G462" s="1"/>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G457" s="1"/>
  <c r="BT456"/>
  <c r="BS456"/>
  <c r="BR456"/>
  <c r="BQ456"/>
  <c r="BP456"/>
  <c r="BO456"/>
  <c r="BN456"/>
  <c r="BM456"/>
  <c r="BL456" s="1"/>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G453" s="1"/>
  <c r="BT452"/>
  <c r="BS452"/>
  <c r="BR452"/>
  <c r="BQ452"/>
  <c r="BP452"/>
  <c r="BO452"/>
  <c r="BN452"/>
  <c r="BM452"/>
  <c r="BL452" s="1"/>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c r="AX451"/>
  <c r="AW451"/>
  <c r="AV451"/>
  <c r="AC451"/>
  <c r="H451"/>
  <c r="G451"/>
  <c r="BT450"/>
  <c r="BS450"/>
  <c r="BR450"/>
  <c r="BQ450"/>
  <c r="BP450"/>
  <c r="BO450"/>
  <c r="BN450"/>
  <c r="BM450"/>
  <c r="BL450" s="1"/>
  <c r="BK450"/>
  <c r="BJ450"/>
  <c r="BI450"/>
  <c r="BH450"/>
  <c r="BG450"/>
  <c r="BF450"/>
  <c r="BE450"/>
  <c r="BD450"/>
  <c r="BC450"/>
  <c r="BB450"/>
  <c r="BA450" s="1"/>
  <c r="AX450"/>
  <c r="AW450"/>
  <c r="AV450"/>
  <c r="AC450"/>
  <c r="H450"/>
  <c r="G450" s="1"/>
  <c r="BT449"/>
  <c r="BS449"/>
  <c r="BR449"/>
  <c r="BQ449"/>
  <c r="BP449"/>
  <c r="BO449"/>
  <c r="BN449"/>
  <c r="BM449"/>
  <c r="BK449"/>
  <c r="BJ449"/>
  <c r="BI449"/>
  <c r="BH449"/>
  <c r="BG449"/>
  <c r="BF449"/>
  <c r="BE449"/>
  <c r="BD449"/>
  <c r="BC449"/>
  <c r="BB449"/>
  <c r="BA449"/>
  <c r="AX449"/>
  <c r="AW449"/>
  <c r="AV449"/>
  <c r="AC449"/>
  <c r="H449"/>
  <c r="BT448"/>
  <c r="BS448"/>
  <c r="BR448"/>
  <c r="BQ448"/>
  <c r="BP448"/>
  <c r="BO448"/>
  <c r="BN448"/>
  <c r="BM448"/>
  <c r="BL448"/>
  <c r="BK448"/>
  <c r="BJ448"/>
  <c r="BI448"/>
  <c r="BH448"/>
  <c r="BG448"/>
  <c r="BF448"/>
  <c r="BE448"/>
  <c r="BD448"/>
  <c r="BC448"/>
  <c r="BB448"/>
  <c r="BA448" s="1"/>
  <c r="AZ448" s="1"/>
  <c r="AX448"/>
  <c r="AW448"/>
  <c r="AV448"/>
  <c r="AC448"/>
  <c r="H448"/>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s="1"/>
  <c r="AX446"/>
  <c r="AW446"/>
  <c r="AV446"/>
  <c r="AC446"/>
  <c r="H446"/>
  <c r="G446" s="1"/>
  <c r="BT445"/>
  <c r="BS445"/>
  <c r="BR445"/>
  <c r="BQ445"/>
  <c r="BP445"/>
  <c r="BO445"/>
  <c r="BN445"/>
  <c r="BM445"/>
  <c r="BK445"/>
  <c r="BJ445"/>
  <c r="BI445"/>
  <c r="BH445"/>
  <c r="BG445"/>
  <c r="BF445"/>
  <c r="BE445"/>
  <c r="BD445"/>
  <c r="BC445"/>
  <c r="BB445"/>
  <c r="BA445"/>
  <c r="AX445"/>
  <c r="AW445"/>
  <c r="AV445"/>
  <c r="AC445"/>
  <c r="H445"/>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s="1"/>
  <c r="AX443"/>
  <c r="AW443"/>
  <c r="AV443"/>
  <c r="AC443"/>
  <c r="H443"/>
  <c r="G443" s="1"/>
  <c r="BT442"/>
  <c r="BS442"/>
  <c r="BR442"/>
  <c r="BQ442"/>
  <c r="BP442"/>
  <c r="BO442"/>
  <c r="BN442"/>
  <c r="BM442"/>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s="1"/>
  <c r="AX441"/>
  <c r="AW441"/>
  <c r="AV441"/>
  <c r="AC441"/>
  <c r="H441"/>
  <c r="G441" s="1"/>
  <c r="BT440"/>
  <c r="BS440"/>
  <c r="BR440"/>
  <c r="BQ440"/>
  <c r="BP440"/>
  <c r="BO440"/>
  <c r="BN440"/>
  <c r="BM440"/>
  <c r="BL440" s="1"/>
  <c r="BK440"/>
  <c r="BJ440"/>
  <c r="BI440"/>
  <c r="BH440"/>
  <c r="BG440"/>
  <c r="BF440"/>
  <c r="BE440"/>
  <c r="BD440"/>
  <c r="BC440"/>
  <c r="BB440"/>
  <c r="AX440"/>
  <c r="AW440"/>
  <c r="AV440"/>
  <c r="AC440"/>
  <c r="H440"/>
  <c r="G440" s="1"/>
  <c r="BT439"/>
  <c r="BS439"/>
  <c r="BR439"/>
  <c r="BQ439"/>
  <c r="BP439"/>
  <c r="BO439"/>
  <c r="BN439"/>
  <c r="BM439"/>
  <c r="BL439" s="1"/>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G437" s="1"/>
  <c r="BT436"/>
  <c r="BS436"/>
  <c r="BR436"/>
  <c r="BQ436"/>
  <c r="BP436"/>
  <c r="BO436"/>
  <c r="BN436"/>
  <c r="BM436"/>
  <c r="BL436" s="1"/>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G431" s="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G425" s="1"/>
  <c r="BT424"/>
  <c r="BS424"/>
  <c r="BR424"/>
  <c r="BQ424"/>
  <c r="BP424"/>
  <c r="BO424"/>
  <c r="BN424"/>
  <c r="BM424"/>
  <c r="BL424" s="1"/>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G421" s="1"/>
  <c r="BT420"/>
  <c r="BS420"/>
  <c r="BR420"/>
  <c r="BQ420"/>
  <c r="BP420"/>
  <c r="BO420"/>
  <c r="BN420"/>
  <c r="BM420"/>
  <c r="BL420" s="1"/>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G418" s="1"/>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G415" s="1"/>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Z411" s="1"/>
  <c r="AX411"/>
  <c r="AW411"/>
  <c r="AV411"/>
  <c r="AC411"/>
  <c r="H411"/>
  <c r="BT410"/>
  <c r="BS410"/>
  <c r="BR410"/>
  <c r="BQ410"/>
  <c r="BP410"/>
  <c r="BO410"/>
  <c r="BN410"/>
  <c r="BM410"/>
  <c r="BL410"/>
  <c r="BK410"/>
  <c r="BJ410"/>
  <c r="BI410"/>
  <c r="BH410"/>
  <c r="BG410"/>
  <c r="BF410"/>
  <c r="BE410"/>
  <c r="BD410"/>
  <c r="BC410"/>
  <c r="BB410"/>
  <c r="BA410" s="1"/>
  <c r="AZ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G408" s="1"/>
  <c r="BT407"/>
  <c r="BS407"/>
  <c r="BR407"/>
  <c r="BQ407"/>
  <c r="BP407"/>
  <c r="BO407"/>
  <c r="BN407"/>
  <c r="BM407"/>
  <c r="BL407" s="1"/>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G405" s="1"/>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G402" s="1"/>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G399" s="1"/>
  <c r="BT398"/>
  <c r="BS398"/>
  <c r="BR398"/>
  <c r="BQ398"/>
  <c r="BP398"/>
  <c r="BO398"/>
  <c r="BN398"/>
  <c r="BM398"/>
  <c r="BL398" s="1"/>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132" i="31"/>
  <c r="R133"/>
  <c r="S133" s="1"/>
  <c r="R134"/>
  <c r="R135"/>
  <c r="S135" s="1"/>
  <c r="R136"/>
  <c r="R137"/>
  <c r="S137" s="1"/>
  <c r="R138"/>
  <c r="R139"/>
  <c r="S139" s="1"/>
  <c r="R140"/>
  <c r="R141"/>
  <c r="S141" s="1"/>
  <c r="R142"/>
  <c r="R143"/>
  <c r="S143" s="1"/>
  <c r="R144"/>
  <c r="R145"/>
  <c r="S145" s="1"/>
  <c r="R146"/>
  <c r="R147"/>
  <c r="S147" s="1"/>
  <c r="R148"/>
  <c r="R149"/>
  <c r="S149" s="1"/>
  <c r="R150"/>
  <c r="R151"/>
  <c r="S151" s="1"/>
  <c r="R152"/>
  <c r="R153"/>
  <c r="S153" s="1"/>
  <c r="R154"/>
  <c r="R155"/>
  <c r="S155" s="1"/>
  <c r="R156"/>
  <c r="R157"/>
  <c r="S157" s="1"/>
  <c r="R158"/>
  <c r="R159"/>
  <c r="S159" s="1"/>
  <c r="R160"/>
  <c r="R161"/>
  <c r="S161" s="1"/>
  <c r="R162"/>
  <c r="R163"/>
  <c r="S163" s="1"/>
  <c r="R164"/>
  <c r="R165"/>
  <c r="S165" s="1"/>
  <c r="R166"/>
  <c r="R167"/>
  <c r="S167" s="1"/>
  <c r="R168"/>
  <c r="R169"/>
  <c r="S169" s="1"/>
  <c r="R170"/>
  <c r="R171"/>
  <c r="S171" s="1"/>
  <c r="R172"/>
  <c r="R173"/>
  <c r="S173" s="1"/>
  <c r="R174"/>
  <c r="R175"/>
  <c r="S175" s="1"/>
  <c r="R176"/>
  <c r="R177"/>
  <c r="S177" s="1"/>
  <c r="R178"/>
  <c r="R179"/>
  <c r="S179" s="1"/>
  <c r="R180"/>
  <c r="R181"/>
  <c r="S181" s="1"/>
  <c r="R182"/>
  <c r="R183"/>
  <c r="S183" s="1"/>
  <c r="R184"/>
  <c r="R185"/>
  <c r="S185" s="1"/>
  <c r="R186"/>
  <c r="R187"/>
  <c r="S187" s="1"/>
  <c r="R188"/>
  <c r="R189"/>
  <c r="S189" s="1"/>
  <c r="R190"/>
  <c r="R191"/>
  <c r="S191" s="1"/>
  <c r="R192"/>
  <c r="R193"/>
  <c r="S193" s="1"/>
  <c r="R194"/>
  <c r="R195"/>
  <c r="S195" s="1"/>
  <c r="R196"/>
  <c r="R197"/>
  <c r="S197" s="1"/>
  <c r="R198"/>
  <c r="R199"/>
  <c r="S199" s="1"/>
  <c r="R200"/>
  <c r="R201"/>
  <c r="S201" s="1"/>
  <c r="R202"/>
  <c r="R203"/>
  <c r="S203" s="1"/>
  <c r="R204"/>
  <c r="R205"/>
  <c r="S205" s="1"/>
  <c r="R206"/>
  <c r="R207"/>
  <c r="S207" s="1"/>
  <c r="R208"/>
  <c r="R209"/>
  <c r="S209" s="1"/>
  <c r="R210"/>
  <c r="R211"/>
  <c r="S211" s="1"/>
  <c r="R212"/>
  <c r="R213"/>
  <c r="S213" s="1"/>
  <c r="R214"/>
  <c r="R215"/>
  <c r="S215" s="1"/>
  <c r="R216"/>
  <c r="R217"/>
  <c r="S217" s="1"/>
  <c r="R218"/>
  <c r="R219"/>
  <c r="S219" s="1"/>
  <c r="R220"/>
  <c r="R221"/>
  <c r="S221" s="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S425" s="1"/>
  <c r="R426"/>
  <c r="R427"/>
  <c r="S427" s="1"/>
  <c r="R428"/>
  <c r="R429"/>
  <c r="S429" s="1"/>
  <c r="R430"/>
  <c r="R431"/>
  <c r="R432"/>
  <c r="R433"/>
  <c r="R434"/>
  <c r="R435"/>
  <c r="R436"/>
  <c r="R437"/>
  <c r="R438"/>
  <c r="R439"/>
  <c r="R440"/>
  <c r="R441"/>
  <c r="R442"/>
  <c r="R443"/>
  <c r="R444"/>
  <c r="R445"/>
  <c r="S445" s="1"/>
  <c r="R446"/>
  <c r="R447"/>
  <c r="S447" s="1"/>
  <c r="R448"/>
  <c r="R449"/>
  <c r="S449" s="1"/>
  <c r="R450"/>
  <c r="R451"/>
  <c r="S451" s="1"/>
  <c r="R452"/>
  <c r="R453"/>
  <c r="S453" s="1"/>
  <c r="R454"/>
  <c r="R455"/>
  <c r="S455" s="1"/>
  <c r="R456"/>
  <c r="R457"/>
  <c r="S457" s="1"/>
  <c r="R458"/>
  <c r="R459"/>
  <c r="S459" s="1"/>
  <c r="R460"/>
  <c r="R461"/>
  <c r="S461" s="1"/>
  <c r="R462"/>
  <c r="R463"/>
  <c r="S463" s="1"/>
  <c r="R464"/>
  <c r="R465"/>
  <c r="S465" s="1"/>
  <c r="R466"/>
  <c r="R467"/>
  <c r="S467" s="1"/>
  <c r="R468"/>
  <c r="R469"/>
  <c r="S469" s="1"/>
  <c r="R470"/>
  <c r="R47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8"/>
  <c r="S426"/>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496"/>
  <c r="S494"/>
  <c r="S492"/>
  <c r="S490"/>
  <c r="S488"/>
  <c r="S486"/>
  <c r="S484"/>
  <c r="S482"/>
  <c r="S480"/>
  <c r="S478"/>
  <c r="S476"/>
  <c r="S474"/>
  <c r="S472"/>
  <c r="S470"/>
  <c r="S468"/>
  <c r="S444"/>
  <c r="S443"/>
  <c r="S442"/>
  <c r="S441"/>
  <c r="S440"/>
  <c r="S439"/>
  <c r="S438"/>
  <c r="S437"/>
  <c r="S436"/>
  <c r="S435"/>
  <c r="S434"/>
  <c r="S433"/>
  <c r="S432"/>
  <c r="S431"/>
  <c r="S430"/>
  <c r="S506"/>
  <c r="S504"/>
  <c r="S502"/>
  <c r="S500"/>
  <c r="S498"/>
  <c r="S466"/>
  <c r="S464"/>
  <c r="S462"/>
  <c r="S460"/>
  <c r="S458"/>
  <c r="S456"/>
  <c r="S454"/>
  <c r="S452"/>
  <c r="S450"/>
  <c r="S446"/>
  <c r="S44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H12"/>
  <c r="U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AA31"/>
  <c r="AC31"/>
  <c r="W31"/>
  <c r="U31"/>
  <c r="J33"/>
  <c r="W33" s="1"/>
  <c r="H22" i="35"/>
  <c r="AB22" s="1"/>
  <c r="AC27"/>
  <c r="W28"/>
  <c r="U31"/>
  <c r="S34"/>
  <c r="W34"/>
  <c r="W22"/>
  <c r="S31"/>
  <c r="F36" i="34"/>
  <c r="J35"/>
  <c r="W9"/>
  <c r="U34"/>
  <c r="H39" i="33"/>
  <c r="AB39" s="1"/>
  <c r="F26"/>
  <c r="AA26" s="1"/>
  <c r="S40"/>
  <c r="W33"/>
  <c r="W39"/>
  <c r="H39" i="37"/>
  <c r="AB39" s="1"/>
  <c r="S27" i="35"/>
  <c r="F11" i="40"/>
  <c r="AA11" s="1"/>
  <c r="H11"/>
  <c r="AB11" s="1"/>
  <c r="W8"/>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AB12" i="33"/>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S26"/>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F28" i="40"/>
  <c r="AA28" s="1"/>
  <c r="AA42" i="34"/>
  <c r="S42"/>
  <c r="AC38"/>
  <c r="AA38"/>
  <c r="J37"/>
  <c r="AC37" s="1"/>
  <c r="S28"/>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U31" i="34"/>
  <c r="J36" i="37"/>
  <c r="AC36" s="1"/>
  <c r="G105"/>
  <c r="AB11" i="36"/>
  <c r="AB11" i="35"/>
  <c r="J10" i="36"/>
  <c r="AC10" s="1"/>
  <c r="AB30" i="21"/>
  <c r="AA14" i="37"/>
  <c r="W31" i="34"/>
  <c r="AC13" i="36"/>
  <c r="W13"/>
  <c r="S11"/>
  <c r="W11"/>
  <c r="W11" i="35"/>
  <c r="AC30" i="34"/>
  <c r="AB45" i="33"/>
  <c r="U13"/>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AZ574" s="1"/>
  <c r="BA572"/>
  <c r="AZ572" s="1"/>
  <c r="BA570"/>
  <c r="AZ570" s="1"/>
  <c r="BA568"/>
  <c r="AZ568" s="1"/>
  <c r="BA566"/>
  <c r="AZ566" s="1"/>
  <c r="BA564"/>
  <c r="AZ564" s="1"/>
  <c r="BA562"/>
  <c r="AZ562" s="1"/>
  <c r="BA560"/>
  <c r="AZ560" s="1"/>
  <c r="BA558"/>
  <c r="BA556"/>
  <c r="AZ556" s="1"/>
  <c r="BA554"/>
  <c r="BA552"/>
  <c r="AZ552" s="1"/>
  <c r="BA548"/>
  <c r="BA546"/>
  <c r="BA544"/>
  <c r="BA542"/>
  <c r="AZ542" s="1"/>
  <c r="BA540"/>
  <c r="AZ540" s="1"/>
  <c r="BA538"/>
  <c r="AZ538" s="1"/>
  <c r="BA536"/>
  <c r="BA534"/>
  <c r="AZ534" s="1"/>
  <c r="BA532"/>
  <c r="BA530"/>
  <c r="AZ530" s="1"/>
  <c r="BA528"/>
  <c r="AZ528"/>
  <c r="BA526"/>
  <c r="AZ526"/>
  <c r="BA524"/>
  <c r="BA522"/>
  <c r="BA520"/>
  <c r="BA518"/>
  <c r="AZ518" s="1"/>
  <c r="BA516"/>
  <c r="BA514"/>
  <c r="AZ514" s="1"/>
  <c r="BA512"/>
  <c r="AZ512"/>
  <c r="BA510"/>
  <c r="AZ510"/>
  <c r="BA508"/>
  <c r="BA506"/>
  <c r="BA504"/>
  <c r="AZ504"/>
  <c r="BA502"/>
  <c r="BA500"/>
  <c r="BA498"/>
  <c r="AZ498"/>
  <c r="BA496"/>
  <c r="BA494"/>
  <c r="AZ494" s="1"/>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c r="BQ579"/>
  <c r="BL579"/>
  <c r="AZ579" s="1"/>
  <c r="BQ577"/>
  <c r="BL577" s="1"/>
  <c r="BQ575"/>
  <c r="BL575" s="1"/>
  <c r="AZ575" s="1"/>
  <c r="BQ573"/>
  <c r="BL573" s="1"/>
  <c r="AZ573" s="1"/>
  <c r="BQ571"/>
  <c r="BL571"/>
  <c r="AZ571" s="1"/>
  <c r="BQ569"/>
  <c r="BL569" s="1"/>
  <c r="BQ567"/>
  <c r="BL567" s="1"/>
  <c r="AZ567" s="1"/>
  <c r="BQ565"/>
  <c r="BL565" s="1"/>
  <c r="AZ565" s="1"/>
  <c r="BQ563"/>
  <c r="BL563"/>
  <c r="BQ561"/>
  <c r="BL561"/>
  <c r="AZ561" s="1"/>
  <c r="BQ559"/>
  <c r="BL559" s="1"/>
  <c r="AZ559" s="1"/>
  <c r="G559"/>
  <c r="G555"/>
  <c r="G553"/>
  <c r="G549"/>
  <c r="G547"/>
  <c r="G545"/>
  <c r="G543"/>
  <c r="G541"/>
  <c r="G539"/>
  <c r="G537"/>
  <c r="BQ555"/>
  <c r="BL555" s="1"/>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s="1"/>
  <c r="AZ501" s="1"/>
  <c r="BQ499"/>
  <c r="BL499" s="1"/>
  <c r="AZ499" s="1"/>
  <c r="BQ497"/>
  <c r="BL497" s="1"/>
  <c r="BQ495"/>
  <c r="BL495" s="1"/>
  <c r="AZ495" s="1"/>
  <c r="BQ493"/>
  <c r="BQ5" s="1"/>
  <c r="S505" i="31"/>
  <c r="S501"/>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U32" i="33"/>
  <c r="AA36" i="39"/>
  <c r="F39" i="33"/>
  <c r="AA39" s="1"/>
  <c r="E123"/>
  <c r="J42" s="1"/>
  <c r="AC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U14" i="40"/>
  <c r="AC32" i="36"/>
  <c r="AC33"/>
  <c r="U35" i="35"/>
  <c r="AA12"/>
  <c r="AB28" i="37"/>
  <c r="U33"/>
  <c r="U39"/>
  <c r="W26"/>
  <c r="AC8"/>
  <c r="U26"/>
  <c r="W47" i="34"/>
  <c r="AB13"/>
  <c r="W37"/>
  <c r="AB37"/>
  <c r="AC36"/>
  <c r="AA13" i="33"/>
  <c r="AC31"/>
  <c r="AC45"/>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C1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J11" i="39"/>
  <c r="W11" s="1"/>
  <c r="F11"/>
  <c r="AA11" s="1"/>
  <c r="A12" i="52"/>
  <c r="B56" i="72" s="1"/>
  <c r="S11" i="39"/>
  <c r="G4" i="4"/>
  <c r="I4"/>
  <c r="K5"/>
  <c r="B47" i="48" s="1"/>
  <c r="N2" i="43"/>
  <c r="F59" s="1"/>
  <c r="AZ24" i="3"/>
  <c r="AZ32"/>
  <c r="BL549"/>
  <c r="AZ549" s="1"/>
  <c r="AZ502"/>
  <c r="AZ522"/>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AZ343" s="1"/>
  <c r="BA345"/>
  <c r="BL355"/>
  <c r="G356"/>
  <c r="BL357"/>
  <c r="BA359"/>
  <c r="AZ359"/>
  <c r="BA360"/>
  <c r="BL360"/>
  <c r="AZ360" s="1"/>
  <c r="G361"/>
  <c r="BA362"/>
  <c r="G370"/>
  <c r="BL371"/>
  <c r="G372"/>
  <c r="BL373"/>
  <c r="BA375"/>
  <c r="AZ375" s="1"/>
  <c r="BA376"/>
  <c r="AZ376" s="1"/>
  <c r="BL376"/>
  <c r="G377"/>
  <c r="BA378"/>
  <c r="AZ378"/>
  <c r="BL378"/>
  <c r="G379"/>
  <c r="BA380"/>
  <c r="G388"/>
  <c r="BL389"/>
  <c r="G390"/>
  <c r="BL391"/>
  <c r="BA393"/>
  <c r="AZ393" s="1"/>
  <c r="BA394"/>
  <c r="BL394"/>
  <c r="G113"/>
  <c r="BA115"/>
  <c r="AZ115" s="1"/>
  <c r="BL116"/>
  <c r="AZ116" s="1"/>
  <c r="G117"/>
  <c r="BA119"/>
  <c r="BL120"/>
  <c r="AZ120" s="1"/>
  <c r="G121"/>
  <c r="BA123"/>
  <c r="AZ123" s="1"/>
  <c r="BL124"/>
  <c r="AZ124" s="1"/>
  <c r="G125"/>
  <c r="BA127"/>
  <c r="AZ127"/>
  <c r="BL128"/>
  <c r="G129"/>
  <c r="BA131"/>
  <c r="AZ131"/>
  <c r="BL132"/>
  <c r="AZ132"/>
  <c r="G133"/>
  <c r="BA135"/>
  <c r="BL136"/>
  <c r="G137"/>
  <c r="BA139"/>
  <c r="BL140"/>
  <c r="AZ140" s="1"/>
  <c r="G141"/>
  <c r="BA143"/>
  <c r="BL144"/>
  <c r="G145"/>
  <c r="BA147"/>
  <c r="AZ147" s="1"/>
  <c r="BL148"/>
  <c r="G149"/>
  <c r="BA151"/>
  <c r="AZ151" s="1"/>
  <c r="BL152"/>
  <c r="AZ152" s="1"/>
  <c r="G153"/>
  <c r="BA155"/>
  <c r="AZ155" s="1"/>
  <c r="BL156"/>
  <c r="G157"/>
  <c r="BA159"/>
  <c r="AZ159"/>
  <c r="BL160"/>
  <c r="G161"/>
  <c r="BA163"/>
  <c r="AZ163"/>
  <c r="BL164"/>
  <c r="G165"/>
  <c r="BA167"/>
  <c r="AZ167" s="1"/>
  <c r="BL168"/>
  <c r="G169"/>
  <c r="BA171"/>
  <c r="AZ171" s="1"/>
  <c r="BL172"/>
  <c r="G173"/>
  <c r="BA175"/>
  <c r="AZ175" s="1"/>
  <c r="BL176"/>
  <c r="G177"/>
  <c r="BA179"/>
  <c r="AZ179" s="1"/>
  <c r="BL180"/>
  <c r="G181"/>
  <c r="BA183"/>
  <c r="AZ183" s="1"/>
  <c r="BL184"/>
  <c r="AZ184" s="1"/>
  <c r="G185"/>
  <c r="BA187"/>
  <c r="AZ187" s="1"/>
  <c r="BL188"/>
  <c r="G189"/>
  <c r="BA191"/>
  <c r="AZ191"/>
  <c r="BL192"/>
  <c r="G193"/>
  <c r="BA195"/>
  <c r="AZ195"/>
  <c r="BL196"/>
  <c r="G197"/>
  <c r="BA199"/>
  <c r="AZ199" s="1"/>
  <c r="BL200"/>
  <c r="G201"/>
  <c r="BA203"/>
  <c r="AZ203" s="1"/>
  <c r="BL204"/>
  <c r="AZ204" s="1"/>
  <c r="AZ39"/>
  <c r="AZ51"/>
  <c r="AZ55"/>
  <c r="AZ67"/>
  <c r="AZ71"/>
  <c r="AZ79"/>
  <c r="AZ83"/>
  <c r="AZ136"/>
  <c r="AZ144"/>
  <c r="AZ160"/>
  <c r="AZ168"/>
  <c r="AZ176"/>
  <c r="AZ192"/>
  <c r="AZ200"/>
  <c r="AZ85"/>
  <c r="AZ89"/>
  <c r="AZ97"/>
  <c r="AZ105"/>
  <c r="AZ128"/>
  <c r="G534"/>
  <c r="G530"/>
  <c r="G522"/>
  <c r="G516"/>
  <c r="G512"/>
  <c r="G506"/>
  <c r="G498"/>
  <c r="G494"/>
  <c r="G16"/>
  <c r="G15"/>
  <c r="BA304"/>
  <c r="BA305"/>
  <c r="AZ305" s="1"/>
  <c r="BL305"/>
  <c r="G306"/>
  <c r="G309"/>
  <c r="BL310"/>
  <c r="BA312"/>
  <c r="AZ312"/>
  <c r="BA313"/>
  <c r="BL313"/>
  <c r="AZ313" s="1"/>
  <c r="G314"/>
  <c r="G317"/>
  <c r="BL318"/>
  <c r="BA320"/>
  <c r="AZ320" s="1"/>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AZ363" s="1"/>
  <c r="BA364"/>
  <c r="BL364"/>
  <c r="G365"/>
  <c r="G368"/>
  <c r="BL369"/>
  <c r="BA371"/>
  <c r="BA372"/>
  <c r="AZ372" s="1"/>
  <c r="BL372"/>
  <c r="G373"/>
  <c r="G376"/>
  <c r="BL377"/>
  <c r="BL379"/>
  <c r="BA381"/>
  <c r="AZ381" s="1"/>
  <c r="BA382"/>
  <c r="AZ382" s="1"/>
  <c r="BL382"/>
  <c r="G383"/>
  <c r="G386"/>
  <c r="BL387"/>
  <c r="BA389"/>
  <c r="AZ389" s="1"/>
  <c r="BA390"/>
  <c r="BL390"/>
  <c r="G391"/>
  <c r="G394"/>
  <c r="AZ150"/>
  <c r="AZ158"/>
  <c r="AZ166"/>
  <c r="AZ174"/>
  <c r="AZ182"/>
  <c r="AZ190"/>
  <c r="AZ198"/>
  <c r="AZ202"/>
  <c r="AZ206"/>
  <c r="AZ500"/>
  <c r="BA16"/>
  <c r="AZ16" s="1"/>
  <c r="BL303"/>
  <c r="AZ303" s="1"/>
  <c r="G304"/>
  <c r="BA306"/>
  <c r="AZ306" s="1"/>
  <c r="BL307"/>
  <c r="AZ307" s="1"/>
  <c r="G308"/>
  <c r="BA310"/>
  <c r="BL311"/>
  <c r="AZ311" s="1"/>
  <c r="G312"/>
  <c r="BA314"/>
  <c r="AZ314" s="1"/>
  <c r="BL315"/>
  <c r="G316"/>
  <c r="BA318"/>
  <c r="AZ318"/>
  <c r="BL319"/>
  <c r="G320"/>
  <c r="BA322"/>
  <c r="AZ322"/>
  <c r="BL323"/>
  <c r="AZ323"/>
  <c r="G324"/>
  <c r="BA326"/>
  <c r="AZ326" s="1"/>
  <c r="BL327"/>
  <c r="G328"/>
  <c r="BA330"/>
  <c r="AZ330" s="1"/>
  <c r="BL331"/>
  <c r="G332"/>
  <c r="BA334"/>
  <c r="AZ334" s="1"/>
  <c r="BL335"/>
  <c r="AZ335" s="1"/>
  <c r="G336"/>
  <c r="BA338"/>
  <c r="AZ338" s="1"/>
  <c r="BL339"/>
  <c r="AZ339" s="1"/>
  <c r="G340"/>
  <c r="BL343"/>
  <c r="G344"/>
  <c r="G348"/>
  <c r="G355"/>
  <c r="AZ209"/>
  <c r="AZ218"/>
  <c r="AZ319"/>
  <c r="G342"/>
  <c r="BL345"/>
  <c r="AZ345" s="1"/>
  <c r="G346"/>
  <c r="AZ348"/>
  <c r="BL349"/>
  <c r="AZ349" s="1"/>
  <c r="BL352"/>
  <c r="AZ352" s="1"/>
  <c r="G353"/>
  <c r="BA357"/>
  <c r="AZ357" s="1"/>
  <c r="BL358"/>
  <c r="AZ358" s="1"/>
  <c r="G359"/>
  <c r="BA361"/>
  <c r="AZ361" s="1"/>
  <c r="BL362"/>
  <c r="G363"/>
  <c r="BA365"/>
  <c r="AZ365" s="1"/>
  <c r="BL366"/>
  <c r="AZ366" s="1"/>
  <c r="G367"/>
  <c r="BA369"/>
  <c r="AZ369"/>
  <c r="BL370"/>
  <c r="G371"/>
  <c r="BA373"/>
  <c r="AZ373"/>
  <c r="BL374"/>
  <c r="AZ374"/>
  <c r="G375"/>
  <c r="BA377"/>
  <c r="AZ377" s="1"/>
  <c r="AZ229"/>
  <c r="AZ241"/>
  <c r="AZ245"/>
  <c r="AZ257"/>
  <c r="AZ261"/>
  <c r="AZ265"/>
  <c r="AZ370"/>
  <c r="BA379"/>
  <c r="AZ379" s="1"/>
  <c r="BL380"/>
  <c r="AZ380" s="1"/>
  <c r="G381"/>
  <c r="BA383"/>
  <c r="BL384"/>
  <c r="G385"/>
  <c r="BA387"/>
  <c r="AZ387" s="1"/>
  <c r="BL388"/>
  <c r="G389"/>
  <c r="BA391"/>
  <c r="AZ391" s="1"/>
  <c r="BL392"/>
  <c r="G393"/>
  <c r="AZ263"/>
  <c r="AZ279"/>
  <c r="AZ287"/>
  <c r="AZ295"/>
  <c r="BO5"/>
  <c r="BM5"/>
  <c r="BJ5"/>
  <c r="BH5"/>
  <c r="BF5"/>
  <c r="BD5"/>
  <c r="AZ309"/>
  <c r="AZ317"/>
  <c r="AZ325"/>
  <c r="AZ333"/>
  <c r="AZ341"/>
  <c r="AC5"/>
  <c r="AZ506"/>
  <c r="AZ496"/>
  <c r="G548"/>
  <c r="G538"/>
  <c r="G520"/>
  <c r="G502"/>
  <c r="BS5"/>
  <c r="BP5"/>
  <c r="BN5"/>
  <c r="BK5"/>
  <c r="BI5"/>
  <c r="BG5"/>
  <c r="BE5"/>
  <c r="BC5"/>
  <c r="G17"/>
  <c r="BA17"/>
  <c r="BT5"/>
  <c r="AZ356"/>
  <c r="AZ364"/>
  <c r="BA15"/>
  <c r="BB5"/>
  <c r="E8" i="6" s="1"/>
  <c r="F27" s="1"/>
  <c r="BR5" i="3"/>
  <c r="G28" i="6" s="1"/>
  <c r="AZ384" i="3"/>
  <c r="AZ396"/>
  <c r="AZ394"/>
  <c r="AZ509"/>
  <c r="G509"/>
  <c r="BL493"/>
  <c r="AZ390"/>
  <c r="AZ493"/>
  <c r="U36" i="40"/>
  <c r="N4" i="43"/>
  <c r="F36"/>
  <c r="F81"/>
  <c r="H83" s="1"/>
  <c r="H113"/>
  <c r="F48"/>
  <c r="H52" s="1"/>
  <c r="N7"/>
  <c r="F70"/>
  <c r="H73" s="1"/>
  <c r="M6"/>
  <c r="M11"/>
  <c r="E17"/>
  <c r="F39"/>
  <c r="I17"/>
  <c r="F35"/>
  <c r="J17"/>
  <c r="F6" i="1"/>
  <c r="U17" i="39"/>
  <c r="S14" i="35"/>
  <c r="U43" i="21"/>
  <c r="U35"/>
  <c r="AC35"/>
  <c r="U10"/>
  <c r="G8" i="1"/>
  <c r="G9"/>
  <c r="G10"/>
  <c r="F48" i="9"/>
  <c r="O52" s="1"/>
  <c r="AC11" i="39"/>
  <c r="AZ563" i="3"/>
  <c r="W37" i="37"/>
  <c r="W44" i="34"/>
  <c r="AC44"/>
  <c r="U13" i="37"/>
  <c r="U12" i="40"/>
  <c r="AA12"/>
  <c r="J37" i="33"/>
  <c r="W37" s="1"/>
  <c r="AC17" i="34"/>
  <c r="J34" i="33"/>
  <c r="W34" s="1"/>
  <c r="F33" i="34"/>
  <c r="S33" s="1"/>
  <c r="H20" i="36"/>
  <c r="U20" s="1"/>
  <c r="J20"/>
  <c r="W20" s="1"/>
  <c r="J27"/>
  <c r="W27" s="1"/>
  <c r="AB25" i="37"/>
  <c r="AC33" i="40"/>
  <c r="F111"/>
  <c r="G111"/>
  <c r="H111" s="1"/>
  <c r="I111" s="1"/>
  <c r="J111" s="1"/>
  <c r="K111" s="1"/>
  <c r="L111" s="1"/>
  <c r="M111" s="1"/>
  <c r="H35"/>
  <c r="AB35" s="1"/>
  <c r="AC29" i="35"/>
  <c r="W29"/>
  <c r="H35" i="37"/>
  <c r="U35" s="1"/>
  <c r="AC14" i="35"/>
  <c r="H20"/>
  <c r="U20" s="1"/>
  <c r="F20"/>
  <c r="AA20" s="1"/>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AZ386"/>
  <c r="C40" i="11"/>
  <c r="AZ215" i="3"/>
  <c r="AZ227"/>
  <c r="AZ240"/>
  <c r="AZ243"/>
  <c r="AZ256"/>
  <c r="AZ259"/>
  <c r="AZ280"/>
  <c r="AZ296"/>
  <c r="AZ114"/>
  <c r="AZ130"/>
  <c r="AZ21"/>
  <c r="AZ37"/>
  <c r="AZ42"/>
  <c r="AZ53"/>
  <c r="AZ58"/>
  <c r="AZ69"/>
  <c r="AZ82"/>
  <c r="AZ102"/>
  <c r="H74" i="43"/>
  <c r="I20"/>
  <c r="F23" i="39"/>
  <c r="AA23" s="1"/>
  <c r="H27" i="36"/>
  <c r="U27" s="1"/>
  <c r="F27"/>
  <c r="AA27" s="1"/>
  <c r="H33" i="34"/>
  <c r="U33" s="1"/>
  <c r="F32" i="37"/>
  <c r="AA32" s="1"/>
  <c r="G96"/>
  <c r="H96" s="1"/>
  <c r="I96" s="1"/>
  <c r="J96" s="1"/>
  <c r="K96" s="1"/>
  <c r="L96" s="1"/>
  <c r="M96" s="1"/>
  <c r="F20" i="36"/>
  <c r="AA20" s="1"/>
  <c r="J33" i="34"/>
  <c r="AC33" s="1"/>
  <c r="H23" i="39"/>
  <c r="U23" s="1"/>
  <c r="D48" i="9"/>
  <c r="M52" s="1"/>
  <c r="H86" i="43"/>
  <c r="H87"/>
  <c r="K9" i="1"/>
  <c r="M9" s="1"/>
  <c r="O9" s="1"/>
  <c r="P9" s="1"/>
  <c r="AE9"/>
  <c r="U23" i="35" l="1"/>
  <c r="AB23"/>
  <c r="AB9" i="36"/>
  <c r="U9"/>
  <c r="AC24"/>
  <c r="W24"/>
  <c r="AC43" i="39"/>
  <c r="W43"/>
  <c r="U45"/>
  <c r="AB45"/>
  <c r="AZ497" i="3"/>
  <c r="W12" i="34"/>
  <c r="AC12"/>
  <c r="U12" i="35"/>
  <c r="AB12"/>
  <c r="AB34"/>
  <c r="U34"/>
  <c r="W12" i="36"/>
  <c r="AC12"/>
  <c r="AB44" i="39"/>
  <c r="U44"/>
  <c r="AC37"/>
  <c r="W37"/>
  <c r="AC12" i="40"/>
  <c r="W12"/>
  <c r="AZ362" i="3"/>
  <c r="AZ521"/>
  <c r="AZ581"/>
  <c r="BA551"/>
  <c r="BL550"/>
  <c r="BA550"/>
  <c r="BL548"/>
  <c r="AZ548" s="1"/>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AB33" i="40"/>
  <c r="W14" i="37"/>
  <c r="F123" i="33"/>
  <c r="G123" s="1"/>
  <c r="H123" s="1"/>
  <c r="I123" s="1"/>
  <c r="J123" s="1"/>
  <c r="K123" s="1"/>
  <c r="L123" s="1"/>
  <c r="M123" s="1"/>
  <c r="AA41" i="34"/>
  <c r="F42" i="33"/>
  <c r="AA42" s="1"/>
  <c r="AZ569" i="3"/>
  <c r="AZ577"/>
  <c r="AZ557"/>
  <c r="AZ516"/>
  <c r="AZ524"/>
  <c r="AZ532"/>
  <c r="AZ536"/>
  <c r="AZ544"/>
  <c r="AZ554"/>
  <c r="AZ558"/>
  <c r="AZ582"/>
  <c r="AC28" i="21"/>
  <c r="U31" i="33"/>
  <c r="AA14" i="34"/>
  <c r="AB46"/>
  <c r="AA14" i="33"/>
  <c r="AA13" i="35"/>
  <c r="U23" i="40"/>
  <c r="AA29" i="35"/>
  <c r="U33"/>
  <c r="S34" i="34"/>
  <c r="BL586" i="3"/>
  <c r="BL585"/>
  <c r="AZ585" s="1"/>
  <c r="F9" i="33"/>
  <c r="F15"/>
  <c r="AA15" s="1"/>
  <c r="F12" i="34"/>
  <c r="J23" i="35"/>
  <c r="J36"/>
  <c r="H12" i="36"/>
  <c r="H24"/>
  <c r="AB24" s="1"/>
  <c r="H39" i="40"/>
  <c r="G574" i="3"/>
  <c r="G558"/>
  <c r="AZ402"/>
  <c r="AZ418"/>
  <c r="AZ434"/>
  <c r="AZ443"/>
  <c r="AZ445"/>
  <c r="AZ446"/>
  <c r="AZ449"/>
  <c r="AZ450"/>
  <c r="AZ459"/>
  <c r="AZ461"/>
  <c r="AZ462"/>
  <c r="AZ477"/>
  <c r="AZ481"/>
  <c r="AZ208"/>
  <c r="AZ217"/>
  <c r="AZ242"/>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G211"/>
  <c r="BL211"/>
  <c r="AZ211" s="1"/>
  <c r="BA212"/>
  <c r="AZ212" s="1"/>
  <c r="BL214"/>
  <c r="AZ214" s="1"/>
  <c r="G217"/>
  <c r="BL217"/>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G245"/>
  <c r="G246"/>
  <c r="BL246"/>
  <c r="AZ246" s="1"/>
  <c r="BA247"/>
  <c r="AZ247" s="1"/>
  <c r="BA248"/>
  <c r="AZ248" s="1"/>
  <c r="BA249"/>
  <c r="AZ249" s="1"/>
  <c r="BL251"/>
  <c r="AZ251" s="1"/>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AZ207"/>
  <c r="AZ70"/>
  <c r="AZ23"/>
  <c r="G100" i="43"/>
  <c r="G204" i="3"/>
  <c r="G206"/>
  <c r="G207"/>
  <c r="BL207"/>
  <c r="BA18"/>
  <c r="AZ18" s="1"/>
  <c r="BL20"/>
  <c r="AZ20" s="1"/>
  <c r="G23"/>
  <c r="BL23"/>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M108" i="43"/>
  <c r="M100"/>
  <c r="I108"/>
  <c r="I100"/>
  <c r="E108"/>
  <c r="E100"/>
  <c r="BA64" i="3"/>
  <c r="AZ64" s="1"/>
  <c r="BL66"/>
  <c r="AZ66" s="1"/>
  <c r="G69"/>
  <c r="G70"/>
  <c r="BL70"/>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S45"/>
  <c r="U46"/>
  <c r="U35"/>
  <c r="U33"/>
  <c r="AB26"/>
  <c r="H48" i="43"/>
  <c r="H50"/>
  <c r="H75"/>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s="1"/>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F30" i="6"/>
  <c r="F31" s="1"/>
  <c r="E28"/>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S2" s="1"/>
  <c r="F103"/>
  <c r="F105"/>
  <c r="J106"/>
  <c r="N104"/>
  <c r="N107"/>
  <c r="E56" i="40"/>
  <c r="AR12" i="1"/>
  <c r="AQ12"/>
  <c r="T12"/>
  <c r="T10"/>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7" i="21"/>
  <c r="C7" i="40"/>
  <c r="C63" s="1"/>
  <c r="M47" i="9"/>
  <c r="G19" i="43"/>
  <c r="M20" s="1"/>
  <c r="T35" i="4"/>
  <c r="A19" i="51" s="1"/>
  <c r="B14" i="72" s="1"/>
  <c r="C46" i="36"/>
  <c r="D46" s="1"/>
  <c r="E46" s="1"/>
  <c r="C59" i="34"/>
  <c r="D59" s="1"/>
  <c r="C52" i="37"/>
  <c r="D52" s="1"/>
  <c r="A4" i="51"/>
  <c r="B6" i="72" s="1"/>
  <c r="C48" i="35"/>
  <c r="D48" s="1"/>
  <c r="C58" i="21"/>
  <c r="D58"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F37" i="67"/>
  <c r="F37" i="15"/>
  <c r="F38" i="67"/>
  <c r="F16" i="15"/>
  <c r="M26"/>
  <c r="F36" i="67"/>
  <c r="L47" i="15"/>
  <c r="M22" i="67"/>
  <c r="L48"/>
  <c r="M24" i="15"/>
  <c r="F16" i="67"/>
  <c r="M24"/>
  <c r="M29" i="15"/>
  <c r="F7"/>
  <c r="F38"/>
  <c r="F43"/>
  <c r="M22"/>
  <c r="M9"/>
  <c r="F8" i="67"/>
  <c r="F9"/>
  <c r="F26" i="15"/>
  <c r="F26" i="67"/>
  <c r="F40" i="15"/>
  <c r="M29" i="67"/>
  <c r="J15" i="15"/>
  <c r="F6"/>
  <c r="F13"/>
  <c r="C76"/>
  <c r="F42" i="67"/>
  <c r="F40"/>
  <c r="F36" i="15"/>
  <c r="L48"/>
  <c r="F7" i="67"/>
  <c r="F43"/>
  <c r="M28"/>
  <c r="C76"/>
  <c r="M28" i="15"/>
  <c r="M6" i="67"/>
  <c r="F6"/>
  <c r="M8" i="15"/>
  <c r="M6"/>
  <c r="M23" i="67"/>
  <c r="M23" i="15"/>
  <c r="F13" i="67"/>
  <c r="L47"/>
  <c r="M26"/>
  <c r="J15"/>
  <c r="F42" i="15"/>
  <c r="M9" i="67"/>
  <c r="F9" i="15"/>
  <c r="M8" i="67"/>
  <c r="F8" i="15"/>
  <c r="G1" i="73"/>
  <c r="AR10" i="1" l="1"/>
  <c r="C7" i="43"/>
  <c r="U39" i="40"/>
  <c r="AB39"/>
  <c r="U12" i="36"/>
  <c r="AB12"/>
  <c r="AC23" i="35"/>
  <c r="W23"/>
  <c r="AC36"/>
  <c r="W36"/>
  <c r="S12" i="34"/>
  <c r="AA12"/>
  <c r="AA9" i="33"/>
  <c r="S9"/>
  <c r="W41"/>
  <c r="AC41"/>
  <c r="C58"/>
  <c r="D58" s="1"/>
  <c r="E58" s="1"/>
  <c r="F58" s="1"/>
  <c r="G58" s="1"/>
  <c r="H58" s="1"/>
  <c r="I58" s="1"/>
  <c r="J58" s="1"/>
  <c r="K58" s="1"/>
  <c r="L58" s="1"/>
  <c r="M58" s="1"/>
  <c r="N58" s="1"/>
  <c r="O58" s="1"/>
  <c r="I7"/>
  <c r="E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E63" i="39"/>
  <c r="E66" s="1"/>
  <c r="T11" i="1"/>
  <c r="D9" i="69"/>
  <c r="C9" s="1"/>
  <c r="D19" i="12"/>
  <c r="C19" s="1"/>
  <c r="AQ9" i="1"/>
  <c r="AR11"/>
  <c r="E59" i="40"/>
  <c r="D68" i="39"/>
  <c r="D70" s="1"/>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C11" i="33" s="1"/>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S21" i="6"/>
  <c r="L27"/>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15"/>
  <c r="F31" i="67"/>
  <c r="F31" i="15"/>
  <c r="M17" i="67"/>
  <c r="M17" i="15"/>
  <c r="F59" i="67"/>
  <c r="C16" i="15"/>
  <c r="C17"/>
  <c r="C16" i="67"/>
  <c r="B73" i="72" l="1"/>
  <c r="B4"/>
  <c r="F11" i="33"/>
  <c r="H11"/>
  <c r="J11"/>
  <c r="B4" i="62"/>
  <c r="C48" i="68"/>
  <c r="M19" i="6"/>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I19"/>
  <c r="L18" i="9" s="1"/>
  <c r="M27" i="6"/>
  <c r="H10" i="39"/>
  <c r="J10"/>
  <c r="C49" i="15"/>
  <c r="Q60"/>
  <c r="M16" i="1"/>
  <c r="N16" s="1"/>
  <c r="Q60" i="67"/>
  <c r="Q73"/>
  <c r="F27" i="11"/>
  <c r="Q61" i="67"/>
  <c r="Q74"/>
  <c r="C49"/>
  <c r="F1"/>
  <c r="Q52"/>
  <c r="B43" i="72" l="1"/>
  <c r="B71"/>
  <c r="AB11" i="33"/>
  <c r="U11"/>
  <c r="W11"/>
  <c r="AC11"/>
  <c r="AA11"/>
  <c r="S1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M19" i="9"/>
  <c r="C118" s="1"/>
  <c r="C14" i="74" s="1"/>
  <c r="B2" s="1"/>
  <c r="D19" i="6"/>
  <c r="D25"/>
  <c r="D26"/>
  <c r="D15"/>
  <c r="C18" i="4"/>
  <c r="D22" i="6"/>
  <c r="D8"/>
  <c r="D21"/>
  <c r="D23"/>
  <c r="D24"/>
  <c r="D14"/>
  <c r="D20"/>
  <c r="R20" s="1"/>
  <c r="R7" i="1" s="1"/>
  <c r="D5" i="6"/>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C34" i="11"/>
  <c r="R25" i="6" l="1"/>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B45" i="72" l="1"/>
  <c r="B9"/>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67"/>
  <c r="B6" i="76"/>
  <c r="M21" i="15"/>
  <c r="F35" i="67"/>
  <c r="F35" i="15"/>
  <c r="I5" i="6" l="1"/>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M27"/>
  <c r="F41" i="67"/>
  <c r="F41" i="15"/>
  <c r="M27" i="67"/>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7" i="1"/>
  <c r="E2" i="69"/>
  <c r="AO8" i="1"/>
  <c r="AO6"/>
  <c r="B8" i="70" l="1"/>
  <c r="B7"/>
  <c r="B6"/>
  <c r="C46" i="15"/>
  <c r="B2" i="69"/>
  <c r="B3" s="1"/>
  <c r="B2" i="68"/>
  <c r="B3" i="67"/>
  <c r="D2" i="35"/>
  <c r="D2" i="37"/>
  <c r="D2" i="34"/>
  <c r="D2" i="36"/>
  <c r="F20" i="31"/>
  <c r="D2" i="33"/>
  <c r="C19" i="9"/>
  <c r="D2" i="21"/>
  <c r="E2" i="68"/>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S24" i="31" l="1"/>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B61" i="39"/>
  <c r="F61" s="1"/>
  <c r="B60"/>
  <c r="F60" s="1"/>
  <c r="B56"/>
  <c r="F56" s="1"/>
  <c r="B58"/>
  <c r="F58" s="1"/>
  <c r="B59"/>
  <c r="F59" s="1"/>
  <c r="B64"/>
  <c r="F64" s="1"/>
  <c r="B65"/>
  <c r="F65" s="1"/>
  <c r="B57"/>
  <c r="F57" s="1"/>
  <c r="B63"/>
  <c r="F63" s="1"/>
  <c r="B62"/>
  <c r="F62" s="1"/>
  <c r="R22" i="31" l="1"/>
  <c r="B21" s="1"/>
  <c r="B20"/>
  <c r="F66" i="39"/>
  <c r="B2" s="1"/>
  <c r="B3" s="1"/>
  <c r="D35" i="9"/>
  <c r="C35" l="1"/>
  <c r="C34" l="1"/>
  <c r="H112" l="1"/>
  <c r="D21" i="53" s="1"/>
  <c r="B39" i="72" s="1"/>
  <c r="H111" i="9"/>
  <c r="D126" s="1"/>
  <c r="D19" i="53"/>
  <c r="D59" i="9"/>
  <c r="M55"/>
  <c r="B38" i="72" l="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<sst xmlns="http://schemas.openxmlformats.org/spreadsheetml/2006/main" count="8068" uniqueCount="3525">
  <si>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</si>
  <si>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</si>
  <si>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</si>
  <si>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</si>
  <si>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</si>
  <si>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</si>
  <si>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</si>
  <si>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</si>
  <si>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</si>
  <si>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</si>
  <si>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</si>
  <si>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</si>
  <si>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</si>
  <si>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</si>
  <si>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</si>
  <si>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</si>
  <si>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</si>
  <si>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</si>
  <si>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</si>
  <si>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</si>
  <si>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</si>
  <si>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</si>
  <si>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</si>
  <si>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</si>
  <si>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</si>
  <si>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</si>
  <si>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</si>
  <si>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</si>
  <si>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</si>
  <si>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</si>
  <si>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</si>
  <si>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</si>
  <si>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</si>
  <si>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</si>
  <si>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</si>
  <si>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</si>
  <si>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</si>
  <si>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</si>
  <si>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</si>
  <si>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</si>
  <si>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</si>
  <si>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</si>
  <si>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</si>
  <si>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</si>
  <si>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</si>
  <si>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</si>
  <si>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</si>
  <si>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</si>
  <si>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</si>
  <si>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</si>
  <si>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</si>
  <si>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</si>
  <si>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</si>
  <si>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</si>
  <si>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</si>
  <si>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</si>
  <si>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</si>
  <si>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</si>
  <si>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</si>
  <si>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</si>
  <si>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</si>
  <si>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</si>
  <si>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</si>
  <si>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</si>
  <si>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</si>
  <si>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</si>
  <si>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</si>
  <si>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</si>
  <si>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</si>
  <si>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</si>
  <si>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</si>
  <si>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</si>
  <si>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</si>
  <si>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</si>
  <si>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</si>
  <si>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</si>
  <si>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</si>
  <si>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</si>
  <si>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</si>
  <si>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</si>
  <si>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</si>
  <si>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</si>
  <si>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</si>
  <si>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</si>
  <si>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</si>
  <si>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</si>
  <si>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</si>
  <si>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</si>
  <si>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</si>
  <si>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</si>
  <si>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</si>
  <si>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</si>
  <si>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</si>
  <si>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</si>
  <si>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</si>
  <si>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</si>
  <si>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</si>
  <si>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</si>
  <si>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</si>
  <si>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</si>
  <si>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</si>
  <si>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</si>
  <si>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</si>
  <si>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</si>
  <si>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</si>
  <si>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</si>
  <si>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</si>
  <si>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</si>
  <si>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</si>
  <si>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</si>
  <si>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</si>
  <si>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</si>
  <si>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</si>
  <si>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</si>
  <si>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</si>
  <si>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</si>
  <si>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</si>
  <si>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</si>
  <si>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</si>
  <si>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</si>
  <si>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</si>
  <si>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</si>
  <si>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</si>
  <si>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</si>
  <si>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</si>
  <si>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</si>
  <si>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</si>
  <si>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</si>
  <si>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</si>
  <si>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</si>
  <si>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</si>
  <si>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</si>
  <si>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</si>
  <si>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</si>
  <si>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</si>
  <si>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</si>
  <si>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</si>
  <si>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</si>
  <si>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</si>
  <si>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</si>
  <si>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</si>
  <si>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</si>
  <si>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</si>
  <si>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</si>
  <si>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</si>
  <si>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</si>
  <si>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</si>
  <si>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</si>
  <si>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</si>
  <si>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</si>
  <si>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</si>
  <si>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</si>
  <si>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</si>
  <si>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</si>
  <si>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</si>
  <si>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</si>
  <si>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</si>
  <si>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</si>
  <si>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</si>
  <si>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</si>
  <si>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</si>
  <si>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</si>
  <si>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</si>
  <si>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</si>
  <si>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</si>
  <si>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</si>
  <si>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</si>
  <si>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</si>
  <si>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</si>
  <si>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</si>
  <si>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</si>
  <si>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</si>
  <si>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</si>
  <si>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</si>
  <si>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</si>
  <si>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</si>
  <si>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</si>
  <si>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</si>
  <si>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</si>
  <si>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</si>
  <si>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</si>
  <si>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</si>
  <si>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</si>
  <si>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</si>
  <si>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</si>
  <si>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</si>
  <si>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</si>
  <si>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</si>
  <si>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</si>
  <si>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</si>
  <si>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</si>
  <si>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</si>
  <si>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</si>
  <si>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</si>
  <si>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</si>
  <si>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</si>
  <si>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</si>
  <si>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</si>
  <si>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</si>
  <si>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</si>
  <si>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</si>
  <si>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</si>
  <si>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</si>
  <si>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</si>
  <si>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</si>
  <si>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</si>
  <si>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</si>
  <si>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</si>
  <si>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</si>
  <si>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</si>
  <si>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</si>
  <si>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</si>
  <si>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</si>
  <si>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</si>
  <si>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</si>
  <si>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</si>
  <si>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</si>
  <si>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</si>
  <si>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</si>
  <si>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</si>
  <si>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</si>
  <si>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</si>
  <si>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</si>
  <si>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</si>
  <si>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</si>
  <si>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</si>
  <si>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</si>
  <si>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</si>
  <si>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</si>
  <si>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</si>
  <si>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</si>
  <si>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</si>
  <si>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</si>
  <si>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</si>
  <si>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</si>
  <si>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</si>
  <si>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</si>
  <si>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</si>
  <si>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</si>
  <si>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</si>
  <si>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</si>
  <si>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</si>
  <si>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</si>
  <si>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</si>
  <si>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</si>
  <si>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</si>
  <si>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</si>
  <si>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</si>
  <si>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</si>
  <si>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</si>
  <si>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</si>
  <si>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</si>
  <si>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</si>
  <si>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</si>
  <si>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</si>
  <si>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</si>
  <si>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</si>
  <si>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</si>
  <si>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</si>
  <si>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</si>
  <si>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</si>
  <si>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</si>
  <si>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</si>
  <si>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</si>
  <si>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</si>
  <si>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</si>
  <si>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</si>
  <si>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</si>
  <si>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</si>
  <si>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</si>
  <si>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</si>
  <si>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</si>
  <si>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</si>
  <si>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</si>
  <si>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</si>
  <si>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</si>
  <si>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</si>
  <si>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</si>
  <si>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</si>
  <si>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</si>
  <si>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</si>
  <si>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</si>
  <si>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</si>
  <si>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</si>
  <si>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</si>
  <si>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</si>
  <si>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</si>
  <si>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</si>
  <si>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</si>
  <si>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</si>
  <si>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</si>
  <si>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</si>
  <si>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</si>
  <si>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</si>
  <si>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</si>
  <si>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</si>
  <si>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</si>
  <si>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</si>
  <si>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</si>
  <si>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</si>
  <si>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</si>
  <si>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</si>
  <si>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</si>
  <si>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</si>
  <si>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</si>
  <si>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</si>
  <si>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</si>
  <si>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</si>
  <si>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</si>
  <si>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</si>
  <si>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</si>
  <si>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</si>
  <si>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</si>
  <si>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</si>
  <si>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</si>
  <si>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</si>
  <si>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</si>
  <si>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</si>
  <si>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</si>
  <si>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</si>
  <si>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</si>
  <si>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</si>
  <si>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</si>
  <si>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</si>
  <si>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</si>
  <si>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</si>
  <si>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</si>
  <si>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</si>
  <si>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</si>
  <si>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</si>
  <si>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</si>
  <si>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</si>
  <si>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</si>
  <si>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</si>
  <si>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</si>
  <si>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</si>
  <si>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</si>
  <si>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</si>
  <si>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</si>
  <si>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</si>
  <si>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</si>
  <si>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</si>
  <si>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</si>
  <si>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</si>
  <si>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</si>
  <si>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</si>
  <si>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</si>
  <si>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</si>
  <si>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</si>
  <si>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</si>
  <si>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</si>
  <si>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</si>
  <si>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</si>
  <si>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</si>
  <si>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</si>
  <si>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</si>
  <si>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</si>
  <si>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</si>
  <si>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</si>
  <si>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</si>
  <si>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</si>
  <si>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</si>
  <si>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</si>
  <si>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</si>
  <si>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</si>
  <si>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</si>
  <si>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</si>
  <si>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</si>
  <si>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</si>
  <si>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</si>
  <si>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</si>
  <si>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</si>
  <si>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</si>
  <si>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</si>
  <si>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</si>
  <si>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</si>
  <si>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</si>
  <si>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</si>
  <si>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</si>
  <si>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</si>
  <si>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</si>
  <si>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</si>
  <si>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</si>
  <si>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</si>
  <si>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</si>
  <si>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</si>
  <si>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</si>
  <si>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</si>
  <si>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</si>
  <si>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</si>
  <si>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</si>
  <si>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</si>
  <si>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</si>
  <si>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</si>
  <si>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</si>
  <si>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</si>
  <si>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</si>
  <si>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</si>
  <si>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</si>
  <si>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</si>
  <si>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</si>
  <si>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</si>
  <si>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</si>
  <si>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</si>
  <si>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</si>
  <si>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</si>
  <si>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</si>
  <si>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</si>
  <si>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</si>
  <si>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</si>
  <si>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</si>
  <si>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</si>
  <si>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</si>
  <si>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</si>
  <si>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</si>
  <si>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</si>
  <si>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</si>
  <si>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</si>
  <si>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</si>
  <si>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</si>
  <si>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</si>
  <si>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</si>
  <si>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</si>
  <si>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</si>
  <si>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</si>
  <si>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</si>
  <si>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</si>
  <si>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</si>
  <si>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</si>
  <si>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</si>
  <si>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</si>
  <si>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</si>
  <si>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</si>
  <si>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</si>
  <si>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</si>
  <si>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</si>
  <si>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</si>
  <si>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</si>
  <si>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</si>
  <si>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</si>
  <si>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</si>
  <si>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</si>
  <si>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</si>
  <si>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</si>
  <si>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</si>
  <si>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</si>
  <si>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</si>
  <si>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</si>
  <si>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</si>
  <si>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</si>
  <si>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</si>
  <si>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</si>
  <si>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</si>
  <si>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</si>
  <si>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</si>
  <si>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</si>
  <si>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</si>
  <si>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</si>
  <si>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</si>
  <si>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</si>
  <si>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</si>
  <si>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</si>
  <si>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</si>
  <si>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</si>
  <si>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</si>
  <si>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</si>
  <si>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</si>
  <si>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</si>
  <si>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</si>
  <si>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</si>
  <si>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</si>
  <si>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</si>
  <si>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</si>
  <si>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</si>
  <si>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</si>
  <si>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</si>
  <si>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</si>
  <si>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</si>
  <si>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</si>
  <si>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</si>
  <si>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</si>
  <si>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</si>
  <si>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</si>
  <si>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</si>
  <si>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</si>
  <si>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</si>
  <si>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</si>
  <si>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</si>
  <si>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</si>
  <si>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</si>
  <si>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</si>
  <si>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</si>
  <si>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</si>
  <si>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</si>
  <si>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</si>
  <si>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</si>
  <si>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</si>
  <si>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</si>
  <si>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</si>
  <si>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</si>
  <si>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</si>
  <si>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</si>
  <si>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</si>
  <si>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</si>
  <si>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</si>
  <si>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</si>
  <si>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</si>
  <si>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</si>
  <si>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</si>
  <si>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</si>
  <si>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</si>
  <si>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</si>
  <si>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</si>
  <si>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</si>
  <si>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</si>
  <si>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</si>
  <si>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</si>
  <si>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</si>
  <si>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</si>
  <si>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</si>
  <si>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</si>
  <si>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</si>
  <si>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</si>
  <si>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</si>
  <si>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</si>
  <si>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</si>
  <si>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</si>
  <si>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</si>
  <si>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</si>
  <si>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</si>
  <si>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</si>
  <si>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</si>
  <si>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</si>
  <si>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</si>
  <si>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</si>
  <si>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</si>
  <si>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</si>
  <si>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</si>
  <si>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</si>
  <si>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</si>
  <si>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</si>
  <si>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</si>
  <si>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</si>
  <si>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</si>
  <si>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</si>
  <si>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</si>
  <si>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</si>
  <si>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</si>
  <si>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</si>
  <si>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</si>
  <si>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</si>
  <si>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</si>
  <si>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</si>
  <si>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</si>
  <si>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</si>
  <si>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</si>
  <si>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</si>
  <si>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</si>
  <si>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</si>
  <si>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</si>
  <si>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</si>
  <si>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</si>
  <si>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</si>
  <si>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</si>
  <si>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</si>
  <si>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</si>
  <si>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</si>
  <si>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</si>
  <si>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</si>
  <si>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</si>
  <si>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</si>
  <si>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</si>
  <si>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</si>
  <si>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</si>
  <si>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</si>
  <si>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</si>
  <si>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</si>
  <si>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</si>
  <si>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</si>
  <si>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</si>
  <si>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</si>
  <si>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</si>
  <si>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</si>
  <si>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</si>
  <si>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</si>
  <si>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</si>
  <si>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</si>
  <si>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</si>
  <si>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</si>
  <si>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</si>
  <si>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</si>
  <si>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</si>
  <si>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</si>
  <si>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</si>
  <si>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</si>
  <si>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</si>
  <si>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</si>
  <si>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</si>
  <si>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</si>
  <si>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</si>
  <si>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</si>
  <si>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</si>
  <si>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</si>
  <si>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</si>
  <si>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</si>
  <si>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</si>
  <si>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</si>
  <si>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</si>
  <si>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</si>
  <si>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</si>
  <si>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</si>
  <si>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</si>
  <si>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</si>
  <si>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</si>
  <si>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</si>
  <si>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</si>
  <si>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</si>
  <si>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</si>
  <si>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</si>
  <si>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</si>
  <si>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</si>
  <si>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</si>
  <si>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</si>
  <si>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</si>
  <si>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</si>
  <si>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</si>
  <si>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</si>
  <si>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</si>
  <si>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</si>
  <si>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</si>
  <si>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</si>
  <si>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</si>
  <si>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</si>
  <si>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</si>
  <si>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</si>
  <si>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</si>
  <si>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</si>
  <si>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</si>
  <si>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</si>
  <si>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</si>
  <si>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</si>
  <si>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</si>
  <si>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</si>
  <si>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</si>
  <si>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</si>
  <si>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</si>
  <si>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</si>
  <si>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</si>
  <si>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</si>
  <si>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</si>
  <si>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</si>
  <si>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</si>
  <si>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</si>
  <si>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</si>
  <si>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</si>
  <si>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</si>
  <si>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</si>
  <si>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</si>
  <si>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</si>
  <si>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</si>
  <si>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</si>
  <si>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</si>
  <si>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</si>
  <si>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</si>
  <si>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</si>
  <si>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</si>
  <si>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</si>
  <si>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</si>
  <si>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</si>
  <si>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</si>
  <si>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</si>
  <si>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</si>
  <si>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</si>
  <si>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</si>
  <si>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</si>
  <si>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</si>
  <si>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</si>
  <si>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</si>
  <si>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</si>
  <si>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</si>
  <si>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</si>
  <si>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</si>
  <si>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</si>
  <si>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</si>
  <si>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</si>
  <si>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</si>
  <si>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</si>
  <si>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</si>
  <si>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</si>
  <si>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</si>
  <si>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</si>
  <si>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</si>
  <si>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</si>
  <si>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</si>
  <si>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</si>
  <si>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</si>
  <si>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</si>
  <si>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</si>
  <si>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</si>
  <si>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</si>
  <si>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</si>
  <si>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</si>
  <si>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</si>
  <si>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</si>
  <si>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</si>
  <si>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</si>
  <si>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</si>
  <si>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</si>
  <si>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</si>
  <si>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</si>
  <si>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</si>
  <si>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</si>
  <si>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</si>
  <si>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</si>
  <si>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</si>
  <si>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</si>
  <si>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</si>
  <si>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</si>
  <si>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</si>
  <si>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</si>
  <si>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</si>
  <si>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</si>
  <si>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</si>
  <si>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</si>
  <si>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</si>
  <si>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</si>
  <si>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</si>
  <si>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</si>
  <si>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</si>
  <si>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</si>
  <si>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</si>
  <si>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</si>
  <si>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</si>
  <si>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</si>
  <si>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</si>
  <si>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</si>
  <si>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</si>
  <si>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</si>
  <si>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</si>
  <si>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</si>
  <si>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</si>
  <si>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</si>
  <si>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</si>
  <si>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</si>
  <si>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</si>
  <si>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</si>
  <si>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</si>
  <si>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</si>
  <si>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</si>
  <si>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</si>
  <si>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</si>
  <si>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</si>
  <si>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</si>
  <si>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</si>
  <si>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</si>
  <si>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</si>
  <si>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</si>
  <si>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</si>
  <si>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</si>
  <si>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</si>
  <si>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</si>
  <si>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</si>
  <si>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</si>
  <si>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</si>
  <si>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</si>
  <si>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</si>
  <si>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</si>
  <si>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</si>
  <si>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</si>
  <si>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</si>
  <si>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</si>
  <si>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</si>
  <si>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</si>
  <si>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</si>
  <si>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</si>
  <si>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</si>
  <si>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</si>
  <si>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</si>
  <si>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</si>
  <si>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</si>
  <si>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</si>
  <si>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</si>
  <si>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</si>
  <si>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</si>
  <si>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</si>
  <si>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</si>
  <si>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</si>
  <si>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</si>
  <si>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</si>
  <si>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</si>
  <si>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</si>
  <si>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</si>
  <si>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</si>
  <si>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</si>
  <si>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</si>
  <si>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</si>
  <si>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</si>
  <si>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</si>
  <si>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</si>
  <si>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</si>
  <si>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</si>
  <si>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</si>
  <si>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</si>
  <si>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</si>
  <si>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</si>
  <si>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</si>
  <si>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</si>
  <si>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</si>
  <si>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</si>
  <si>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</si>
  <si>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</si>
  <si>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</si>
  <si>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</si>
  <si>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</si>
  <si>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</si>
  <si>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</si>
  <si>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</si>
  <si>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</si>
  <si>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</si>
  <si>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</si>
  <si>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</si>
  <si>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</si>
  <si>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</si>
  <si>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</si>
  <si>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</si>
  <si>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</si>
  <si>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</si>
  <si>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</si>
  <si>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</si>
  <si>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</si>
  <si>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</si>
  <si>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</si>
  <si>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</si>
  <si>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</si>
  <si>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</si>
  <si>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</si>
  <si>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</si>
  <si>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</si>
  <si>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</si>
  <si>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</si>
  <si>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</si>
  <si>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</si>
  <si>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</si>
  <si>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</si>
  <si>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</si>
  <si>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</si>
  <si>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</si>
  <si>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</si>
  <si>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</si>
  <si>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</si>
  <si>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</si>
  <si>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</si>
  <si>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</si>
  <si>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</si>
  <si>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</si>
  <si>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</si>
  <si>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</si>
  <si>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</si>
  <si>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</si>
  <si>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</si>
  <si>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</si>
  <si>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</si>
  <si>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</si>
  <si>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</si>
  <si>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</si>
  <si>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</si>
  <si>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</si>
  <si>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</si>
  <si>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</si>
  <si>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</si>
  <si>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</si>
  <si>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</si>
  <si>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</si>
  <si>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</si>
  <si>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</si>
  <si>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</si>
  <si>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</si>
  <si>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</si>
  <si>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</si>
  <si>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</si>
  <si>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</si>
  <si>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</si>
  <si>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</si>
  <si>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</si>
  <si>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</si>
  <si>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</si>
  <si>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</si>
  <si>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</si>
  <si>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</si>
  <si>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</si>
  <si>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</si>
  <si>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</si>
  <si>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</si>
  <si>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</si>
  <si>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</si>
  <si>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</si>
  <si>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</si>
  <si>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</si>
  <si>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</si>
  <si>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</si>
  <si>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</si>
  <si>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</si>
  <si>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</si>
  <si>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</si>
  <si>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</si>
  <si>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</si>
  <si>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</si>
  <si>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</si>
  <si>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</si>
  <si>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</si>
  <si>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</si>
  <si>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</si>
  <si>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</si>
  <si>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</si>
  <si>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</si>
  <si>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</si>
  <si>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</si>
  <si>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</si>
  <si>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</si>
  <si>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</si>
  <si>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</si>
  <si>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</si>
  <si>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</si>
  <si>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</si>
  <si>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</si>
  <si>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</si>
  <si>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</si>
  <si>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</si>
  <si>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</si>
  <si>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</si>
  <si>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</si>
  <si>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</si>
  <si>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</si>
  <si>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</si>
  <si>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</si>
  <si>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</si>
  <si>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</si>
  <si>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</si>
  <si>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</si>
  <si>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</si>
  <si>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</si>
  <si>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</si>
  <si>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</si>
  <si>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</si>
  <si>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</si>
  <si>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</si>
  <si>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</si>
  <si>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</si>
  <si>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</si>
  <si>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</si>
  <si>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</si>
  <si>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</si>
  <si>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</si>
  <si>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</si>
  <si>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</si>
  <si>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</si>
  <si>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</si>
  <si>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</si>
  <si>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</si>
  <si>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</si>
  <si>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</si>
  <si>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</si>
  <si>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</si>
  <si>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</si>
  <si>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</si>
  <si>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</si>
  <si>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</si>
  <si>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</si>
  <si>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</si>
  <si>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</si>
  <si>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</si>
  <si>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</si>
  <si>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</si>
  <si>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</si>
  <si>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</si>
  <si>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</si>
  <si>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</si>
  <si>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</si>
  <si>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</si>
  <si>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</si>
  <si>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</si>
  <si>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</si>
  <si>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</si>
  <si>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</si>
  <si>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</si>
  <si>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</si>
  <si>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</si>
  <si>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</si>
  <si>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</si>
  <si>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</si>
  <si>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</si>
  <si>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</si>
  <si>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</si>
  <si>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</si>
  <si>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</si>
  <si>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</si>
  <si>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</si>
  <si>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</si>
  <si>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</si>
  <si>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</si>
  <si>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</si>
  <si>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</si>
  <si>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</si>
  <si>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</si>
  <si>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</si>
  <si>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</si>
  <si>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</si>
  <si>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</si>
  <si>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</si>
  <si>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</si>
  <si>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</si>
  <si>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</si>
  <si>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</si>
  <si>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</si>
  <si>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</si>
  <si>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</si>
  <si>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</si>
  <si>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</si>
  <si>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</si>
  <si>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</si>
  <si>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</si>
  <si>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</si>
  <si>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</si>
  <si>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</si>
  <si>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</si>
  <si>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</si>
  <si>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</si>
  <si>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</si>
  <si>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</si>
  <si>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</si>
  <si>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</si>
  <si>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</si>
  <si>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</si>
  <si>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</si>
  <si>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</si>
  <si>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</si>
  <si>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</si>
  <si>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</si>
  <si>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</si>
  <si>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</si>
  <si>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</si>
  <si>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</si>
  <si>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</si>
  <si>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</si>
  <si>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</si>
  <si>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</si>
  <si>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</si>
  <si>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</si>
  <si>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</si>
  <si>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</si>
  <si>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</si>
  <si>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</si>
  <si>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</si>
  <si>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</si>
  <si>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</si>
  <si>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</si>
  <si>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</si>
  <si>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</si>
  <si>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</si>
  <si>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</si>
  <si>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</si>
  <si>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</si>
  <si>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</si>
  <si>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</si>
  <si>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</si>
  <si>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</si>
  <si>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</si>
  <si>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</si>
  <si>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</si>
  <si>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</si>
  <si>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</si>
  <si>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</si>
  <si>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</si>
  <si>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</si>
  <si>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</si>
  <si>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</si>
  <si>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</si>
  <si>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</si>
  <si>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</si>
  <si>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</si>
  <si>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</si>
  <si>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</si>
  <si>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</si>
  <si>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</si>
  <si>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</si>
  <si>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</si>
  <si>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</si>
  <si>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</si>
  <si>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</si>
  <si>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</si>
  <si>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</si>
  <si>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</si>
  <si>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</si>
  <si>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</si>
  <si>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</si>
  <si>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</si>
  <si>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</si>
  <si>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</si>
  <si>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</si>
  <si>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</si>
  <si>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</si>
  <si>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</si>
  <si>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</si>
  <si>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</si>
  <si>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</si>
  <si>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</si>
  <si>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</si>
  <si>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</si>
  <si>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</si>
  <si>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</si>
  <si>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</si>
  <si>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</si>
  <si>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</si>
  <si>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</si>
  <si>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</si>
  <si>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</si>
  <si>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</si>
  <si>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</si>
  <si>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</si>
  <si>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</si>
  <si>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</si>
  <si>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</si>
  <si>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</si>
  <si>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</si>
  <si>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</si>
  <si>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</si>
  <si>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</si>
  <si>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</si>
  <si>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</si>
  <si>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</si>
  <si>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</si>
  <si>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</si>
  <si>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</si>
  <si>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</si>
  <si>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</si>
  <si>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</si>
  <si>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</si>
  <si>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</si>
  <si>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</si>
  <si>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</si>
  <si>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</si>
  <si>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</si>
  <si>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</si>
  <si>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</si>
  <si>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</si>
  <si>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</si>
  <si>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</si>
  <si>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</si>
  <si>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</si>
  <si>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</si>
  <si>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</si>
  <si>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</si>
  <si>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</si>
  <si>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</si>
  <si>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</si>
  <si>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</si>
  <si>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</si>
  <si>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</si>
  <si>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</si>
  <si>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</si>
  <si>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</si>
  <si>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</si>
  <si>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</si>
  <si>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</si>
  <si>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</si>
  <si>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</si>
  <si>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</si>
  <si>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</si>
  <si>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</si>
  <si>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</si>
  <si>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</si>
  <si>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</si>
  <si>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</si>
  <si>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</si>
  <si>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</si>
  <si>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</si>
  <si>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</si>
  <si>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</si>
  <si>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</si>
  <si>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</si>
  <si>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</si>
  <si>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</si>
  <si>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</si>
  <si>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</si>
  <si>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</si>
  <si>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</si>
  <si>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</si>
  <si>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</si>
  <si>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</si>
  <si>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</si>
  <si>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</si>
  <si>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</si>
  <si>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</si>
  <si>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</si>
  <si>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</si>
  <si>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</si>
  <si>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</si>
  <si>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</si>
  <si>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</si>
  <si>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</si>
  <si>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</si>
  <si>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</si>
  <si>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</si>
  <si>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</si>
  <si>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</si>
  <si>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</si>
  <si>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</si>
  <si>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</si>
  <si>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</si>
  <si>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</si>
  <si>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</si>
  <si>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</si>
  <si>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</si>
  <si>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</si>
  <si>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</si>
  <si>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</si>
  <si>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</si>
  <si>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</si>
  <si>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</si>
  <si>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</si>
  <si>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</si>
  <si>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</si>
  <si>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</si>
  <si>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</si>
  <si>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</si>
  <si>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</si>
  <si>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</si>
  <si>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</si>
  <si>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</si>
  <si>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</si>
  <si>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</si>
  <si>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</si>
  <si>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</si>
  <si>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</si>
  <si>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</si>
  <si>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</si>
  <si>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</si>
  <si>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</si>
  <si>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</si>
  <si>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</si>
  <si>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</si>
  <si>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</si>
  <si>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</si>
  <si>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</si>
  <si>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</si>
  <si>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</si>
  <si>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</si>
  <si>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</si>
  <si>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</si>
  <si>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</si>
  <si>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</si>
  <si>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</si>
  <si>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</si>
  <si>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</si>
  <si>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</si>
  <si>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</si>
  <si>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</si>
  <si>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</si>
  <si>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</si>
  <si>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</si>
  <si>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</si>
  <si>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</si>
  <si>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</si>
  <si>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</si>
  <si>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</si>
  <si>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</si>
  <si>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</si>
  <si>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</si>
  <si>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</si>
  <si>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</si>
  <si>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</si>
  <si>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</si>
  <si>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</si>
  <si>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</si>
  <si>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</si>
  <si>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</si>
  <si>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</si>
  <si>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</si>
  <si>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</si>
  <si>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</si>
  <si>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</si>
  <si>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</si>
  <si>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</si>
  <si>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</si>
  <si>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</si>
  <si>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</si>
  <si>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</si>
  <si>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</si>
  <si>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</si>
  <si>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</si>
  <si>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</si>
  <si>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</si>
  <si>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</si>
  <si>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</si>
  <si>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</si>
  <si>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</si>
  <si>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</si>
  <si>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</si>
  <si>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</si>
  <si>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</si>
  <si>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</si>
  <si>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</si>
  <si>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</si>
  <si>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</si>
  <si>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</si>
  <si>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</si>
  <si>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</si>
  <si>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</si>
  <si>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</si>
  <si>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</si>
  <si>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</si>
  <si>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</si>
  <si>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</si>
  <si>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</si>
  <si>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</si>
  <si>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</si>
  <si>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</si>
  <si>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</si>
  <si>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</si>
  <si>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</si>
  <si>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</si>
  <si>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</si>
  <si>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</si>
  <si>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</si>
  <si>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</si>
  <si>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</si>
  <si>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</si>
  <si>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</si>
  <si>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</si>
  <si>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</si>
  <si>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</si>
  <si>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</si>
  <si>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</si>
  <si>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</si>
  <si>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</si>
  <si>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</si>
  <si>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</si>
  <si>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</si>
  <si>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</si>
  <si>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</si>
  <si>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</si>
  <si>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</si>
  <si>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</si>
  <si>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</si>
  <si>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</si>
  <si>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</si>
  <si>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</si>
  <si>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</si>
  <si>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</si>
  <si>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</si>
  <si>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</si>
  <si>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</si>
  <si>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</si>
  <si>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</si>
  <si>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</si>
  <si>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</si>
  <si>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</si>
  <si>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</si>
  <si>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</si>
  <si>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</si>
  <si>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</si>
  <si>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</si>
  <si>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</si>
  <si>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</si>
  <si>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</si>
  <si>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</si>
  <si>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</si>
  <si>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</si>
  <si>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</si>
  <si>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</si>
  <si>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</si>
  <si>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</si>
  <si>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</si>
  <si>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</si>
  <si>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</si>
  <si>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</si>
  <si>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</si>
  <si>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</si>
  <si>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</si>
  <si>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</si>
  <si>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</si>
  <si>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</si>
  <si>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</si>
  <si>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</si>
  <si>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</si>
  <si>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</si>
  <si>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</si>
  <si>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</si>
  <si>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</si>
  <si>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</si>
  <si>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</si>
  <si>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</si>
  <si>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</si>
  <si>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</si>
  <si>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</si>
  <si>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</si>
  <si>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</si>
  <si>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</si>
  <si>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</si>
  <si>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</si>
  <si>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</si>
  <si>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</si>
  <si>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</si>
  <si>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</si>
  <si>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</si>
  <si>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</si>
  <si>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</si>
  <si>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</si>
  <si>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</si>
  <si>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</si>
  <si>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</si>
  <si>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</si>
  <si>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</si>
  <si>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</si>
  <si>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</si>
  <si>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</si>
  <si>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</si>
  <si>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</si>
  <si>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</si>
  <si>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</si>
  <si>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</si>
  <si>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</si>
  <si>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</si>
  <si>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</si>
  <si>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</si>
  <si>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</si>
  <si>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</si>
  <si>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</si>
  <si>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</si>
  <si>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</si>
  <si>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</si>
  <si>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</si>
  <si>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</si>
  <si>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</si>
  <si>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</si>
  <si>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</si>
  <si>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</si>
  <si>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</si>
  <si>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</si>
  <si>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</si>
  <si>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</si>
  <si>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</si>
  <si>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</si>
  <si>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</si>
  <si>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</si>
  <si>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</si>
  <si>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</si>
  <si>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</si>
  <si>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</si>
  <si>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</si>
  <si>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</si>
  <si>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</si>
  <si>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</si>
  <si>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</si>
  <si>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</si>
  <si>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</si>
  <si>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</si>
  <si>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</si>
  <si>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</si>
  <si>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</si>
  <si>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</si>
  <si>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</si>
  <si>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</si>
  <si>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</si>
  <si>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</si>
  <si>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</si>
  <si>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</si>
  <si>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</si>
  <si>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</si>
  <si>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</si>
  <si>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</si>
  <si>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</si>
  <si>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</si>
  <si>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</si>
  <si>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</si>
  <si>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</si>
  <si>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</si>
  <si>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</si>
  <si>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</si>
  <si>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</si>
  <si>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</si>
  <si>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</si>
  <si>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</si>
  <si>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</si>
  <si>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</si>
  <si>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</si>
  <si>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</si>
  <si>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</si>
  <si>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</si>
  <si>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</si>
  <si>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</si>
  <si>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</si>
  <si>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</si>
  <si>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</si>
  <si>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</si>
  <si>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</si>
  <si>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</si>
  <si>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</si>
  <si>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</si>
  <si>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</si>
  <si>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</si>
  <si>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</si>
  <si>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</si>
  <si>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</si>
  <si>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</si>
  <si>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</si>
  <si>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</si>
  <si>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</si>
  <si>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</si>
  <si>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</si>
  <si>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</si>
  <si>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</si>
  <si>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</si>
  <si>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</si>
  <si>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</si>
  <si>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</si>
  <si>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</si>
  <si>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</si>
  <si>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</si>
  <si>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</si>
  <si>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</si>
  <si>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</si>
  <si>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</si>
  <si>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</si>
  <si>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</si>
  <si>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</si>
  <si>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</si>
  <si>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</si>
  <si>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</si>
  <si>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</si>
  <si>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</si>
  <si>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</si>
  <si>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</si>
  <si>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</si>
  <si>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</si>
  <si>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</si>
  <si>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</si>
  <si>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</si>
  <si>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</si>
  <si>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</si>
  <si>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</si>
  <si>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</si>
  <si>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</si>
  <si>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</si>
  <si>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</si>
  <si>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</si>
  <si>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</si>
  <si>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</si>
  <si>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</si>
  <si>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</si>
  <si>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</si>
  <si>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</si>
  <si>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</si>
  <si>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</si>
  <si>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</si>
  <si>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</si>
  <si>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</si>
  <si>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</si>
  <si>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</si>
  <si>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</si>
  <si>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</si>
  <si>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</si>
  <si>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</si>
  <si>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</si>
  <si>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</si>
  <si>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</si>
  <si>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</si>
  <si>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</si>
  <si>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</si>
  <si>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</si>
  <si>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</si>
  <si>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</si>
  <si>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</si>
  <si>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</si>
  <si>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</si>
  <si>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</si>
  <si>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</si>
  <si>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</si>
  <si>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</si>
  <si>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</si>
  <si>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</si>
  <si>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</si>
  <si>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</si>
  <si>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</si>
  <si>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</si>
  <si>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</si>
  <si>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</si>
  <si>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</si>
  <si>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</si>
  <si>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</si>
  <si>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</si>
  <si>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</si>
  <si>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</si>
  <si>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</si>
  <si>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</si>
  <si>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</si>
  <si>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</si>
  <si>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</si>
  <si>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</si>
  <si>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</si>
  <si>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</si>
  <si>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</si>
  <si>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</si>
  <si>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</si>
  <si>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</si>
  <si>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</si>
  <si>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</si>
  <si>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</si>
  <si>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</si>
  <si>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</si>
  <si>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</si>
  <si>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</si>
  <si>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</si>
  <si>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</si>
  <si>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</si>
  <si>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</si>
  <si>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</si>
  <si>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</si>
  <si>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</si>
  <si>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</si>
  <si>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</si>
  <si>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</si>
  <si>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</si>
  <si>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</si>
  <si>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</si>
  <si>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</si>
  <si>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</si>
  <si>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</si>
  <si>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</si>
  <si>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</si>
  <si>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</si>
  <si>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</si>
  <si>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</si>
  <si>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</si>
  <si>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</si>
  <si>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</si>
  <si>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</si>
  <si>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</si>
  <si>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</si>
  <si>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</si>
  <si>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</si>
  <si>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</si>
  <si>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</si>
  <si>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</si>
  <si>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</si>
  <si>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</si>
  <si>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</si>
  <si>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</si>
  <si>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</si>
  <si>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</si>
  <si>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</si>
  <si>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</si>
  <si>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</si>
  <si>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</si>
  <si>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</si>
  <si>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</si>
  <si>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</si>
  <si>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</si>
  <si>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</si>
  <si>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</si>
  <si>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</si>
  <si>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</si>
  <si>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</si>
  <si>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</si>
  <si>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</si>
  <si>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</si>
  <si>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</si>
  <si>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</si>
  <si>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</si>
  <si>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</si>
  <si>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</si>
  <si>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</si>
  <si>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</si>
  <si>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</si>
  <si>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</si>
  <si>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</si>
  <si>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</si>
  <si>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</si>
  <si>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</si>
  <si>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</si>
  <si>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</si>
  <si>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</si>
  <si>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</si>
  <si>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</si>
  <si>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</si>
  <si>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</si>
  <si>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</si>
  <si>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</si>
  <si>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</si>
  <si>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</si>
  <si>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</si>
  <si>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</si>
  <si>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</si>
  <si>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</si>
  <si>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</si>
  <si>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</si>
  <si>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</si>
  <si>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</si>
  <si>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</si>
  <si>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</si>
  <si>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</si>
  <si>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</si>
  <si>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</si>
  <si>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</si>
  <si>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</si>
  <si>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</si>
  <si>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</si>
  <si>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</si>
  <si>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</si>
  <si>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</si>
  <si>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</si>
  <si>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</si>
  <si>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</si>
  <si>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</si>
  <si>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</si>
  <si>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</si>
  <si>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</si>
  <si>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</si>
  <si>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</si>
  <si>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</si>
  <si>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</si>
  <si>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</si>
  <si>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</si>
  <si>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</si>
  <si>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</si>
  <si>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</si>
  <si>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</si>
  <si>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</si>
  <si>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</si>
  <si>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</si>
  <si>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</si>
  <si>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</si>
  <si>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</si>
  <si>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</si>
  <si>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</si>
  <si>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</si>
  <si>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</si>
  <si>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</si>
  <si>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</si>
  <si>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</si>
  <si>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</si>
  <si>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</si>
  <si>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</si>
  <si>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</si>
  <si>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</si>
  <si>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</si>
  <si>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</si>
  <si>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</si>
  <si>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</si>
  <si>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</si>
  <si>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</si>
  <si>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</si>
  <si>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</si>
  <si>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</si>
  <si>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</si>
  <si>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</si>
  <si>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</si>
  <si>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</si>
  <si>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</si>
  <si>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</si>
  <si>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</si>
  <si>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</si>
  <si>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</si>
  <si>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</si>
  <si>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</si>
  <si>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</si>
  <si>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</si>
  <si>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</si>
  <si>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</si>
  <si>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</si>
  <si>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</si>
  <si>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</si>
  <si>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</si>
  <si>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</si>
  <si>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</si>
  <si>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</si>
  <si>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</si>
  <si>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</si>
  <si>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</si>
  <si>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</si>
  <si>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</si>
  <si>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</si>
  <si>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</si>
  <si>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</si>
  <si>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</si>
  <si>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</si>
  <si>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</si>
  <si>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</si>
  <si>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</si>
  <si>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</si>
  <si>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</si>
  <si>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</si>
  <si>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</si>
  <si>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</si>
  <si>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</si>
  <si>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</si>
  <si>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</si>
  <si>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</si>
  <si>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</si>
  <si>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</si>
  <si>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</si>
  <si>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</si>
  <si>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</si>
  <si>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</si>
  <si>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</si>
  <si>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</si>
  <si>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</si>
  <si>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</si>
  <si>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</si>
  <si>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</si>
  <si>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</si>
  <si>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</si>
  <si>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</si>
  <si>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</si>
  <si>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</si>
  <si>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</si>
  <si>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</si>
  <si>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</si>
  <si>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</si>
  <si>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</si>
  <si>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</si>
  <si>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</si>
  <si>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</si>
  <si>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</si>
  <si>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</si>
  <si>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</si>
  <si>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</si>
  <si>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</si>
  <si>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</si>
  <si>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</si>
  <si>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</si>
  <si>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</si>
  <si>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</si>
  <si>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</si>
  <si>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</si>
  <si>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</si>
  <si>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</si>
  <si>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</si>
  <si>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</si>
  <si>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</si>
  <si>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</si>
  <si>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</si>
  <si>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</si>
  <si>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</si>
  <si>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</si>
  <si>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</si>
  <si>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</si>
  <si>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</si>
  <si>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</si>
  <si>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</si>
  <si>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</si>
  <si>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</si>
  <si>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</si>
  <si>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</si>
  <si>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</si>
  <si>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</si>
  <si>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</si>
  <si>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</si>
  <si>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</si>
  <si>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</si>
  <si>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</si>
  <si>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</si>
  <si>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</si>
  <si>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</si>
  <si>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</si>
  <si>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</si>
  <si>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</si>
  <si>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</si>
  <si>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</si>
  <si>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</si>
  <si>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</si>
  <si>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</si>
  <si>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</si>
  <si>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</si>
  <si>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</si>
  <si>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</si>
  <si>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</si>
  <si>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</si>
  <si>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</si>
  <si>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</si>
  <si>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</si>
  <si>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</si>
  <si>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</si>
  <si>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</si>
  <si>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</si>
  <si>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</si>
  <si>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</si>
  <si>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</si>
  <si>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</si>
  <si>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</si>
  <si>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</si>
  <si>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</si>
  <si>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</si>
  <si>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</si>
  <si>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</si>
  <si>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</si>
  <si>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</si>
  <si>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</si>
  <si>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</si>
  <si>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</si>
  <si>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</si>
  <si>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</si>
  <si>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</si>
  <si>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</si>
  <si>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</si>
  <si>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</si>
  <si>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</si>
  <si>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</si>
  <si>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</si>
  <si>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</si>
  <si>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</si>
  <si>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</si>
  <si>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</si>
  <si>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</si>
  <si>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</si>
  <si>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</si>
  <si>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</si>
  <si>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</si>
  <si>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</si>
  <si>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</si>
  <si>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</si>
  <si>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</si>
  <si>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</si>
  <si>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</si>
  <si>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</si>
  <si>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</si>
  <si>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</si>
  <si>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</si>
  <si>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</si>
  <si>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</si>
  <si>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</si>
  <si>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</si>
  <si>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</si>
  <si>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</si>
  <si>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</si>
  <si>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</si>
  <si>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</si>
  <si>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</si>
  <si>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</si>
  <si>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</si>
  <si>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</si>
  <si>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</si>
  <si>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</si>
  <si>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</si>
  <si>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</si>
  <si>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</si>
  <si>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</si>
  <si>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</si>
  <si>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</si>
  <si>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</si>
  <si>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</si>
  <si>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</si>
  <si>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</si>
  <si>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</si>
  <si>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</si>
  <si>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</si>
  <si>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</si>
  <si>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</si>
  <si>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</si>
  <si>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</si>
  <si>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</si>
  <si>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</si>
  <si>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</si>
  <si>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</si>
  <si>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</si>
  <si>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</si>
  <si>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</si>
  <si>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</si>
  <si>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</si>
  <si>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</si>
  <si>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</si>
  <si>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</si>
  <si>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</si>
  <si>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</si>
  <si>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</si>
  <si>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</si>
  <si>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</si>
  <si>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</si>
  <si>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</si>
  <si>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</si>
  <si>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</si>
  <si>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</si>
  <si>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</si>
  <si>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</si>
  <si>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</si>
  <si>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</si>
  <si>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</si>
  <si>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</si>
  <si>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</si>
  <si>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</si>
  <si>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</si>
  <si>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</si>
  <si>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</si>
  <si>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</si>
  <si>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</si>
  <si>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</si>
  <si>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</si>
  <si>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</si>
  <si>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</si>
  <si>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</si>
  <si>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</si>
  <si>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</si>
  <si>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</si>
  <si>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</si>
  <si>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</si>
  <si>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</si>
  <si>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</si>
  <si>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</si>
  <si>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</si>
  <si>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</si>
  <si>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</si>
  <si>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</si>
  <si>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</si>
  <si>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</si>
  <si>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</si>
  <si>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</si>
  <si>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</si>
  <si>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</si>
  <si>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</si>
  <si>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</si>
  <si>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</si>
  <si>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</si>
  <si>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</si>
  <si>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</si>
  <si>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</si>
  <si>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</si>
  <si>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</si>
  <si>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</si>
  <si>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</si>
  <si>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</si>
  <si>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</si>
  <si>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</si>
  <si>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</si>
  <si>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</si>
  <si>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</si>
  <si>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</si>
  <si>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</si>
  <si>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</si>
  <si>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</si>
  <si>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</si>
  <si>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</si>
  <si>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</si>
  <si>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</si>
  <si>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</si>
  <si>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</si>
  <si>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</si>
  <si>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</si>
  <si>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</si>
  <si>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</si>
  <si>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</si>
  <si>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</si>
  <si>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</si>
  <si>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</si>
  <si>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</si>
  <si>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</si>
  <si>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</si>
  <si>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</si>
  <si>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</si>
  <si>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</si>
  <si>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</si>
  <si>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</si>
  <si>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</si>
  <si>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</si>
  <si>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</si>
  <si>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</si>
  <si>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</si>
  <si>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</si>
  <si>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</si>
  <si>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</si>
  <si>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</si>
  <si>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</si>
  <si>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</si>
  <si>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</si>
  <si>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</si>
  <si>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</si>
  <si>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</si>
  <si>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</si>
  <si>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</si>
  <si>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</si>
  <si>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</si>
  <si>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</si>
  <si>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</si>
  <si>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</si>
  <si>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</si>
  <si>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</si>
  <si>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</si>
  <si>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</si>
  <si>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</si>
  <si>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</si>
  <si>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</si>
  <si>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</si>
  <si>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</si>
  <si>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</si>
  <si>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</si>
  <si>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</si>
  <si>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</si>
  <si>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</si>
  <si>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</si>
  <si>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</si>
  <si>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</si>
  <si>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</si>
  <si>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</si>
  <si>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</si>
  <si>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</si>
  <si>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</si>
  <si>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</si>
  <si>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</si>
  <si>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</si>
  <si>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</si>
  <si>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</si>
  <si>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</si>
  <si>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</si>
  <si>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</si>
  <si>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</si>
  <si>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</si>
  <si>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</si>
  <si>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</si>
  <si>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</si>
  <si>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</si>
  <si>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</si>
  <si>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</si>
  <si>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</si>
  <si>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</si>
  <si>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</si>
  <si>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</si>
  <si>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</si>
  <si>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</si>
  <si>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</si>
  <si>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</si>
  <si>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</si>
  <si>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</si>
  <si>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</si>
  <si>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</si>
  <si>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</si>
  <si>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</si>
  <si>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</si>
  <si>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</si>
  <si>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</si>
  <si>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</si>
  <si>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</si>
  <si>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</si>
  <si>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</si>
  <si>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</si>
  <si>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</si>
  <si>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</si>
  <si>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</si>
  <si>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</si>
  <si>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</si>
  <si>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</si>
  <si>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</si>
  <si>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</si>
  <si>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</si>
  <si>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</si>
  <si>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</si>
  <si>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</si>
  <si>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</si>
  <si>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</si>
  <si>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</si>
  <si>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</si>
  <si>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</si>
  <si>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</si>
  <si>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</si>
  <si>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</si>
  <si>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</si>
  <si>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</si>
  <si>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</si>
  <si>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</si>
  <si>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</si>
  <si>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</si>
  <si>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</si>
  <si>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</si>
  <si>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</si>
  <si>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</si>
  <si>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</si>
  <si>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</si>
  <si>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</si>
  <si>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</si>
  <si>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</si>
  <si>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</si>
  <si>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</si>
  <si>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</si>
  <si>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</si>
  <si>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</si>
  <si>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</si>
  <si>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</si>
  <si>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</si>
  <si>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</si>
  <si>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</si>
  <si>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</si>
  <si>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</si>
  <si>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</si>
  <si>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</si>
  <si>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</si>
  <si>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</si>
  <si>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</si>
  <si>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</si>
  <si>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</si>
  <si>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</si>
  <si>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</si>
  <si>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</si>
  <si>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</si>
  <si>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</si>
  <si>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</si>
  <si>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</si>
  <si>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</si>
  <si>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</si>
  <si>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</si>
  <si>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</si>
  <si>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</si>
  <si>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</si>
  <si>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</si>
  <si>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</si>
  <si>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</si>
  <si>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</si>
  <si>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</si>
  <si>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</si>
  <si>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</si>
  <si>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</si>
  <si>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</si>
  <si>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</si>
  <si>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</si>
  <si>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</si>
  <si>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</si>
  <si>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</si>
  <si>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</si>
  <si>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</si>
  <si>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</si>
  <si>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</si>
  <si>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</si>
  <si>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</si>
  <si>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</si>
  <si>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</si>
  <si>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</si>
  <si>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</si>
  <si>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</si>
  <si>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</si>
  <si>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</si>
  <si>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</si>
  <si>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</si>
  <si>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</si>
  <si>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</si>
  <si>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</si>
  <si>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</si>
  <si>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</si>
  <si>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</si>
  <si>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</si>
  <si>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</si>
  <si>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</si>
  <si>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</si>
  <si>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</si>
  <si>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</si>
  <si>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</si>
  <si>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</si>
  <si>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</si>
  <si>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</si>
  <si>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</si>
  <si>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</si>
  <si>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</si>
  <si>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</si>
  <si>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</si>
  <si>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</si>
  <si>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</si>
  <si>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</si>
  <si>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</si>
  <si>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</si>
  <si>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</si>
  <si>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</si>
  <si>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</si>
  <si>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</si>
  <si>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</si>
  <si>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</si>
  <si>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</si>
  <si>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</si>
  <si>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</si>
  <si>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</si>
  <si>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</si>
  <si>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</si>
  <si>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</si>
  <si>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</si>
  <si>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</si>
  <si>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</si>
  <si>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</si>
  <si>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</si>
  <si>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</si>
  <si>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</si>
  <si>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</si>
  <si>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</si>
  <si>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</si>
  <si>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</si>
  <si>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</si>
  <si>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</si>
  <si>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</si>
  <si>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</si>
  <si>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</si>
  <si>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</si>
  <si>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</si>
  <si>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</si>
  <si>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</si>
  <si>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</si>
  <si>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</si>
  <si>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</si>
  <si>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</si>
  <si>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</si>
  <si>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</si>
  <si>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</si>
  <si>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</si>
  <si>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</si>
  <si>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</si>
  <si>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</si>
  <si>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</si>
  <si>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</si>
  <si>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</si>
  <si>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</si>
  <si>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</si>
  <si>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</si>
  <si>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</si>
  <si>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</si>
  <si>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</si>
  <si>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</si>
  <si>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</si>
  <si>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</si>
  <si>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</si>
  <si>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</si>
  <si>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</si>
  <si>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</si>
  <si>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</si>
  <si>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</si>
  <si>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</si>
  <si>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</si>
  <si>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</si>
  <si>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</si>
  <si>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</si>
  <si>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</si>
  <si>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</si>
  <si>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</si>
  <si>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</si>
  <si>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</si>
  <si>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</si>
  <si>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</si>
  <si>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</si>
  <si>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</si>
  <si>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</si>
  <si>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</si>
  <si>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</si>
  <si>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</si>
  <si>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</si>
  <si>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</si>
  <si>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</si>
  <si>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</si>
  <si>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</si>
  <si>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</si>
  <si>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</si>
  <si>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</si>
  <si>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</si>
  <si>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</si>
  <si>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</si>
  <si>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</si>
  <si>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</si>
  <si>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</si>
  <si>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</si>
  <si>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</si>
  <si>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</si>
  <si>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</si>
  <si>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</si>
  <si>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</si>
  <si>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</si>
  <si>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</si>
  <si>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</si>
  <si>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</si>
  <si>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</si>
  <si>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</si>
  <si>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</si>
  <si>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</si>
  <si>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</si>
  <si>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</si>
  <si>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</si>
  <si>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</si>
  <si>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</si>
  <si>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</si>
  <si>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</si>
  <si>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</si>
  <si>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</si>
  <si>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</si>
  <si>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</si>
  <si>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</si>
  <si>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</si>
  <si>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</si>
  <si>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</si>
  <si>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</si>
  <si>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</si>
  <si>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</si>
  <si>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</si>
  <si>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</si>
  <si>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</si>
  <si>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</si>
  <si>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</si>
  <si>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</si>
  <si>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</si>
  <si>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</si>
  <si>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</si>
  <si>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</si>
  <si>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</si>
  <si>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</si>
  <si>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</si>
  <si>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</si>
  <si>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</si>
  <si>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</si>
  <si>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</si>
  <si>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</si>
  <si>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</si>
  <si>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</si>
  <si>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</si>
  <si>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</si>
  <si>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</si>
  <si>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</si>
  <si>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</si>
  <si>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</si>
  <si>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</si>
  <si>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</si>
  <si>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</si>
  <si>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</si>
  <si>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</si>
  <si>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</si>
  <si>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</si>
  <si>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</si>
  <si>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</si>
  <si>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</si>
  <si>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</si>
  <si>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</si>
  <si>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</si>
  <si>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</si>
  <si>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</si>
  <si>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</si>
  <si>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</si>
  <si>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</si>
  <si>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</si>
  <si>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</si>
  <si>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</si>
  <si>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</si>
  <si>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</si>
  <si>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</si>
  <si>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</si>
  <si>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</si>
  <si>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</si>
  <si>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</si>
  <si>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</si>
  <si>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</si>
  <si>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</si>
  <si>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</si>
  <si>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</si>
  <si>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</si>
  <si>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</si>
  <si>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</si>
  <si>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</si>
  <si>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</si>
  <si>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</si>
  <si>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</si>
  <si>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</si>
  <si>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</si>
  <si>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</si>
  <si>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</si>
  <si>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</si>
  <si>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</si>
  <si>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</si>
  <si>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</si>
  <si>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</si>
  <si>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</si>
  <si>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</si>
  <si>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</si>
  <si>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</si>
  <si>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</si>
  <si>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</si>
  <si>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</si>
  <si>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</si>
  <si>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</si>
  <si>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</si>
  <si>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</si>
  <si>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</si>
  <si>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</si>
  <si>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</si>
  <si>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</si>
  <si>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</si>
  <si>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</si>
  <si>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</si>
  <si>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</si>
  <si>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</si>
  <si>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</si>
  <si>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</si>
  <si>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</si>
  <si>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</si>
  <si>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</si>
  <si>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</si>
  <si>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</si>
  <si>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</si>
  <si>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</si>
  <si>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</si>
  <si>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</si>
  <si>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</si>
  <si>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</si>
  <si>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</si>
  <si>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</si>
  <si>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</si>
  <si>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</si>
  <si>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</si>
  <si>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</si>
  <si>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</si>
  <si>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</si>
  <si>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</si>
  <si>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</si>
  <si>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</si>
  <si>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</si>
  <si>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</si>
  <si>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</si>
  <si>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</si>
  <si>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</si>
  <si>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</si>
  <si>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</si>
  <si>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</si>
  <si>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</si>
  <si>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</si>
  <si>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</si>
  <si>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</si>
  <si>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</si>
  <si>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</si>
  <si>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</si>
  <si>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</si>
  <si>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</si>
  <si>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</si>
  <si>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</si>
  <si>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</si>
  <si>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</si>
  <si>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</si>
  <si>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</si>
  <si>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</si>
  <si>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</si>
  <si>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</si>
  <si>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</si>
  <si>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</si>
  <si>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</si>
  <si>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</si>
  <si>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</si>
  <si>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</si>
  <si>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</si>
  <si>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</si>
  <si>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</si>
  <si>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</si>
  <si>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</si>
  <si>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</si>
  <si>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</si>
  <si>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</si>
  <si>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</si>
  <si>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</si>
  <si>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</si>
  <si>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</si>
  <si>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</si>
  <si>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</si>
  <si>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</si>
  <si>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</si>
  <si>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</si>
  <si>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</si>
  <si>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</si>
  <si>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</si>
  <si>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</si>
  <si>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</si>
  <si>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</si>
  <si>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</si>
  <si>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</si>
  <si>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</si>
  <si>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</si>
  <si>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</si>
  <si>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</si>
  <si>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</si>
  <si>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</si>
  <si>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</si>
  <si>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</si>
  <si>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</si>
  <si>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</si>
  <si>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</si>
  <si>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</si>
  <si>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</si>
  <si>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</si>
  <si>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</si>
  <si>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</si>
  <si>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</si>
  <si>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</si>
  <si>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</si>
  <si>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</si>
  <si>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</si>
  <si>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</si>
  <si>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</si>
  <si>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</si>
  <si>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</si>
  <si>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</si>
  <si>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</si>
  <si>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</si>
  <si>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</si>
  <si>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</si>
  <si>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</si>
  <si>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</si>
  <si>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</si>
  <si>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</si>
  <si>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</si>
  <si>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</si>
  <si>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</si>
  <si>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</si>
  <si>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</si>
  <si>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</si>
  <si>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</si>
  <si>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</si>
  <si>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</si>
  <si>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</si>
  <si>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</si>
  <si>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</si>
  <si>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</si>
  <si>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</si>
  <si>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</si>
  <si>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</si>
  <si>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</si>
  <si>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</si>
  <si>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</si>
  <si>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</si>
  <si>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</si>
  <si>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</si>
  <si>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</si>
  <si>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</si>
  <si>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</si>
  <si>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</si>
  <si>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</si>
  <si>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</si>
  <si>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</si>
  <si>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</si>
  <si>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</si>
  <si>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</si>
  <si>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</si>
  <si>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</si>
  <si>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</si>
  <si>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</si>
  <si>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</si>
  <si>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</si>
  <si>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</si>
  <si>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</si>
  <si>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</si>
  <si>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</si>
  <si>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</si>
  <si>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</si>
  <si>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</si>
  <si>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</si>
  <si>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</si>
  <si>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</si>
  <si>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</si>
  <si>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</si>
  <si>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</si>
  <si>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</si>
  <si>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</si>
  <si>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</si>
  <si>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</si>
  <si>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</si>
  <si>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</si>
  <si>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</si>
  <si>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</si>
  <si>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</si>
  <si>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</si>
  <si>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</si>
  <si>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</si>
  <si>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</si>
  <si>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</si>
  <si>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</si>
  <si>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</si>
  <si>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</si>
  <si>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</si>
  <si>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</si>
  <si>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</si>
  <si>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</si>
  <si>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</si>
  <si>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</si>
  <si>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</si>
  <si>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</si>
  <si>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</si>
  <si>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</si>
  <si>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</si>
  <si>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</si>
  <si>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</si>
  <si>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</si>
  <si>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</si>
  <si>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</si>
  <si>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</si>
  <si>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</si>
  <si>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</si>
  <si>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</si>
  <si>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</si>
  <si>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</si>
  <si>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</si>
  <si>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</si>
  <si>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</si>
  <si>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</si>
  <si>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</si>
  <si>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</si>
  <si>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</si>
  <si>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</si>
  <si>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</si>
  <si>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</si>
  <si>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</si>
  <si>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</si>
  <si>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</si>
  <si>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</si>
  <si>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</si>
  <si>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</si>
  <si>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</si>
  <si>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</si>
  <si>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</si>
  <si>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</si>
  <si>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</si>
  <si>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</si>
  <si>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</si>
  <si>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</si>
  <si>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</si>
  <si>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</si>
  <si>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</si>
  <si>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</si>
  <si>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</si>
  <si>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</si>
  <si>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</si>
  <si>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</si>
  <si>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</si>
  <si>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</si>
  <si>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</si>
  <si>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</si>
  <si>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</si>
  <si>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</si>
  <si>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</si>
  <si>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</si>
  <si>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</si>
  <si>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</si>
  <si>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</si>
  <si>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</si>
  <si>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</si>
  <si>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</si>
  <si>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</si>
  <si>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</si>
  <si>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</si>
  <si>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</si>
  <si>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</si>
  <si>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</si>
  <si>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</si>
  <si>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</si>
  <si>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</si>
  <si>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</si>
  <si>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</si>
  <si>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</si>
  <si>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</si>
  <si>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</si>
  <si>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</si>
  <si>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</si>
  <si>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</si>
  <si>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</si>
  <si>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</si>
  <si>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</si>
  <si>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</si>
  <si>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</si>
  <si>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</si>
  <si>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</si>
  <si>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</si>
  <si>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</si>
  <si>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</si>
  <si>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</si>
  <si>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</si>
  <si>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</si>
  <si>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</si>
  <si>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</si>
  <si>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</si>
  <si>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</si>
  <si>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</si>
  <si>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</si>
  <si>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</si>
  <si>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</si>
  <si>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</si>
  <si>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</si>
  <si>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</si>
  <si>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</si>
  <si>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</si>
  <si>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</si>
  <si>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</si>
  <si>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</si>
  <si>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</si>
  <si>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</si>
  <si>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</si>
  <si>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</si>
  <si>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</si>
  <si>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</si>
  <si>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</si>
  <si>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</si>
  <si>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</si>
  <si>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</si>
  <si>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</si>
  <si>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</si>
  <si>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</si>
  <si>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</si>
  <si>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</si>
  <si>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</si>
  <si>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</si>
  <si>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</si>
  <si>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</si>
  <si>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</si>
  <si>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</si>
  <si>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</si>
  <si>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</si>
  <si>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</si>
  <si>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</si>
  <si>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</si>
  <si>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</si>
  <si>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</si>
  <si>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</si>
  <si>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</si>
  <si>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</si>
  <si>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</si>
  <si>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</si>
  <si>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</si>
  <si>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</si>
  <si>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</si>
  <si>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</si>
  <si>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</si>
  <si>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</si>
  <si>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</si>
  <si>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</si>
  <si>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</si>
  <si>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</si>
  <si>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</si>
  <si>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</si>
  <si>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</si>
  <si>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</si>
  <si>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</si>
  <si>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</si>
  <si>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</si>
  <si>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</si>
  <si>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</si>
  <si>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</si>
  <si>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</si>
  <si>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</si>
  <si>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</si>
  <si>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</si>
  <si>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</si>
  <si>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</si>
  <si>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</si>
  <si>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</si>
  <si>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</si>
  <si>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</si>
  <si>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</si>
  <si>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</si>
  <si>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</si>
  <si>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</si>
  <si>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</si>
  <si>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</si>
  <si>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</si>
  <si>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</si>
  <si>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</si>
  <si>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</si>
  <si>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</si>
  <si>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</si>
  <si>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</si>
  <si>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</si>
  <si>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</si>
  <si>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</si>
  <si>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</si>
  <si>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</si>
  <si>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</si>
  <si>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</si>
  <si>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</si>
  <si>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</si>
  <si>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</si>
  <si>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</si>
  <si>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</si>
  <si>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</si>
  <si>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</si>
  <si>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</si>
  <si>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</si>
  <si>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</si>
  <si>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</si>
  <si>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</si>
  <si>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</si>
  <si>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</si>
  <si>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</si>
  <si>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</si>
  <si>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</si>
  <si>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</si>
  <si>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</si>
  <si>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</si>
  <si>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</si>
  <si>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</si>
  <si>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</si>
  <si>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</si>
  <si>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</si>
  <si>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</si>
  <si>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</si>
  <si>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</si>
  <si>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</si>
  <si>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</si>
  <si>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</si>
  <si>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</si>
  <si>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</si>
  <si>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</si>
  <si>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</si>
  <si>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</si>
  <si>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</si>
  <si>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</si>
  <si>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</si>
  <si>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</si>
  <si>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</si>
  <si>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</si>
  <si>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</si>
  <si>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</si>
  <si>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</si>
  <si>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</si>
  <si>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</si>
  <si>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</si>
  <si>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</si>
  <si>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</si>
  <si>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</si>
  <si>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</si>
  <si>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</si>
  <si>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</si>
  <si>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</si>
  <si>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</si>
  <si>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</si>
  <si>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</si>
  <si>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</si>
  <si>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</si>
  <si>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</si>
  <si>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</si>
  <si>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</si>
  <si>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</si>
  <si>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</si>
  <si>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</si>
  <si>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</si>
  <si>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</si>
  <si>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</si>
  <si>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</si>
  <si>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</si>
  <si>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</si>
  <si>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</si>
  <si>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</si>
  <si>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</si>
  <si>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</si>
  <si>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</si>
  <si>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</si>
  <si>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</si>
  <si>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</si>
  <si>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</si>
  <si>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</si>
  <si>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</si>
  <si>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</si>
  <si>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</si>
  <si>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</si>
  <si>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</si>
  <si>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</si>
  <si>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</si>
  <si>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</si>
  <si>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</si>
  <si>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</si>
  <si>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</si>
  <si>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</si>
  <si>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</si>
  <si>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</si>
  <si>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</si>
  <si>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</si>
  <si>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</si>
  <si>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</si>
  <si>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</si>
  <si>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</si>
  <si>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</si>
  <si>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</si>
  <si>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</si>
  <si>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</si>
  <si>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</si>
  <si>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</si>
  <si>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</si>
  <si>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</si>
  <si>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</si>
  <si>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</si>
  <si>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</si>
  <si>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</si>
  <si>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</si>
  <si>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</si>
  <si>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</si>
  <si>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</si>
  <si>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</si>
  <si>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</si>
  <si>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</si>
  <si>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</si>
  <si>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</si>
  <si>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</si>
  <si>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</si>
  <si>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</si>
  <si>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</si>
  <si>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</si>
  <si>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</si>
  <si>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</si>
  <si>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</si>
  <si>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</si>
  <si>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</si>
  <si>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</si>
  <si>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</si>
  <si>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</si>
  <si>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</si>
  <si>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</si>
  <si>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</si>
  <si>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</si>
  <si>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</si>
  <si>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</si>
  <si>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</si>
  <si>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</si>
  <si>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</si>
  <si>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</si>
  <si>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</si>
  <si>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</si>
  <si>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</si>
  <si>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</si>
  <si>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</si>
  <si>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</si>
  <si>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</si>
  <si>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</si>
  <si>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</si>
  <si>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</si>
  <si>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</si>
  <si>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</si>
  <si>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</si>
  <si>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</si>
  <si>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</si>
  <si>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</si>
  <si>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</si>
  <si>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</si>
  <si>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</si>
  <si>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</si>
  <si>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</si>
  <si>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</si>
  <si>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</si>
  <si>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</si>
  <si>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</si>
  <si>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</si>
  <si>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</si>
  <si>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</si>
  <si>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</si>
  <si>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</si>
  <si>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</si>
  <si>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</si>
  <si>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</si>
  <si>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华融国际信托有限责任公司</t>
    <phoneticPr fontId="6" type="noConversion"/>
  </si>
  <si>
    <t>中科建设开发总公司</t>
    <phoneticPr fontId="6" type="noConversion"/>
  </si>
  <si>
    <t>抵押</t>
  </si>
  <si>
    <t>房地产抵押价值</t>
  </si>
  <si>
    <t>其他：</t>
  </si>
  <si>
    <t>江苏省宿迁市</t>
    <phoneticPr fontId="6" type="noConversion"/>
  </si>
  <si>
    <t>宿城区水韵城项目部分商业用途</t>
    <phoneticPr fontId="6" type="noConversion"/>
  </si>
  <si>
    <t>企业</t>
  </si>
  <si>
    <t>宿迁用世置业有限公司</t>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</si>
  <si>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</si>
  <si>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</si>
  <si>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34.26</t>
    </r>
    <r>
      <rPr>
        <sz val="12"/>
        <color theme="9" tint="-0.249977111117893"/>
        <rFont val="宋体"/>
        <family val="3"/>
        <charset val="134"/>
      </rPr>
      <t>年</t>
    </r>
    <phoneticPr fontId="6" type="noConversion"/>
  </si>
  <si>
    <t>《不动产权证书》[苏2016宿迁市不动产权第0028115号等41件]、《国有土地使用证》[宿国用2015第25472号等67件]</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</si>
  <si>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2016</t>
    </r>
    <r>
      <rPr>
        <sz val="12"/>
        <color theme="9" tint="-0.249977111117893"/>
        <rFont val="宋体"/>
        <family val="3"/>
        <charset val="134"/>
      </rPr>
      <t>宿迁市不动产权第</t>
    </r>
    <r>
      <rPr>
        <sz val="12"/>
        <color theme="9" tint="-0.249977111117893"/>
        <rFont val="Arial"/>
        <family val="2"/>
      </rPr>
      <t>0028115</t>
    </r>
    <r>
      <rPr>
        <sz val="12"/>
        <color theme="9" tint="-0.249977111117893"/>
        <rFont val="宋体"/>
        <family val="3"/>
        <charset val="134"/>
      </rPr>
      <t>号等</t>
    </r>
    <r>
      <rPr>
        <sz val="12"/>
        <color theme="9" tint="-0.249977111117893"/>
        <rFont val="Arial"/>
        <family val="2"/>
      </rPr>
      <t>41</t>
    </r>
    <r>
      <rPr>
        <sz val="12"/>
        <color theme="9" tint="-0.249977111117893"/>
        <rFont val="宋体"/>
        <family val="3"/>
        <charset val="134"/>
      </rPr>
      <t>件</t>
    </r>
    <r>
      <rPr>
        <sz val="12"/>
        <color theme="9" tint="-0.249977111117893"/>
        <rFont val="Arial"/>
        <family val="2"/>
      </rPr>
      <t>]</t>
    </r>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宿房权证宿城字第</t>
    </r>
    <r>
      <rPr>
        <sz val="12"/>
        <color theme="9" tint="-0.249977111117893"/>
        <rFont val="Arial"/>
        <family val="2"/>
      </rPr>
      <t>15010568</t>
    </r>
    <r>
      <rPr>
        <sz val="12"/>
        <color theme="9" tint="-0.249977111117893"/>
        <rFont val="宋体"/>
        <family val="3"/>
        <charset val="134"/>
      </rPr>
      <t>号等</t>
    </r>
    <r>
      <rPr>
        <sz val="12"/>
        <color theme="9" tint="-0.249977111117893"/>
        <rFont val="Arial"/>
        <family val="2"/>
      </rPr>
      <t>67</t>
    </r>
    <r>
      <rPr>
        <sz val="12"/>
        <color theme="9" tint="-0.249977111117893"/>
        <rFont val="宋体"/>
        <family val="3"/>
        <charset val="134"/>
      </rPr>
      <t>件</t>
    </r>
    <r>
      <rPr>
        <sz val="12"/>
        <color theme="9" tint="-0.249977111117893"/>
        <rFont val="Arial"/>
        <family val="2"/>
      </rPr>
      <t>]</t>
    </r>
    <r>
      <rPr>
        <sz val="12"/>
        <color theme="9" tint="-0.249977111117893"/>
        <rFont val="宋体"/>
        <family val="3"/>
        <charset val="134"/>
      </rPr>
      <t/>
    </r>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</si>
  <si>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</si>
  <si>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</si>
  <si>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</si>
  <si>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</si>
  <si>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</si>
  <si>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</si>
  <si>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</si>
  <si>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</si>
  <si>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</si>
  <si>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</si>
  <si>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</si>
  <si>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</si>
  <si>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</si>
  <si>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</si>
  <si>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</si>
  <si>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独立商业</t>
  </si>
  <si>
    <t>水韵城房产明细表</t>
    <phoneticPr fontId="143" type="noConversion"/>
  </si>
  <si>
    <t>不动产权证</t>
    <phoneticPr fontId="143" type="noConversion"/>
  </si>
  <si>
    <t>房产证及土地证</t>
    <phoneticPr fontId="143" type="noConversion"/>
  </si>
  <si>
    <t>序号</t>
  </si>
  <si>
    <t>楼层</t>
    <phoneticPr fontId="143" type="noConversion"/>
  </si>
  <si>
    <t>商铺编号</t>
  </si>
  <si>
    <t>楼层</t>
  </si>
  <si>
    <t>房产证号</t>
  </si>
  <si>
    <t>面积</t>
  </si>
  <si>
    <t>土地证号</t>
  </si>
  <si>
    <t>土地面积</t>
  </si>
  <si>
    <t>宿房权证宿城字第15010568号</t>
    <phoneticPr fontId="143" type="noConversion"/>
  </si>
  <si>
    <t>宿国用2015第25472号</t>
    <phoneticPr fontId="143" type="noConversion"/>
  </si>
  <si>
    <t>A1-030</t>
  </si>
  <si>
    <t>宿房权证宿城字第16002414号</t>
  </si>
  <si>
    <t>宿国用2016第7790号</t>
  </si>
  <si>
    <t>A1-031</t>
  </si>
  <si>
    <t>宿房权证宿城字第16002415号</t>
  </si>
  <si>
    <t>宿国用2016第7795号</t>
  </si>
  <si>
    <t>A1-035</t>
  </si>
  <si>
    <t>宿房权证宿城字第16002416号</t>
  </si>
  <si>
    <t>宿国用2016第7797号</t>
  </si>
  <si>
    <t>A1-036</t>
  </si>
  <si>
    <t>宿房权证宿城字第16002417号</t>
  </si>
  <si>
    <t>宿国用2016第7801号</t>
  </si>
  <si>
    <t>A1-037</t>
  </si>
  <si>
    <t>宿房权证宿城字第16002418号</t>
  </si>
  <si>
    <t>宿国用2016第7805号</t>
  </si>
  <si>
    <t>A1-038</t>
  </si>
  <si>
    <t>宿房权证宿城字第16002419号</t>
  </si>
  <si>
    <t>宿国用2016第7808号</t>
  </si>
  <si>
    <t>A1-045</t>
  </si>
  <si>
    <t>苏2016宿迁市不动产权第0028115号</t>
    <phoneticPr fontId="143" type="noConversion"/>
  </si>
  <si>
    <t>D1-201</t>
  </si>
  <si>
    <t>宿房权证宿城字第15010565号</t>
  </si>
  <si>
    <t>宿国用2015第25470号</t>
  </si>
  <si>
    <t>C1-003</t>
  </si>
  <si>
    <t>宿房权证宿城字第15006905号</t>
  </si>
  <si>
    <t>宿国用2015第14671号</t>
  </si>
  <si>
    <t>C1-004</t>
  </si>
  <si>
    <t>宿房权证宿城字第15006906号</t>
  </si>
  <si>
    <t>宿国用2015第14673号</t>
  </si>
  <si>
    <t>C1-005</t>
  </si>
  <si>
    <t>宿房权证宿城字第15006907号</t>
  </si>
  <si>
    <t>宿国用2015第14675号</t>
  </si>
  <si>
    <t>C2-004</t>
  </si>
  <si>
    <t>宿房权证宿城字第15006983号</t>
  </si>
  <si>
    <t>宿国用2015第14641号</t>
  </si>
  <si>
    <t>A3-002</t>
  </si>
  <si>
    <t>苏2016宿迁市不动产权第0007517号</t>
  </si>
  <si>
    <t>A3-003</t>
  </si>
  <si>
    <t>苏2016宿迁市不动产权第0007529号</t>
  </si>
  <si>
    <t>A3-004</t>
  </si>
  <si>
    <t>苏2016宿迁市不动产权第0007531号</t>
  </si>
  <si>
    <t>A3-005</t>
  </si>
  <si>
    <t>苏2016宿迁市不动产权第0007550号</t>
  </si>
  <si>
    <t>A3-006</t>
  </si>
  <si>
    <t>苏2016宿迁市不动产权第0007557号</t>
  </si>
  <si>
    <t>A3-007</t>
  </si>
  <si>
    <t>苏2016宿迁市不动产权第0007561号</t>
  </si>
  <si>
    <t>A3-008</t>
  </si>
  <si>
    <t>苏2016宿迁市不动产权第0007562号</t>
  </si>
  <si>
    <t>A3-009</t>
  </si>
  <si>
    <t>苏2016宿迁市不动产权第0007564号</t>
  </si>
  <si>
    <t>A3-019</t>
  </si>
  <si>
    <t>苏2016宿迁市不动产权第0007563号</t>
  </si>
  <si>
    <t>A3-020</t>
  </si>
  <si>
    <t>苏2016宿迁市不动产权第0007566号</t>
  </si>
  <si>
    <t>A3-021</t>
  </si>
  <si>
    <t>苏2016宿迁市不动产权第0007568号</t>
  </si>
  <si>
    <t>A3-022</t>
  </si>
  <si>
    <t>苏2016宿迁市不动产权第0007571号</t>
  </si>
  <si>
    <t>A3-023</t>
  </si>
  <si>
    <t>苏2016宿迁市不动产权第0007572号</t>
  </si>
  <si>
    <t>A3-024</t>
  </si>
  <si>
    <t>苏2016宿迁市不动产权第0007573号</t>
  </si>
  <si>
    <t>D3-003</t>
  </si>
  <si>
    <t>苏2016宿迁市不动产权第0013386号</t>
  </si>
  <si>
    <t>D3-004</t>
  </si>
  <si>
    <t>苏2016宿迁市不动产权第0013388号</t>
  </si>
  <si>
    <t>D3-004-1</t>
  </si>
  <si>
    <t>苏2016宿迁市不动产权第0013390号</t>
  </si>
  <si>
    <t>D3-049</t>
  </si>
  <si>
    <t>苏2016宿迁市不动产权第0013392号</t>
  </si>
  <si>
    <t>D3-076</t>
  </si>
  <si>
    <t>苏2016宿迁市不动产权第0013393号</t>
  </si>
  <si>
    <t>D3-077</t>
  </si>
  <si>
    <t>苏2016宿迁市不动产权第0013394号</t>
  </si>
  <si>
    <t>D3-078</t>
  </si>
  <si>
    <t>苏2016宿迁市不动产权第0013395号</t>
  </si>
  <si>
    <t>D3-080</t>
  </si>
  <si>
    <t>苏2017宿迁市不动产权第0000149号</t>
  </si>
  <si>
    <t>D3-081</t>
  </si>
  <si>
    <t>苏2017宿迁市不动产权第0000148号</t>
  </si>
  <si>
    <t>D3-082</t>
  </si>
  <si>
    <t>苏2017宿迁市不动产权第0000147号</t>
  </si>
  <si>
    <t>D3-083</t>
  </si>
  <si>
    <t>苏2017宿迁市不动产权第0000146号</t>
  </si>
  <si>
    <t>D3-085</t>
  </si>
  <si>
    <t>苏2017宿迁市不动产权第0000145号</t>
  </si>
  <si>
    <t>D3-085-1</t>
  </si>
  <si>
    <t>苏2017宿迁市不动产权第0000144号</t>
  </si>
  <si>
    <t>D3-089</t>
  </si>
  <si>
    <t>苏2017宿迁市不动产权第0000143号</t>
  </si>
  <si>
    <t>D3-090-1</t>
  </si>
  <si>
    <t>苏2017宿迁市不动产权第0000142号</t>
  </si>
  <si>
    <t>D3-090-2</t>
  </si>
  <si>
    <t>苏2017宿迁市不动产权第0000136号</t>
  </si>
  <si>
    <t>D3-097</t>
  </si>
  <si>
    <t>苏2017宿迁市不动产权第0000097号</t>
  </si>
  <si>
    <t>D3-097-1</t>
  </si>
  <si>
    <t>苏2017宿迁市不动产权第0000133号</t>
  </si>
  <si>
    <t>D3-098-1</t>
  </si>
  <si>
    <t>苏2017宿迁市不动产权第0000131号</t>
  </si>
  <si>
    <t>D3-099-1</t>
  </si>
  <si>
    <t>苏2017宿迁市不动产权第0000456号</t>
  </si>
  <si>
    <t>D3-100</t>
  </si>
  <si>
    <t>苏2017宿迁市不动产权第0000103号</t>
  </si>
  <si>
    <t>D3-007</t>
  </si>
  <si>
    <t>宿房权证宿城字第15010809号</t>
  </si>
  <si>
    <t>宿国用2015第25477号</t>
  </si>
  <si>
    <t>D3-008</t>
  </si>
  <si>
    <t>宿房权证宿城字第15010810号</t>
  </si>
  <si>
    <t>宿国用2015第25478号</t>
  </si>
  <si>
    <t>D3-008-1</t>
  </si>
  <si>
    <t>宿房权证宿城字第15010811号</t>
  </si>
  <si>
    <t>宿国用2015第25479号</t>
  </si>
  <si>
    <t>D3-014</t>
  </si>
  <si>
    <t>宿房权证宿城字第15010812号</t>
  </si>
  <si>
    <t>宿国用2015第25480号</t>
  </si>
  <si>
    <t>D3-016</t>
  </si>
  <si>
    <t>宿房权证宿城字第15010813号</t>
  </si>
  <si>
    <t>宿国用2015第25481号</t>
  </si>
  <si>
    <t>D3-017</t>
  </si>
  <si>
    <t>宿房权证宿城字第15010815号</t>
  </si>
  <si>
    <t>宿国用2015第25482号</t>
  </si>
  <si>
    <t>D3-018</t>
  </si>
  <si>
    <t>宿房权证宿城字第15010816号</t>
  </si>
  <si>
    <t>宿国用2015第25483号</t>
  </si>
  <si>
    <t>D3-019</t>
  </si>
  <si>
    <t>宿房权证宿城字第15010817号</t>
  </si>
  <si>
    <t>宿国用2015第25484号</t>
  </si>
  <si>
    <t>D3-020</t>
  </si>
  <si>
    <t>宿房权证宿城字第15010819号</t>
  </si>
  <si>
    <t>宿国用2015第25485号</t>
  </si>
  <si>
    <t>D3-020-1</t>
  </si>
  <si>
    <t>宿房权证宿城字第15010821号</t>
  </si>
  <si>
    <t>宿国用2015第25486号</t>
  </si>
  <si>
    <t>D3-021</t>
  </si>
  <si>
    <t>宿房权证宿城字第15010839号</t>
  </si>
  <si>
    <t>宿国用2015第25487号</t>
  </si>
  <si>
    <t>D3-022</t>
  </si>
  <si>
    <t>宿房权证宿城字第15010825号</t>
  </si>
  <si>
    <t>宿国用2015第25488号</t>
  </si>
  <si>
    <t>D3-023</t>
  </si>
  <si>
    <t>宿房权证宿城字第15010827号</t>
  </si>
  <si>
    <t>宿国用2015第25495号</t>
  </si>
  <si>
    <t>D3-024</t>
  </si>
  <si>
    <t>宿房权证宿城字第15010834号</t>
  </si>
  <si>
    <t>宿国用2015第25496号</t>
  </si>
  <si>
    <t>D3-025</t>
  </si>
  <si>
    <t>宿房权证宿城字第15010837号</t>
  </si>
  <si>
    <t>宿国用2015第25497号</t>
  </si>
  <si>
    <t>D3-026</t>
  </si>
  <si>
    <t>宿房权证宿城字第15010838号</t>
  </si>
  <si>
    <t>宿国用2015第25499号</t>
  </si>
  <si>
    <t>D3-026-1</t>
  </si>
  <si>
    <t>宿房权证宿城字第15010841号</t>
  </si>
  <si>
    <t>宿国用2015第25500号</t>
  </si>
  <si>
    <t>D3-028</t>
  </si>
  <si>
    <t>宿房权证宿城字第15010845号</t>
  </si>
  <si>
    <t>宿国用2015第25503号</t>
  </si>
  <si>
    <t>D3-028-1</t>
  </si>
  <si>
    <t>宿房权证宿城字第15010822号</t>
  </si>
  <si>
    <t>宿国用2015第25506号</t>
  </si>
  <si>
    <t>D3-029</t>
  </si>
  <si>
    <t>宿房权证宿城字第15010830号</t>
  </si>
  <si>
    <t>宿国用2015第25508号</t>
  </si>
  <si>
    <t>D3-029-1</t>
  </si>
  <si>
    <t>宿房权证宿城字第15010823号</t>
  </si>
  <si>
    <t>宿国用2015第25511号</t>
  </si>
  <si>
    <t>D3-030</t>
  </si>
  <si>
    <t>宿房权证宿城字第15010829号</t>
  </si>
  <si>
    <t>宿国用2015第25512号</t>
  </si>
  <si>
    <t>D3-030-1</t>
  </si>
  <si>
    <t>宿房权证宿城字第15010835号</t>
  </si>
  <si>
    <t>宿国用2015第25515号</t>
  </si>
  <si>
    <t>D3-031</t>
  </si>
  <si>
    <t>宿房权证宿城字第15010832号</t>
  </si>
  <si>
    <t>宿国用2015第25516号</t>
  </si>
  <si>
    <t>D3-032</t>
  </si>
  <si>
    <t>宿房权证宿城字第15010840号</t>
  </si>
  <si>
    <t>宿国用2015第25519号</t>
  </si>
  <si>
    <t>D3-038</t>
  </si>
  <si>
    <t>宿房权证宿城字第15010850号</t>
  </si>
  <si>
    <t>宿国用2015第25521号</t>
  </si>
  <si>
    <t>D3-038-1</t>
  </si>
  <si>
    <t>宿房权证宿城字第15010852号</t>
  </si>
  <si>
    <t>宿国用2015第25525号</t>
  </si>
  <si>
    <t>D3-039</t>
  </si>
  <si>
    <t>宿房权证宿城字第15010853号</t>
  </si>
  <si>
    <t>宿国用2015第25527号</t>
  </si>
  <si>
    <t>D3-040</t>
  </si>
  <si>
    <t>宿房权证宿城字第15010854号</t>
  </si>
  <si>
    <t>宿国用2015第25532号</t>
  </si>
  <si>
    <t>D3-122</t>
  </si>
  <si>
    <t>宿房权证宿城字第15011022号</t>
  </si>
  <si>
    <t>宿国用2015第25655号</t>
  </si>
  <si>
    <t>D3-123</t>
  </si>
  <si>
    <t>宿房权证宿城字第15011025号</t>
  </si>
  <si>
    <t>宿国用2015第25654号</t>
  </si>
  <si>
    <t>D3-123-1</t>
  </si>
  <si>
    <t>宿房权证宿城字第15011029号</t>
  </si>
  <si>
    <t>宿国用2015第25653号</t>
  </si>
  <si>
    <t>D3-124</t>
  </si>
  <si>
    <t>宿房权证宿城字第15011033号</t>
  </si>
  <si>
    <t>宿国用2015第25652号</t>
  </si>
  <si>
    <t>D3-124-1</t>
  </si>
  <si>
    <t>宿房权证宿城字第15011038号</t>
  </si>
  <si>
    <t>宿国用2015第25651号</t>
  </si>
  <si>
    <t>D3-125</t>
  </si>
  <si>
    <t>宿房权证宿城字第15011042号</t>
  </si>
  <si>
    <t>宿国用2015第25650号</t>
  </si>
  <si>
    <t>D3-125-1</t>
  </si>
  <si>
    <t>宿房权证宿城字第15011044号</t>
  </si>
  <si>
    <t>宿国用2015第25649号</t>
  </si>
  <si>
    <t>D3-126</t>
  </si>
  <si>
    <t>宿房权证宿城字第15011046号</t>
  </si>
  <si>
    <t>宿国用2015第25648号</t>
  </si>
  <si>
    <t>D3-126-1</t>
  </si>
  <si>
    <t>宿房权证宿城字第15011048号</t>
  </si>
  <si>
    <t>宿国用2015第25647号</t>
  </si>
  <si>
    <t>D3-127</t>
  </si>
  <si>
    <t>宿房权证宿城字第15011050号</t>
  </si>
  <si>
    <t>宿国用2015第25646号</t>
  </si>
  <si>
    <t>D3-127-1</t>
  </si>
  <si>
    <t>宿房权证宿城字第15011052号</t>
  </si>
  <si>
    <t>宿国用2015第25666号</t>
  </si>
  <si>
    <t>D3-128</t>
  </si>
  <si>
    <t>宿房权证宿城字第15011054号</t>
  </si>
  <si>
    <t>宿国用2015第25665号</t>
  </si>
  <si>
    <t>D3-128-1</t>
  </si>
  <si>
    <t>宿房权证宿城字第15011056号</t>
  </si>
  <si>
    <t>宿国用2015第25664号</t>
  </si>
  <si>
    <t>D3-129</t>
  </si>
  <si>
    <t>宿房权证宿城字第15011058号</t>
  </si>
  <si>
    <t>宿国用2015第25663号</t>
  </si>
  <si>
    <t>D3-129-1</t>
  </si>
  <si>
    <t>宿房权证宿城字第15011060号</t>
  </si>
  <si>
    <t>宿国用2015第25662号</t>
  </si>
  <si>
    <t>D3-130</t>
  </si>
  <si>
    <t>宿房权证宿城字第15011062号</t>
  </si>
  <si>
    <t>宿国用2015第25645号</t>
  </si>
  <si>
    <t>D3-131</t>
  </si>
  <si>
    <t>宿房权证宿城字第15011063号</t>
  </si>
  <si>
    <t>宿国用2015第25661号</t>
  </si>
  <si>
    <t>D3-132</t>
  </si>
  <si>
    <t>宿房权证宿城字第15011064号</t>
  </si>
  <si>
    <t>宿国用2015第25660号</t>
  </si>
  <si>
    <t>D3-133</t>
  </si>
  <si>
    <t>宿房权证宿城字第15011065号</t>
  </si>
  <si>
    <t>宿国用2015第25659号</t>
  </si>
  <si>
    <t>D3-134</t>
  </si>
  <si>
    <t>宿房权证宿城字第15011067号</t>
  </si>
  <si>
    <t>宿国用2015第25658号</t>
  </si>
  <si>
    <t>D3-139</t>
  </si>
  <si>
    <t>宿房权证宿城字第15011069号</t>
  </si>
  <si>
    <t>宿国用2015第25657号</t>
  </si>
  <si>
    <t>D3-139-1</t>
  </si>
  <si>
    <t>宿房权证宿城字第15011070号</t>
  </si>
  <si>
    <t>宿国用2015第25656号</t>
  </si>
  <si>
    <t>D3-142</t>
  </si>
  <si>
    <t>宿房权证宿城字第15011071号</t>
  </si>
  <si>
    <t>宿国用2015第25668号</t>
  </si>
  <si>
    <t>D3-142-1</t>
  </si>
  <si>
    <t>宿房权证宿城字第15011066号</t>
  </si>
  <si>
    <t>宿国用2015第25670号</t>
  </si>
  <si>
    <t>D3-143</t>
  </si>
  <si>
    <t>宿房权证宿城字第15011068号</t>
  </si>
  <si>
    <t>宿国用2015第25674号</t>
  </si>
  <si>
    <t>D3-143-1</t>
  </si>
  <si>
    <t>宿房权证宿城字第15011072号</t>
  </si>
  <si>
    <t>宿国用2015第25672号</t>
  </si>
  <si>
    <t>D4-043</t>
  </si>
  <si>
    <t>苏2016宿迁市不动产权第0013398号</t>
  </si>
  <si>
    <t>D4-046</t>
  </si>
  <si>
    <t>苏2016宿迁市不动产权第0013399号</t>
  </si>
  <si>
    <t>D4-087</t>
  </si>
  <si>
    <t>苏2016宿迁市不动产权第0013400号</t>
  </si>
  <si>
    <t>D4-117</t>
  </si>
  <si>
    <t>苏2017宿迁市不动产权第0000101号</t>
  </si>
  <si>
    <t>D4-124</t>
  </si>
  <si>
    <t>苏2017宿迁市不动产权第0000100号</t>
  </si>
  <si>
    <t>典型户型商业</t>
  </si>
  <si>
    <t>典型户型商业</t>
    <phoneticPr fontId="7" type="noConversion"/>
  </si>
  <si>
    <t>商业剩余</t>
    <phoneticPr fontId="7" type="noConversion"/>
  </si>
  <si>
    <t>成新度</t>
  </si>
  <si>
    <t>收益法</t>
  </si>
  <si>
    <t>请录依据文件名称：《宿迁市区房地产开发项目行政事业性收费一览表》</t>
    <phoneticPr fontId="3" type="noConversion"/>
  </si>
  <si>
    <t>押三</t>
  </si>
  <si>
    <t>钢混</t>
  </si>
  <si>
    <t>非生产用房</t>
  </si>
  <si>
    <t>收益还原</t>
  </si>
  <si>
    <t>售价</t>
  </si>
  <si>
    <t>比较法-商业</t>
  </si>
  <si>
    <t>用世.水韵城</t>
    <phoneticPr fontId="3" type="noConversion"/>
  </si>
  <si>
    <t>恒昌.乐活广场</t>
    <phoneticPr fontId="3" type="noConversion"/>
  </si>
  <si>
    <t>正常</t>
  </si>
  <si>
    <t>商业</t>
    <phoneticPr fontId="31" type="noConversion"/>
  </si>
  <si>
    <t>好</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</si>
  <si>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</si>
  <si>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</si>
  <si>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</si>
  <si>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</si>
  <si>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</si>
  <si>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</si>
  <si>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</si>
  <si>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</si>
  <si>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</si>
  <si>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</si>
  <si>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</si>
  <si>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</si>
  <si>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</si>
  <si>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</si>
  <si>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</si>
  <si>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</si>
  <si>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</si>
  <si>
    <t>综合体商业</t>
    <phoneticPr fontId="31" type="noConversion"/>
  </si>
  <si>
    <t>商业街商业</t>
  </si>
  <si>
    <t>商业街商业</t>
    <phoneticPr fontId="31" type="noConversion"/>
  </si>
  <si>
    <t>独栋商业楼</t>
    <phoneticPr fontId="31" type="noConversion"/>
  </si>
  <si>
    <t>住宅底商</t>
  </si>
  <si>
    <t>住宅底商</t>
    <phoneticPr fontId="31" type="noConversion"/>
  </si>
  <si>
    <t>钢</t>
    <phoneticPr fontId="31" type="noConversion"/>
  </si>
  <si>
    <t>钢混</t>
    <phoneticPr fontId="31" type="noConversion"/>
  </si>
  <si>
    <t>混合</t>
    <phoneticPr fontId="31" type="noConversion"/>
  </si>
  <si>
    <t>砖</t>
    <phoneticPr fontId="31" type="noConversion"/>
  </si>
  <si>
    <t>精装修</t>
  </si>
  <si>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</si>
  <si>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</si>
  <si>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</si>
  <si>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</si>
  <si>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</si>
  <si>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</si>
  <si>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</si>
  <si>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</si>
  <si>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</si>
  <si>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</si>
  <si>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</si>
  <si>
    <t>综合性商业</t>
    <phoneticPr fontId="31" type="noConversion"/>
  </si>
  <si>
    <t>专业性市场</t>
  </si>
  <si>
    <t>专业性市场</t>
    <phoneticPr fontId="31" type="noConversion"/>
  </si>
  <si>
    <t>社区零售商业</t>
  </si>
  <si>
    <t>社区零售商业</t>
    <phoneticPr fontId="31" type="noConversion"/>
  </si>
  <si>
    <t>挑高层高</t>
  </si>
  <si>
    <t>挑高层高</t>
    <phoneticPr fontId="31" type="noConversion"/>
  </si>
  <si>
    <t>标准层高</t>
    <phoneticPr fontId="31" type="noConversion"/>
  </si>
  <si>
    <t>1层</t>
  </si>
  <si>
    <t>中商.中央广场</t>
    <phoneticPr fontId="3" type="noConversion"/>
  </si>
  <si>
    <t>金鹰国际花园</t>
    <phoneticPr fontId="3" type="noConversion"/>
  </si>
  <si>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</si>
  <si>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</si>
  <si>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</si>
  <si>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</si>
  <si>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</si>
  <si>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t>2层</t>
  </si>
  <si>
    <t>3层</t>
  </si>
  <si>
    <t>4层</t>
  </si>
  <si>
    <t>成本法</t>
  </si>
  <si>
    <t>30-40（含）</t>
  </si>
  <si>
    <t>按租金收入计税</t>
  </si>
  <si>
    <t>·</t>
    <phoneticPr fontId="143" type="noConversion"/>
  </si>
  <si>
    <t>合计</t>
    <phoneticPr fontId="143" type="noConversion"/>
  </si>
  <si>
    <t>D1-203</t>
    <phoneticPr fontId="143" type="noConversion"/>
  </si>
  <si>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</si>
  <si>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</si>
  <si>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</si>
  <si>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</si>
  <si>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</si>
  <si>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</si>
  <si>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</si>
  <si>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</si>
  <si>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</si>
  <si>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</si>
  <si>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</si>
  <si>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</si>
  <si>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项目建筑规模（㎡）</t>
  </si>
  <si>
    <t>建筑结构</t>
  </si>
  <si>
    <t>公共部分装修</t>
  </si>
  <si>
    <t>成新率</t>
  </si>
  <si>
    <t>市政基础设施</t>
  </si>
  <si>
    <t>内部装修</t>
  </si>
  <si>
    <t>内部装修维护状况</t>
  </si>
  <si>
    <t>用世.水韵城</t>
    <phoneticPr fontId="143" type="noConversion"/>
  </si>
  <si>
    <t>恒昌.乐活广场</t>
    <phoneticPr fontId="143" type="noConversion"/>
  </si>
  <si>
    <t>宿迁市宿城区运河路与西湖路交汇处</t>
    <phoneticPr fontId="3" type="noConversion"/>
  </si>
  <si>
    <t>宿迁市宿城区运河路与西湖路交汇处</t>
    <phoneticPr fontId="143" type="noConversion"/>
  </si>
  <si>
    <t>中商.中央广场</t>
    <phoneticPr fontId="143" type="noConversion"/>
  </si>
  <si>
    <t>宿迁市宿城区幸福南路88号</t>
    <phoneticPr fontId="3" type="noConversion"/>
  </si>
  <si>
    <t>宿迁市宿城区幸福南路88号</t>
    <phoneticPr fontId="143" type="noConversion"/>
  </si>
  <si>
    <t>金鹰国际花园</t>
    <phoneticPr fontId="143" type="noConversion"/>
  </si>
  <si>
    <t>宿迁市金鹰购物中心北150米</t>
    <phoneticPr fontId="3" type="noConversion"/>
  </si>
  <si>
    <t>宿迁市金鹰购物中心北150米</t>
    <phoneticPr fontId="143" type="noConversion"/>
  </si>
  <si>
    <t>江苏省宿迁市宿城区用世.用世.水韵城项目D1-203号等108套商业用途房地产</t>
    <phoneticPr fontId="143" type="noConversion"/>
  </si>
  <si>
    <t>30-40（含）</t>
    <phoneticPr fontId="143" type="noConversion"/>
  </si>
  <si>
    <t>权益状况</t>
  </si>
  <si>
    <t>权益状况</t>
    <phoneticPr fontId="143" type="noConversion"/>
  </si>
  <si>
    <t>容积率</t>
    <phoneticPr fontId="143" type="noConversion"/>
  </si>
  <si>
    <t>商业繁华度</t>
    <phoneticPr fontId="143" type="noConversion"/>
  </si>
  <si>
    <t>周边有宝龙生活广场、金鹰购物中心、中商.中央广场、恒昌.乐活广场等商业项目，居住社区成熟度较商业繁华度好；</t>
    <phoneticPr fontId="143" type="noConversion"/>
  </si>
  <si>
    <t>交通便捷度</t>
    <phoneticPr fontId="143" type="noConversion"/>
  </si>
  <si>
    <t>估价对象周边路网密集度较好、停车较便捷、周边有91、92、107、201、307、313、810路等多条公共线路经过，交通状况好；</t>
    <phoneticPr fontId="143" type="noConversion"/>
  </si>
  <si>
    <t>估价对象周边1公里内的公共服务配套设施齐备，有购物场所（宝龙生活广场、金鹰购物中心、中商.中央广场、恒昌.乐活广场）、超市（苏果超市、大润发超市等）医院（宿迁协和医院、宿迁人民医院等）、银行（中国农业银行、中国工商银行、江苏银行等）、学校（红黄蓝幼儿园、宿迁市实验小学、宿迁市实验中学等）、餐饮（欢乐牧场、汉釜宫、千叶寿司、北疆饭店等）；</t>
    <phoneticPr fontId="143" type="noConversion"/>
  </si>
  <si>
    <t>自然及人文环境</t>
    <phoneticPr fontId="143" type="noConversion"/>
  </si>
  <si>
    <t>周边有河滨公园、宿迁市博物馆新馆等，环境状况好；</t>
    <phoneticPr fontId="143" type="noConversion"/>
  </si>
  <si>
    <t>临街状况</t>
    <phoneticPr fontId="143" type="noConversion"/>
  </si>
  <si>
    <t>单面临街</t>
    <phoneticPr fontId="143" type="noConversion"/>
  </si>
  <si>
    <t>可视性</t>
    <phoneticPr fontId="143" type="noConversion"/>
  </si>
  <si>
    <t>好</t>
    <phoneticPr fontId="143" type="noConversion"/>
  </si>
  <si>
    <t>好</t>
    <phoneticPr fontId="143" type="noConversion"/>
  </si>
  <si>
    <t>较好</t>
    <phoneticPr fontId="143" type="noConversion"/>
  </si>
  <si>
    <t>人流量</t>
    <phoneticPr fontId="143" type="noConversion"/>
  </si>
  <si>
    <t>1层</t>
    <phoneticPr fontId="143" type="noConversion"/>
  </si>
  <si>
    <t>商业类型</t>
    <phoneticPr fontId="143" type="noConversion"/>
  </si>
  <si>
    <t>综合体商业</t>
    <phoneticPr fontId="143" type="noConversion"/>
  </si>
  <si>
    <t>商业街商业</t>
    <phoneticPr fontId="143" type="noConversion"/>
  </si>
  <si>
    <t>住宅底商</t>
    <phoneticPr fontId="143" type="noConversion"/>
  </si>
  <si>
    <t>普通装修</t>
    <phoneticPr fontId="143" type="noConversion"/>
  </si>
  <si>
    <t>业态</t>
    <phoneticPr fontId="143" type="noConversion"/>
  </si>
  <si>
    <t>综合性商业</t>
    <phoneticPr fontId="143" type="noConversion"/>
  </si>
  <si>
    <t>专业性市场</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</si>
  <si>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</si>
  <si>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</si>
  <si>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</si>
  <si>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</si>
  <si>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</si>
  <si>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普通装修</t>
    <phoneticPr fontId="143" type="noConversion"/>
  </si>
  <si>
    <t>毛坯</t>
    <phoneticPr fontId="143" type="noConversion"/>
  </si>
  <si>
    <t>商业</t>
    <phoneticPr fontId="143" type="noConversion"/>
  </si>
  <si>
    <t>周边有中商.中央广场、宝龙生活广场、用世.水韵城等项目，商业繁华度较好；</t>
    <phoneticPr fontId="143" type="noConversion"/>
  </si>
  <si>
    <t>周边路网密集，行车出入便捷，周边有91、92、107、201路等公共线路经过，交通状况好；</t>
    <phoneticPr fontId="143" type="noConversion"/>
  </si>
  <si>
    <t>周边2公里内的公共服务配套设施较齐备，有购物场所（中商.中央广场、宝龙生活广场、用世.水韵城等）、医院（宿迁市人民医院）、银行（中国工商银行）、学校（宿迁市实验小学、宿迁市实验中学）、餐饮等公共服务配套设施，公共配套设施情况好；</t>
    <phoneticPr fontId="143" type="noConversion"/>
  </si>
  <si>
    <t>周边有滨河公园及宿迁市博物馆新馆人文设施，自然及人文环境好；</t>
    <phoneticPr fontId="143" type="noConversion"/>
  </si>
  <si>
    <t>周边有恒昌.乐活广场、宝龙生活广场、用世.水韵城等项目，商业繁华度较好；</t>
    <phoneticPr fontId="143" type="noConversion"/>
  </si>
  <si>
    <t>周边有恒昌.乐活广场、宝龙生活广场、用世.水韵城、金鹰购物广场等项目，商业繁华度好；</t>
    <phoneticPr fontId="143" type="noConversion"/>
  </si>
  <si>
    <t>单套建筑面积（平方米）</t>
    <phoneticPr fontId="143" type="noConversion"/>
  </si>
  <si>
    <t>交易情况</t>
  </si>
  <si>
    <t>100/</t>
  </si>
  <si>
    <t>销售价格（元/平方米）</t>
  </si>
  <si>
    <t>比较价值（元/平方米）</t>
  </si>
</sst>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0.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宋体"/>
      <family val="3"/>
      <charset val="134"/>
      <scheme val="minor"/>
    </font>
    <font>
      <sz val="11"/>
      <color rgb="FF000000"/>
      <name val="宋体"/>
      <family val="3"/>
      <charset val="134"/>
    </font>
    <font>
      <sz val="11"/>
      <name val="宋体"/>
      <family val="3"/>
      <charset val="134"/>
      <scheme val="minor"/>
    </font>
    <font>
      <sz val="9"/>
      <color theme="1"/>
      <name val="华文细黑"/>
      <family val="3"/>
      <charset val="134"/>
    </font>
    <fon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37"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0" fontId="0" fillId="5" borderId="0" xfId="0" applyFill="1">
      <alignment vertical="center"/>
    </xf>
    <xf numFmtId="179" fontId="255" fillId="7" borderId="1" xfId="0" applyNumberFormat="1" applyFont="1" applyFill="1" applyBorder="1" applyAlignment="1">
      <alignment horizontal="center" vertical="center" wrapText="1"/>
    </xf>
    <xf numFmtId="0" fontId="98" fillId="7" borderId="1" xfId="9" applyNumberFormat="1" applyFont="1" applyFill="1" applyBorder="1" applyAlignment="1" applyProtection="1">
      <alignment horizontal="center" vertical="center"/>
    </xf>
    <xf numFmtId="179" fontId="98" fillId="7" borderId="1" xfId="0" applyNumberFormat="1" applyFont="1" applyFill="1" applyBorder="1" applyAlignment="1">
      <alignment horizontal="center" vertical="center" wrapText="1"/>
    </xf>
    <xf numFmtId="197" fontId="98" fillId="7" borderId="1" xfId="9" applyNumberFormat="1" applyFont="1" applyFill="1" applyBorder="1" applyAlignment="1" applyProtection="1">
      <alignment horizontal="center" vertical="center"/>
    </xf>
    <xf numFmtId="186" fontId="122" fillId="7" borderId="1" xfId="15" applyNumberFormat="1" applyFont="1" applyFill="1" applyBorder="1" applyAlignment="1" applyProtection="1">
      <alignment horizontal="center" vertical="center"/>
    </xf>
    <xf numFmtId="197" fontId="122" fillId="7" borderId="1" xfId="15" applyNumberFormat="1"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0" fontId="0" fillId="7" borderId="0" xfId="0" applyFill="1">
      <alignment vertical="center"/>
    </xf>
    <xf numFmtId="0" fontId="99" fillId="7" borderId="0" xfId="0" applyFont="1" applyFill="1">
      <alignment vertical="center"/>
    </xf>
    <xf numFmtId="0" fontId="37" fillId="7" borderId="1" xfId="6" applyFont="1" applyFill="1" applyBorder="1" applyAlignment="1">
      <alignment horizontal="center" vertical="center"/>
    </xf>
    <xf numFmtId="0" fontId="137" fillId="7" borderId="1" xfId="13" applyFont="1" applyFill="1" applyBorder="1" applyAlignment="1">
      <alignment horizontal="center" vertical="center" wrapText="1"/>
    </xf>
    <xf numFmtId="186" fontId="137" fillId="7" borderId="1" xfId="13" applyNumberFormat="1" applyFont="1" applyFill="1" applyBorder="1" applyAlignment="1">
      <alignment horizontal="center" vertical="center" wrapText="1"/>
    </xf>
    <xf numFmtId="0" fontId="80" fillId="7" borderId="1" xfId="13" applyFont="1" applyFill="1" applyBorder="1" applyAlignment="1">
      <alignment horizontal="center" vertical="center" wrapText="1"/>
    </xf>
    <xf numFmtId="0" fontId="19" fillId="7" borderId="1" xfId="6" applyFont="1" applyFill="1" applyBorder="1" applyAlignment="1">
      <alignment horizontal="center" vertical="center"/>
    </xf>
    <xf numFmtId="0" fontId="99" fillId="7" borderId="1" xfId="0" applyFont="1" applyFill="1" applyBorder="1" applyAlignment="1">
      <alignment horizontal="center" vertical="center"/>
    </xf>
    <xf numFmtId="0" fontId="137" fillId="7" borderId="1" xfId="0" applyNumberFormat="1" applyFont="1" applyFill="1" applyBorder="1" applyAlignment="1" applyProtection="1">
      <alignment horizontal="center" vertical="center"/>
    </xf>
    <xf numFmtId="0" fontId="98" fillId="7" borderId="1" xfId="14" applyNumberFormat="1" applyFont="1" applyFill="1" applyBorder="1" applyAlignment="1" applyProtection="1">
      <alignment horizontal="center" vertical="center"/>
    </xf>
    <xf numFmtId="197" fontId="99" fillId="7" borderId="1" xfId="15" applyNumberFormat="1" applyFont="1" applyFill="1" applyBorder="1" applyAlignment="1" applyProtection="1">
      <alignment horizontal="center" vertical="center"/>
    </xf>
    <xf numFmtId="0" fontId="98" fillId="7" borderId="1" xfId="6" applyFont="1" applyFill="1" applyBorder="1" applyAlignment="1">
      <alignment horizontal="center" vertical="center"/>
    </xf>
    <xf numFmtId="0" fontId="255" fillId="7" borderId="1" xfId="0" applyFont="1" applyFill="1" applyBorder="1" applyAlignment="1">
      <alignment horizontal="center" vertical="center" wrapText="1"/>
    </xf>
    <xf numFmtId="0" fontId="99" fillId="7" borderId="1" xfId="16" applyNumberFormat="1" applyFont="1" applyFill="1" applyBorder="1" applyAlignment="1" applyProtection="1">
      <alignment horizontal="center" vertical="center"/>
    </xf>
    <xf numFmtId="0" fontId="122" fillId="7" borderId="1" xfId="17" applyNumberFormat="1" applyFont="1" applyFill="1" applyBorder="1" applyAlignment="1" applyProtection="1">
      <alignment horizontal="center" vertical="center"/>
    </xf>
    <xf numFmtId="0" fontId="122" fillId="7" borderId="1" xfId="11" applyNumberFormat="1" applyFont="1" applyFill="1" applyBorder="1" applyAlignment="1" applyProtection="1">
      <alignment horizontal="center" vertical="center"/>
    </xf>
    <xf numFmtId="197" fontId="122" fillId="7" borderId="1" xfId="11" applyNumberFormat="1" applyFont="1" applyFill="1" applyBorder="1" applyAlignment="1" applyProtection="1">
      <alignment horizontal="center" vertical="center"/>
    </xf>
    <xf numFmtId="0" fontId="122" fillId="7" borderId="1" xfId="18" applyNumberFormat="1" applyFont="1" applyFill="1" applyBorder="1" applyAlignment="1" applyProtection="1">
      <alignment horizontal="center" vertical="center"/>
    </xf>
    <xf numFmtId="197" fontId="122" fillId="7" borderId="1" xfId="18" applyNumberFormat="1" applyFont="1" applyFill="1" applyBorder="1" applyAlignment="1" applyProtection="1">
      <alignment horizontal="center" vertical="center"/>
    </xf>
    <xf numFmtId="0" fontId="99" fillId="7" borderId="1" xfId="17" applyNumberFormat="1" applyFont="1" applyFill="1" applyBorder="1" applyAlignment="1" applyProtection="1">
      <alignment horizontal="center" vertical="center"/>
    </xf>
    <xf numFmtId="0" fontId="137" fillId="7" borderId="1" xfId="11" applyNumberFormat="1" applyFont="1" applyFill="1" applyBorder="1" applyAlignment="1" applyProtection="1">
      <alignment horizontal="center" vertical="center"/>
    </xf>
    <xf numFmtId="197" fontId="98" fillId="7" borderId="1" xfId="11" applyNumberFormat="1" applyFont="1" applyFill="1" applyBorder="1" applyAlignment="1" applyProtection="1">
      <alignment horizontal="center" vertical="center"/>
    </xf>
    <xf numFmtId="0" fontId="99" fillId="7" borderId="1" xfId="11" applyFont="1" applyFill="1" applyBorder="1" applyAlignment="1">
      <alignment horizontal="center" vertical="center"/>
    </xf>
    <xf numFmtId="0" fontId="122" fillId="7" borderId="1" xfId="19" applyNumberFormat="1" applyFont="1" applyFill="1" applyBorder="1" applyAlignment="1" applyProtection="1">
      <alignment horizontal="center" vertical="center"/>
    </xf>
    <xf numFmtId="0" fontId="99" fillId="7" borderId="1" xfId="19" applyNumberFormat="1" applyFont="1" applyFill="1" applyBorder="1" applyAlignment="1" applyProtection="1">
      <alignment horizontal="center" vertical="center"/>
    </xf>
    <xf numFmtId="0" fontId="0" fillId="18" borderId="0" xfId="0" applyFill="1">
      <alignment vertical="center"/>
    </xf>
    <xf numFmtId="0" fontId="99" fillId="5" borderId="0" xfId="0" applyFont="1" applyFill="1">
      <alignment vertical="center"/>
    </xf>
    <xf numFmtId="0" fontId="0" fillId="7" borderId="1" xfId="0" applyFill="1" applyBorder="1">
      <alignment vertical="center"/>
    </xf>
    <xf numFmtId="197" fontId="0" fillId="7" borderId="1" xfId="0" applyNumberFormat="1" applyFill="1" applyBorder="1">
      <alignment vertical="center"/>
    </xf>
    <xf numFmtId="0" fontId="257" fillId="0" borderId="162" xfId="0" applyFont="1" applyBorder="1" applyAlignment="1">
      <alignment vertical="center" wrapText="1"/>
    </xf>
    <xf numFmtId="0" fontId="257" fillId="0" borderId="161" xfId="0" applyFont="1" applyBorder="1" applyAlignment="1">
      <alignment horizontal="justify" vertical="center" wrapText="1"/>
    </xf>
    <xf numFmtId="0" fontId="257" fillId="0" borderId="161" xfId="0" applyFont="1" applyBorder="1" applyAlignment="1">
      <alignment vertical="top" wrapText="1"/>
    </xf>
    <xf numFmtId="0" fontId="257" fillId="0" borderId="161" xfId="0" applyFont="1" applyBorder="1" applyAlignment="1">
      <alignment vertical="center" wrapText="1"/>
    </xf>
    <xf numFmtId="57" fontId="257" fillId="0" borderId="161" xfId="0" applyNumberFormat="1" applyFont="1" applyBorder="1" applyAlignment="1">
      <alignment vertical="center" wrapText="1"/>
    </xf>
    <xf numFmtId="0" fontId="257" fillId="0" borderId="43" xfId="0" applyFont="1" applyBorder="1">
      <alignment vertical="center"/>
    </xf>
    <xf numFmtId="0" fontId="257" fillId="0" borderId="161" xfId="0" applyFont="1" applyBorder="1">
      <alignment vertical="center"/>
    </xf>
    <xf numFmtId="9" fontId="257" fillId="0" borderId="161" xfId="0" applyNumberFormat="1" applyFont="1" applyBorder="1" applyAlignment="1">
      <alignment horizontal="justify" vertical="center" wrapText="1"/>
    </xf>
    <xf numFmtId="0" fontId="257" fillId="0" borderId="161" xfId="0" applyFont="1" applyBorder="1" applyAlignment="1">
      <alignment horizontal="left" vertical="center" wrapText="1"/>
    </xf>
    <xf numFmtId="0" fontId="258" fillId="0" borderId="161" xfId="0" applyFont="1" applyBorder="1" applyAlignment="1">
      <alignment vertical="center" wrapText="1"/>
    </xf>
    <xf numFmtId="0" fontId="257" fillId="0" borderId="1" xfId="0" applyFont="1" applyBorder="1" applyAlignment="1">
      <alignment vertical="center" wrapText="1"/>
    </xf>
    <xf numFmtId="0" fontId="258" fillId="0" borderId="1" xfId="0" applyFont="1" applyBorder="1" applyAlignment="1">
      <alignment vertical="center" wrapText="1"/>
    </xf>
    <xf numFmtId="0" fontId="257" fillId="0" borderId="1" xfId="0" applyFont="1" applyBorder="1">
      <alignment vertical="center"/>
    </xf>
    <xf numFmtId="0" fontId="258" fillId="0" borderId="170"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7" borderId="5" xfId="0" applyFont="1" applyFill="1" applyBorder="1" applyAlignment="1">
      <alignment horizontal="center" vertical="center"/>
    </xf>
    <xf numFmtId="0" fontId="99" fillId="7" borderId="54" xfId="0" applyFont="1" applyFill="1" applyBorder="1" applyAlignment="1">
      <alignment horizontal="center" vertical="center"/>
    </xf>
    <xf numFmtId="0" fontId="99" fillId="7" borderId="3" xfId="0" applyFont="1" applyFill="1" applyBorder="1" applyAlignment="1">
      <alignment horizontal="center" vertical="center"/>
    </xf>
    <xf numFmtId="197" fontId="0" fillId="7" borderId="5" xfId="0" applyNumberFormat="1" applyFill="1" applyBorder="1" applyAlignment="1">
      <alignment horizontal="center" vertical="center"/>
    </xf>
    <xf numFmtId="197" fontId="0" fillId="7" borderId="3" xfId="0" applyNumberFormat="1" applyFill="1" applyBorder="1" applyAlignment="1">
      <alignment horizontal="center" vertical="center"/>
    </xf>
    <xf numFmtId="0" fontId="256" fillId="7" borderId="1" xfId="6" applyFont="1" applyFill="1" applyBorder="1" applyAlignment="1">
      <alignment horizontal="center" vertical="center"/>
    </xf>
    <xf numFmtId="0" fontId="256" fillId="7" borderId="5" xfId="6" applyFont="1" applyFill="1" applyBorder="1" applyAlignment="1">
      <alignment horizontal="center" vertical="center"/>
    </xf>
    <xf numFmtId="0" fontId="256" fillId="7" borderId="3" xfId="6" applyFont="1" applyFill="1" applyBorder="1" applyAlignment="1">
      <alignment horizontal="center" vertical="center"/>
    </xf>
    <xf numFmtId="0" fontId="99" fillId="7" borderId="1" xfId="6" applyFont="1" applyFill="1" applyBorder="1" applyAlignment="1">
      <alignment horizontal="center" vertical="center"/>
    </xf>
    <xf numFmtId="0" fontId="163" fillId="7" borderId="60" xfId="6" applyFont="1" applyFill="1" applyBorder="1" applyAlignment="1">
      <alignment horizontal="center" vertical="center"/>
    </xf>
    <xf numFmtId="0" fontId="254" fillId="7" borderId="1" xfId="6" applyFont="1" applyFill="1" applyBorder="1" applyAlignment="1">
      <alignment horizontal="center" vertical="center"/>
    </xf>
    <xf numFmtId="0" fontId="101" fillId="7" borderId="1" xfId="6" applyFont="1" applyFill="1" applyBorder="1" applyAlignment="1">
      <alignment horizontal="center" vertical="center"/>
    </xf>
    <xf numFmtId="0" fontId="257" fillId="0" borderId="165" xfId="0" applyFont="1" applyBorder="1" applyAlignment="1">
      <alignment vertical="center" wrapText="1"/>
    </xf>
    <xf numFmtId="0" fontId="257" fillId="0" borderId="162" xfId="0" applyFont="1" applyBorder="1" applyAlignment="1">
      <alignment vertical="center" wrapText="1"/>
    </xf>
    <xf numFmtId="0" fontId="257" fillId="0" borderId="165" xfId="0" applyFont="1" applyBorder="1">
      <alignment vertical="center"/>
    </xf>
    <xf numFmtId="0" fontId="257" fillId="0" borderId="162" xfId="0" applyFont="1" applyBorder="1">
      <alignment vertical="center"/>
    </xf>
    <xf numFmtId="0" fontId="257" fillId="0" borderId="169" xfId="0" applyFont="1" applyBorder="1" applyAlignment="1">
      <alignment vertical="center" wrapText="1"/>
    </xf>
    <xf numFmtId="0" fontId="257" fillId="0" borderId="164" xfId="0" applyFont="1" applyBorder="1" applyAlignment="1">
      <alignment vertical="center" wrapText="1"/>
    </xf>
    <xf numFmtId="0" fontId="257" fillId="0" borderId="163" xfId="0" applyFont="1" applyBorder="1" applyAlignment="1">
      <alignment vertical="center" wrapText="1"/>
    </xf>
    <xf numFmtId="0" fontId="257" fillId="0" borderId="165" xfId="0" applyFont="1" applyBorder="1" applyAlignment="1">
      <alignment vertical="top" wrapText="1"/>
    </xf>
    <xf numFmtId="0" fontId="257" fillId="0" borderId="162" xfId="0" applyFont="1" applyBorder="1" applyAlignment="1">
      <alignment vertical="top" wrapText="1"/>
    </xf>
    <xf numFmtId="0" fontId="257" fillId="0" borderId="165" xfId="0" applyFont="1" applyBorder="1" applyAlignment="1"/>
    <xf numFmtId="0" fontId="257" fillId="0" borderId="162" xfId="0" applyFont="1" applyBorder="1" applyAlignment="1"/>
    <xf numFmtId="0" fontId="257" fillId="0" borderId="169" xfId="0" applyFont="1" applyBorder="1" applyAlignment="1">
      <alignment horizontal="center" vertical="center" wrapText="1"/>
    </xf>
    <xf numFmtId="0" fontId="257" fillId="0" borderId="164" xfId="0" applyFont="1" applyBorder="1" applyAlignment="1">
      <alignment horizontal="center" vertical="center" wrapText="1"/>
    </xf>
    <xf numFmtId="0" fontId="257" fillId="0" borderId="163" xfId="0" applyFont="1" applyBorder="1" applyAlignment="1">
      <alignment horizontal="center" vertical="center" wrapText="1"/>
    </xf>
    <xf numFmtId="0" fontId="257" fillId="0" borderId="1" xfId="0" applyFont="1" applyBorder="1">
      <alignment vertical="center"/>
    </xf>
    <xf numFmtId="0" fontId="257" fillId="0" borderId="1" xfId="0" applyFont="1" applyBorder="1" applyAlignment="1">
      <alignment vertical="center" wrapText="1"/>
    </xf>
    <xf numFmtId="0" fontId="257" fillId="0" borderId="1" xfId="0" applyFont="1" applyBorder="1" applyAlignment="1">
      <alignment horizontal="center" vertical="center" wrapText="1"/>
    </xf>
    <xf numFmtId="0" fontId="257" fillId="0" borderId="156" xfId="0" applyFont="1" applyBorder="1">
      <alignment vertical="center"/>
    </xf>
    <xf numFmtId="0" fontId="257" fillId="0" borderId="157" xfId="0" applyFont="1" applyBorder="1">
      <alignment vertical="center"/>
    </xf>
    <xf numFmtId="0" fontId="257" fillId="0" borderId="158" xfId="0" applyFont="1" applyBorder="1">
      <alignment vertical="center"/>
    </xf>
    <xf numFmtId="0" fontId="257" fillId="0" borderId="159" xfId="0" applyFont="1" applyBorder="1">
      <alignment vertical="center"/>
    </xf>
    <xf numFmtId="0" fontId="257" fillId="0" borderId="160" xfId="0" applyFont="1" applyBorder="1">
      <alignment vertical="center"/>
    </xf>
    <xf numFmtId="0" fontId="257" fillId="0" borderId="161" xfId="0" applyFont="1" applyBorder="1">
      <alignment vertical="center"/>
    </xf>
    <xf numFmtId="0" fontId="257" fillId="0" borderId="166" xfId="0" applyFont="1" applyBorder="1">
      <alignment vertical="center"/>
    </xf>
    <xf numFmtId="0" fontId="257" fillId="0" borderId="167" xfId="0" applyFont="1" applyBorder="1">
      <alignment vertical="center"/>
    </xf>
    <xf numFmtId="0" fontId="257" fillId="0" borderId="27" xfId="0" applyFont="1" applyBorder="1" applyAlignment="1">
      <alignment horizontal="center" vertical="center" wrapText="1"/>
    </xf>
    <xf numFmtId="0" fontId="257" fillId="0" borderId="80" xfId="0" applyFont="1" applyBorder="1" applyAlignment="1">
      <alignment horizontal="center" vertical="center" wrapText="1"/>
    </xf>
    <xf numFmtId="0" fontId="257" fillId="0" borderId="81" xfId="0" applyFont="1" applyBorder="1" applyAlignment="1">
      <alignment horizontal="center" vertical="center" wrapText="1"/>
    </xf>
    <xf numFmtId="0" fontId="257" fillId="0" borderId="168" xfId="0" applyFont="1" applyBorder="1" applyAlignment="1">
      <alignment horizontal="center" vertical="center" wrapText="1"/>
    </xf>
  </cellXfs>
  <cellStyles count="20">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D区二层价格_1" xfId="13"/>
    <cellStyle name="常规_D区二层价格_4" xfId="18"/>
    <cellStyle name="常规_D区一层价格_4" xfId="14"/>
    <cellStyle name="常规_D区一层价格_4 2" xfId="16"/>
    <cellStyle name="常规_D区一层价格_4 2 2" xfId="19"/>
    <cellStyle name="常规_D区一层价格_4 3" xfId="17"/>
    <cellStyle name="常规_D区一层价格_5 2" xfId="15"/>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江苏省宿迁市宿城区水韵城项目部分商业用途房地产抵押价值预评估</v>
      </c>
    </row>
    <row r="3" spans="1:2" s="1595" customFormat="1">
      <c r="A3" s="1593" t="s">
        <v>1221</v>
      </c>
      <c r="B3" s="1594" t="str">
        <f>'预评函-封皮'!B40</f>
        <v>华融国际信托有限责任公司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受贵公司委托，我公司对江苏省宿迁市宿城区水韵城项目部分商业用途房地产抵押价值进行了预评估。</v>
      </c>
    </row>
    <row r="7" spans="1:2" s="1595" customFormat="1">
      <c r="A7" s="1593" t="s">
        <v>1264</v>
      </c>
      <c r="B7" s="1594" t="str">
        <f>'预评函-1'!A7</f>
        <v>估价对象为江苏省宿迁市宿城区水韵城项目部分商业用途房地产，为宿迁用世置业有限公司所有。根据《不动产权证书》[苏2016宿迁市不动产权第0028115号等41件]、《国有土地使用证》[宿国用2015第25472号等67件]，估价对象（分摊）出让国有建设用地使用权面积为909.82平方米，建筑面积为4834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江苏省宿迁市宿城区水韵城项目部分商业用途房地产,属宿迁用世置业有限公司开发建设的商业项目，该项目尚在开发建设中。根据《不动产权证书》[苏2016宿迁市不动产权第0028115号等41件]、《国有土地使用证》[宿国用2015第25472号等67件]，估价对象（分摊）出让国有建设用地使用权面积为909.82平方米，规划建筑面积为4834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中科建设开发总公司拟使用江苏省宿迁市宿城区水韵城项目部分商业用途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2018年4月12日（评估专业人员实地查勘之日）</v>
      </c>
    </row>
    <row r="13" spans="1:2" s="1595" customFormat="1">
      <c r="A13" s="1593" t="s">
        <v>1227</v>
      </c>
      <c r="B13" s="1594" t="str">
        <f>'预评函-1'!A18</f>
        <v>本次估价的“房地产价值”是指在正常市场情况下，在价值时点2018年4月12日，估价对象规划用途为商业，土地取得方式为出让，出让国有建设用地使用权剩余土地使用年限为商业34.26年，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平整）、红线内场地平整条件下，剩余土地使用年限为商业34.26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666</v>
      </c>
    </row>
    <row r="21" spans="1:2" s="1595" customFormat="1">
      <c r="A21" s="1593" t="s">
        <v>1235</v>
      </c>
      <c r="B21" s="1594">
        <f ca="1">'预评函-2'!D7</f>
        <v>39429</v>
      </c>
    </row>
    <row r="22" spans="1:2" s="1595" customFormat="1">
      <c r="A22" s="1593" t="s">
        <v>1236</v>
      </c>
      <c r="B22" s="1594" t="str">
        <f ca="1">'预评函-2'!D6</f>
        <v>陆佰陆拾陆万元整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666</v>
      </c>
    </row>
    <row r="31" spans="1:2" s="1595" customFormat="1">
      <c r="A31" s="1593" t="s">
        <v>1274</v>
      </c>
      <c r="B31" s="1594">
        <f ca="1">'预评函-2'!D15</f>
        <v>1378</v>
      </c>
    </row>
    <row r="32" spans="1:2" s="1595" customFormat="1">
      <c r="A32" s="1593" t="s">
        <v>1241</v>
      </c>
      <c r="B32" s="1594" t="str">
        <f ca="1">'预评函-2'!D14</f>
        <v>陆佰陆拾陆万元整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江苏省宿迁市宿城区水韵城项目部分商业用途房地产</v>
      </c>
    </row>
    <row r="42" spans="1:2" s="1595" customFormat="1">
      <c r="A42" s="1593" t="s">
        <v>1288</v>
      </c>
      <c r="B42" s="1594" t="str">
        <f>'预评函-3'!B2</f>
        <v>建筑面积</v>
      </c>
    </row>
    <row r="43" spans="1:2" s="1595" customFormat="1">
      <c r="A43" s="1593" t="s">
        <v>1289</v>
      </c>
      <c r="B43" s="1594">
        <f>'预评函-3'!B4</f>
        <v>4833.9999999999973</v>
      </c>
    </row>
    <row r="44" spans="1:2" s="1595" customFormat="1">
      <c r="A44" s="1593" t="s">
        <v>1273</v>
      </c>
      <c r="B44" s="1594" t="str">
        <f>'预评函-3'!C2</f>
        <v>(分摊)土地面积</v>
      </c>
    </row>
    <row r="45" spans="1:2" s="1595" customFormat="1">
      <c r="A45" s="1593" t="s">
        <v>1245</v>
      </c>
      <c r="B45" s="1594">
        <f>'预评函-3'!C4</f>
        <v>909.82</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为估价委托人在向华融国际信托有限责任公司办理贷款手续过程中，确定房地产抵押贷款额度提供参考依据而评估房地产抵押价值。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科建设开发总公司拟使用江苏省宿迁市宿城区水韵城项目部分商业用途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8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83"/>
      <c r="B54" s="2024" t="s">
        <v>864</v>
      </c>
      <c r="C54" s="2021" t="s">
        <v>1281</v>
      </c>
    </row>
    <row r="55" spans="1:4">
      <c r="A55" s="3083"/>
      <c r="B55" s="2024" t="s">
        <v>865</v>
      </c>
      <c r="C55" s="2021" t="s">
        <v>1282</v>
      </c>
    </row>
    <row r="56" spans="1:4">
      <c r="A56" s="3083"/>
      <c r="B56" s="2024" t="s">
        <v>866</v>
      </c>
      <c r="C56" s="2021" t="s">
        <v>1286</v>
      </c>
    </row>
    <row r="57" spans="1:4">
      <c r="A57" s="308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K12" sqref="K1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084" t="str">
        <f>IF(B10="北京市","北京市",C10)&amp;F10&amp;IF(结果表!G1="在建","出让国有建设用地使用权及在建建筑物",IF(结果表!G1="土地","出让国有建设用地使用权",))&amp;B9&amp;"预评估"</f>
        <v>江苏省宿迁市宿城区水韵城项目部分商业用途房地产抵押价值预评估</v>
      </c>
      <c r="C1" s="3085"/>
      <c r="D1" s="3085"/>
      <c r="E1" s="3085"/>
      <c r="F1" s="3085"/>
      <c r="G1" s="3085"/>
      <c r="H1" s="3085"/>
      <c r="I1" s="308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江苏省宿迁市宿城区水韵城项目部分商业用途房地产抵押价值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江苏省宿迁市宿城区水韵城项目部分商业用途房地产</v>
      </c>
    </row>
    <row r="3" spans="1:19" ht="18" customHeight="1">
      <c r="A3" s="2037" t="s">
        <v>1777</v>
      </c>
      <c r="B3" s="2038">
        <v>43202</v>
      </c>
      <c r="C3" s="2039" t="s">
        <v>1778</v>
      </c>
      <c r="D3" s="2038">
        <f>B3</f>
        <v>43202</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1120070131</v>
      </c>
      <c r="D4" s="2041" t="s">
        <v>3044</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c r="A5" s="2046" t="s">
        <v>1780</v>
      </c>
      <c r="B5" s="2941" t="s">
        <v>3045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2" t="s">
        <v>3045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3" t="s">
        <v>3046</v>
      </c>
      <c r="C7" s="2050"/>
      <c r="D7" s="2051"/>
      <c r="E7" s="2036"/>
      <c r="F7" s="2044"/>
      <c r="G7" s="2044"/>
      <c r="H7" s="2044"/>
      <c r="I7" s="2044"/>
      <c r="J7" s="2044"/>
      <c r="K7" s="2053"/>
      <c r="L7" s="2030"/>
      <c r="M7" s="2030"/>
      <c r="N7" s="2031"/>
      <c r="O7" s="2032"/>
      <c r="P7" s="2031"/>
      <c r="Q7" s="2031"/>
      <c r="R7" s="2031"/>
    </row>
    <row r="8" spans="1:19" ht="18" customHeight="1">
      <c r="A8" s="2049" t="s">
        <v>1783</v>
      </c>
      <c r="B8" s="2054" t="s">
        <v>3047</v>
      </c>
      <c r="C8" s="2055"/>
      <c r="D8" s="3087" t="s">
        <v>1784</v>
      </c>
      <c r="E8" s="2056" t="s">
        <v>3048</v>
      </c>
      <c r="F8" s="2057"/>
      <c r="G8" s="2028"/>
      <c r="H8" s="2028"/>
      <c r="I8" s="2028"/>
      <c r="J8" s="2044"/>
      <c r="K8" s="2045"/>
      <c r="L8" s="2030"/>
      <c r="M8" s="2030"/>
      <c r="N8" s="2031"/>
      <c r="O8" s="2032"/>
      <c r="P8" s="2031"/>
      <c r="Q8" s="2031"/>
      <c r="R8" s="2031"/>
    </row>
    <row r="9" spans="1:19" ht="18" customHeight="1" thickBot="1">
      <c r="A9" s="2042" t="s">
        <v>1785</v>
      </c>
      <c r="B9" s="2058" t="s">
        <v>3048</v>
      </c>
      <c r="C9" s="2059"/>
      <c r="D9" s="3088"/>
      <c r="E9" s="2058" t="s">
        <v>70</v>
      </c>
      <c r="F9" s="2060"/>
      <c r="G9" s="2061"/>
      <c r="H9" s="2061"/>
      <c r="I9" s="2061"/>
      <c r="J9" s="2044"/>
      <c r="K9" s="2053"/>
      <c r="L9" s="2030"/>
      <c r="M9" s="2030"/>
      <c r="N9" s="2031"/>
      <c r="O9" s="2032"/>
      <c r="P9" s="2031"/>
      <c r="Q9" s="2031"/>
      <c r="R9" s="2031"/>
    </row>
    <row r="10" spans="1:19" ht="26.25" customHeight="1" thickTop="1">
      <c r="A10" s="2062" t="s">
        <v>1786</v>
      </c>
      <c r="B10" s="2063" t="s">
        <v>3049</v>
      </c>
      <c r="C10" s="2944" t="s">
        <v>3050</v>
      </c>
      <c r="D10" s="2048"/>
      <c r="E10" s="2064" t="s">
        <v>1787</v>
      </c>
      <c r="F10" s="2945" t="s">
        <v>3051</v>
      </c>
      <c r="G10" s="2065"/>
      <c r="H10" s="2066"/>
      <c r="I10" s="2048"/>
      <c r="J10" s="2044"/>
      <c r="K10" s="2053"/>
      <c r="L10" s="2030"/>
      <c r="M10" s="2030"/>
      <c r="N10" s="2031"/>
      <c r="O10" s="2032"/>
      <c r="P10" s="2031"/>
      <c r="Q10" s="2031"/>
      <c r="R10" s="2031"/>
    </row>
    <row r="11" spans="1:19" ht="18" customHeight="1">
      <c r="A11" s="2067" t="s">
        <v>1788</v>
      </c>
      <c r="B11" s="2068" t="s">
        <v>3052</v>
      </c>
      <c r="C11" s="2946" t="s">
        <v>3053</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3054</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2076">
        <v>55709</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t="str">
        <f>IF(B12="出让",IF(D13="","",ROUNDDOWN(MIN((D13-$D$3)/365,D14),2)),D14)</f>
        <v/>
      </c>
      <c r="E15" s="1051">
        <f>IF(B12="出让",IF(E13="","",ROUNDDOWN(MIN((E13-$D$3)/365,E14),2)),E14)</f>
        <v>34.26</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1800</v>
      </c>
      <c r="B16" s="3094" t="s">
        <v>3055</v>
      </c>
      <c r="C16" s="3095"/>
      <c r="D16" s="3096"/>
      <c r="E16" s="2082" t="s">
        <v>1801</v>
      </c>
      <c r="F16" s="3097" t="s">
        <v>3056</v>
      </c>
      <c r="G16" s="3098"/>
      <c r="H16" s="3098"/>
      <c r="I16" s="3099"/>
      <c r="J16" s="2031"/>
      <c r="K16" s="2079"/>
      <c r="L16" s="2080"/>
      <c r="M16" s="2080"/>
      <c r="N16" s="2081"/>
      <c r="O16" s="2080"/>
      <c r="P16" s="2081"/>
      <c r="Q16" s="2031"/>
      <c r="R16" s="2031"/>
    </row>
    <row r="17" spans="1:22" ht="18" customHeight="1">
      <c r="A17" s="2083" t="s">
        <v>1802</v>
      </c>
      <c r="B17" s="2037" t="s">
        <v>1803</v>
      </c>
      <c r="C17" s="1056">
        <f>'数据-汇总表'!E3</f>
        <v>4833.9999999999973</v>
      </c>
      <c r="D17" s="2084" t="s">
        <v>1804</v>
      </c>
      <c r="E17" s="3100" t="s">
        <v>3058</v>
      </c>
      <c r="F17" s="3101"/>
      <c r="G17" s="3101"/>
      <c r="H17" s="3101"/>
      <c r="I17" s="3102"/>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909.82</v>
      </c>
      <c r="D18" s="2087" t="s">
        <v>1804</v>
      </c>
      <c r="E18" s="3103" t="s">
        <v>3057</v>
      </c>
      <c r="F18" s="3104"/>
      <c r="G18" s="3104"/>
      <c r="H18" s="3104"/>
      <c r="I18" s="3105"/>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3059</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90" t="s">
        <v>1811</v>
      </c>
      <c r="C20" s="3091"/>
      <c r="D20" s="3092" t="s">
        <v>1812</v>
      </c>
      <c r="E20" s="3093"/>
      <c r="F20" s="2094" t="s">
        <v>1813</v>
      </c>
      <c r="G20" s="2044"/>
      <c r="H20" s="2044"/>
      <c r="I20" s="2044"/>
      <c r="J20" s="2044"/>
      <c r="K20" s="3089"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8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3060</v>
      </c>
      <c r="D22" s="2028"/>
      <c r="E22" s="2028"/>
      <c r="F22" s="2101"/>
      <c r="G22" s="2044"/>
      <c r="H22" s="2044"/>
      <c r="I22" s="2044"/>
      <c r="J22" s="2044"/>
      <c r="K22" s="308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107" t="s">
        <v>1824</v>
      </c>
      <c r="B27" s="2062" t="s">
        <v>1825</v>
      </c>
      <c r="C27" s="2116" t="s">
        <v>3061</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107"/>
      <c r="B28" s="2037" t="s">
        <v>1826</v>
      </c>
      <c r="C28" s="2118" t="s">
        <v>3062</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107"/>
      <c r="B29" s="2037" t="s">
        <v>1827</v>
      </c>
      <c r="C29" s="2121" t="s">
        <v>3059</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108"/>
      <c r="B30" s="2037" t="s">
        <v>1828</v>
      </c>
      <c r="C30" s="3109"/>
      <c r="D30" s="3110"/>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11" t="s">
        <v>1829</v>
      </c>
      <c r="B31" s="2123" t="s">
        <v>3063</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12"/>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12"/>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3064</v>
      </c>
      <c r="C34" s="2130" t="s">
        <v>3065</v>
      </c>
      <c r="D34" s="2130" t="s">
        <v>3066</v>
      </c>
      <c r="E34" s="2130" t="s">
        <v>3067</v>
      </c>
      <c r="F34" s="2130" t="s">
        <v>3068</v>
      </c>
      <c r="G34" s="2130" t="s">
        <v>3069</v>
      </c>
      <c r="H34" s="2130" t="s">
        <v>3070</v>
      </c>
      <c r="I34" s="2044"/>
      <c r="J34" s="2044"/>
      <c r="K34" s="1797">
        <f>COUNTIF(B34:H34,"——")</f>
        <v>0</v>
      </c>
      <c r="L34" s="2071" t="s">
        <v>1831</v>
      </c>
      <c r="M34" s="2071" t="s">
        <v>1832</v>
      </c>
      <c r="N34" s="2071" t="s">
        <v>1833</v>
      </c>
      <c r="O34" s="2071" t="s">
        <v>1834</v>
      </c>
      <c r="P34" s="2071" t="s">
        <v>1835</v>
      </c>
      <c r="Q34" s="2071" t="s">
        <v>1836</v>
      </c>
      <c r="R34" s="2071" t="s">
        <v>1837</v>
      </c>
      <c r="S34" s="3106" t="s">
        <v>1838</v>
      </c>
      <c r="T34" s="2131" t="str">
        <f>NUMBERSTRING(7-K34,1)&amp;"通"</f>
        <v>七通</v>
      </c>
      <c r="U34" s="2031"/>
      <c r="V34" s="2031"/>
    </row>
    <row r="35" spans="1:22" ht="18" customHeight="1">
      <c r="A35" s="2132"/>
      <c r="B35" s="3113" t="s">
        <v>1839</v>
      </c>
      <c r="C35" s="3113"/>
      <c r="D35" s="3113"/>
      <c r="E35" s="3113"/>
      <c r="F35" s="2133" t="str">
        <f>C10</f>
        <v>江苏省宿迁市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06"/>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909.82</v>
      </c>
      <c r="B3" s="14">
        <f>IF(C3="否",G5-AT5,G5)</f>
        <v>4833.9999999999973</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4833.9999999999973</v>
      </c>
      <c r="H5" s="16">
        <f t="shared" ref="H5:AT5" si="0">SUM(H13:H656)</f>
        <v>4833.9999999999973</v>
      </c>
      <c r="I5" s="16">
        <f t="shared" si="0"/>
        <v>4833.9999999999973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4833.9999999999973</v>
      </c>
      <c r="BA5" s="18">
        <f t="shared" si="1"/>
        <v>4833.9999999999973</v>
      </c>
      <c r="BB5" s="18">
        <f t="shared" si="1"/>
        <v>4833.9999999999973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909.82</v>
      </c>
      <c r="F6" s="16" t="s">
        <v>1</v>
      </c>
      <c r="G6" s="16" t="s">
        <v>2</v>
      </c>
      <c r="H6" s="20">
        <f>SUMIF(I$12:AB$12,"总值",I6:AB6)</f>
        <v>909.82</v>
      </c>
      <c r="I6" s="16">
        <f t="shared" ref="I6:AB6" si="2">ROUND($A$3*I5/$B$3,2)</f>
        <v>909.82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909.82</v>
      </c>
      <c r="AZ6" s="16" t="s">
        <v>3</v>
      </c>
      <c r="BA6" s="16">
        <f>ROUND($AY$6*BA5/$AZ$5,2)</f>
        <v>909.82</v>
      </c>
      <c r="BB6" s="16">
        <f>ROUND($AY$6*BB5/$AZ$5,2)</f>
        <v>909.82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3073</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3074</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独立商业</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1274"/>
      <c r="D13" s="2210" t="s">
        <v>3072</v>
      </c>
      <c r="E13" s="16">
        <f>IF($C$3="是",ROUND($A$3*G13/$B$3,2),ROUND($A$3*(G13-AT13)/$B$3,2))</f>
        <v>909.82</v>
      </c>
      <c r="F13" s="32"/>
      <c r="G13" s="33">
        <f>H13+AC13+AT13</f>
        <v>4833.9999999999973</v>
      </c>
      <c r="H13" s="20">
        <f>SUMIF(I$12:AB$12,"总值",I13:AB13)</f>
        <v>4833.9999999999973</v>
      </c>
      <c r="I13" s="2211">
        <f>Sheet1!E111</f>
        <v>4833.9999999999973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8">
        <f>ROUND($AY$6*AZ13/$AZ$5,2)</f>
        <v>909.82</v>
      </c>
      <c r="AZ13" s="16">
        <f>BA13+BL13</f>
        <v>4833.9999999999973</v>
      </c>
      <c r="BA13" s="16">
        <f>SUM(BB13:BK13)</f>
        <v>4833.9999999999973</v>
      </c>
      <c r="BB13" s="16">
        <f>IF($D13="是",I13-J13,0)</f>
        <v>4833.9999999999973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4" t="s">
        <v>0</v>
      </c>
      <c r="B1" s="3114" t="s">
        <v>4</v>
      </c>
      <c r="C1" s="3114" t="s">
        <v>5</v>
      </c>
      <c r="D1" s="3115" t="s">
        <v>53</v>
      </c>
      <c r="E1" s="3115" t="s">
        <v>54</v>
      </c>
      <c r="F1" s="3115"/>
      <c r="G1" s="3115"/>
      <c r="H1" s="3115"/>
      <c r="I1" s="3115"/>
      <c r="J1" s="3115"/>
      <c r="K1" s="3115"/>
      <c r="L1" s="3115"/>
      <c r="M1" s="3115"/>
    </row>
    <row r="2" spans="1:13" ht="27" customHeight="1">
      <c r="A2" s="3114"/>
      <c r="B2" s="3114"/>
      <c r="C2" s="3114"/>
      <c r="D2" s="3115"/>
      <c r="E2" s="3115" t="s">
        <v>37</v>
      </c>
      <c r="F2" s="3115" t="s">
        <v>38</v>
      </c>
      <c r="G2" s="3115"/>
      <c r="H2" s="3115"/>
      <c r="I2" s="3115"/>
      <c r="J2" s="3115" t="s">
        <v>39</v>
      </c>
      <c r="K2" s="3115"/>
      <c r="L2" s="3115"/>
      <c r="M2" s="3115"/>
    </row>
    <row r="3" spans="1:13" ht="28.5">
      <c r="A3" s="3114"/>
      <c r="B3" s="3114"/>
      <c r="C3" s="3114"/>
      <c r="D3" s="3115"/>
      <c r="E3" s="31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5" t="s">
        <v>55</v>
      </c>
      <c r="B9" s="3115"/>
      <c r="C9" s="31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19" sqref="F19: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25" t="s">
        <v>1935</v>
      </c>
      <c r="B2" s="3125"/>
      <c r="C2" s="3125"/>
      <c r="D2" s="969" t="s">
        <v>1911</v>
      </c>
      <c r="E2" s="2224" t="s">
        <v>1912</v>
      </c>
      <c r="F2" s="1394"/>
      <c r="G2" s="2225"/>
      <c r="H2" s="2226"/>
      <c r="I2" s="2227" t="s">
        <v>1936</v>
      </c>
      <c r="J2" s="1394"/>
      <c r="K2" s="1394"/>
      <c r="L2" s="1394"/>
      <c r="M2" s="1394"/>
      <c r="N2" s="1429"/>
      <c r="O2" s="1394"/>
      <c r="P2" s="1394"/>
    </row>
    <row r="3" spans="1:16" ht="15.75" thickBot="1">
      <c r="A3" s="3126" t="s">
        <v>1909</v>
      </c>
      <c r="B3" s="3126"/>
      <c r="C3" s="3126"/>
      <c r="D3" s="46">
        <f>'数据-基础表'!AY6</f>
        <v>909.82</v>
      </c>
      <c r="E3" s="46">
        <f>'数据-基础表'!AZ5</f>
        <v>4833.9999999999973</v>
      </c>
      <c r="F3" s="1394"/>
      <c r="G3" s="1401"/>
      <c r="H3" s="1249" t="s">
        <v>1910</v>
      </c>
      <c r="I3" s="55">
        <f>ROUND('数据-基础表'!B3/'数据-基础表'!A3,2)</f>
        <v>5.31</v>
      </c>
      <c r="J3" s="1394"/>
      <c r="K3" s="1394"/>
      <c r="L3" s="1394"/>
      <c r="M3" s="1394"/>
      <c r="N3" s="1429"/>
      <c r="O3" s="1394"/>
      <c r="P3" s="1394"/>
    </row>
    <row r="4" spans="1:16" ht="15">
      <c r="A4" s="3127"/>
      <c r="B4" s="3128"/>
      <c r="C4" s="3129"/>
      <c r="D4" s="2228" t="s">
        <v>1911</v>
      </c>
      <c r="E4" s="2229" t="s">
        <v>1912</v>
      </c>
      <c r="F4" s="1394"/>
      <c r="G4" s="2230" t="s">
        <v>1937</v>
      </c>
      <c r="H4" s="1249" t="s">
        <v>1917</v>
      </c>
      <c r="I4" s="55">
        <f>ROUND(SUMIF('数据-基础表'!I9:AS9,"地上",'数据-基础表'!I5:AS5)/'数据-基础表'!A3,2)</f>
        <v>5.31</v>
      </c>
      <c r="J4" s="1394"/>
      <c r="K4" s="1394"/>
      <c r="L4" s="1394"/>
      <c r="M4" s="1394"/>
      <c r="N4" s="1429"/>
      <c r="O4" s="1394"/>
      <c r="P4" s="1394"/>
    </row>
    <row r="5" spans="1:16">
      <c r="A5" s="47" t="s">
        <v>1913</v>
      </c>
      <c r="B5" s="3130" t="s">
        <v>1914</v>
      </c>
      <c r="C5" s="3130"/>
      <c r="D5" s="48">
        <f>ROUND($D$3*E5/$E$3,2)</f>
        <v>0</v>
      </c>
      <c r="E5" s="49">
        <f>SUMIF('数据-基础表'!$11:$11,"住宅",'数据-基础表'!$5:$5)</f>
        <v>0</v>
      </c>
      <c r="F5" s="1394"/>
      <c r="G5" s="1401"/>
      <c r="H5" s="1249" t="s">
        <v>1910</v>
      </c>
      <c r="I5" s="55">
        <f>ROUND(E31/D31,2)</f>
        <v>5.31</v>
      </c>
      <c r="J5" s="1394"/>
      <c r="K5" s="1394"/>
      <c r="L5" s="1394"/>
      <c r="M5" s="1394"/>
      <c r="N5" s="1394"/>
      <c r="O5" s="1394"/>
      <c r="P5" s="1394"/>
    </row>
    <row r="6" spans="1:16" ht="15" thickBot="1">
      <c r="A6" s="2231"/>
      <c r="B6" s="3130" t="s">
        <v>1915</v>
      </c>
      <c r="C6" s="3130"/>
      <c r="D6" s="48">
        <f>ROUND($D$3*E6/$E$3,2)</f>
        <v>909.82</v>
      </c>
      <c r="E6" s="49">
        <f>E3-E5</f>
        <v>4833.9999999999973</v>
      </c>
      <c r="F6" s="1394"/>
      <c r="G6" s="2232" t="s">
        <v>1916</v>
      </c>
      <c r="H6" s="1401" t="s">
        <v>1917</v>
      </c>
      <c r="I6" s="941">
        <f>ROUND(F31/D31,2)</f>
        <v>5.31</v>
      </c>
      <c r="J6" s="1394"/>
      <c r="K6" s="1394"/>
      <c r="L6" s="1394"/>
      <c r="M6" s="1394"/>
      <c r="N6" s="1394"/>
      <c r="O6" s="1394"/>
      <c r="P6" s="1394"/>
    </row>
    <row r="7" spans="1:16" ht="15">
      <c r="A7" s="3122"/>
      <c r="B7" s="3123"/>
      <c r="C7" s="3124"/>
      <c r="D7" s="2228" t="s">
        <v>1911</v>
      </c>
      <c r="E7" s="2233" t="s">
        <v>1918</v>
      </c>
      <c r="F7" s="1394"/>
      <c r="G7" s="2225" t="s">
        <v>1919</v>
      </c>
      <c r="H7" s="64"/>
      <c r="I7" s="420"/>
      <c r="J7" s="1394"/>
      <c r="K7" s="1394"/>
      <c r="L7" s="1394"/>
      <c r="M7" s="1394"/>
      <c r="N7" s="1394"/>
      <c r="O7" s="1394"/>
      <c r="P7" s="1394"/>
    </row>
    <row r="8" spans="1:16">
      <c r="A8" s="47" t="s">
        <v>1920</v>
      </c>
      <c r="B8" s="50" t="s">
        <v>1921</v>
      </c>
      <c r="C8" s="48" t="s">
        <v>1922</v>
      </c>
      <c r="D8" s="48">
        <f t="shared" ref="D8:D15" si="0">ROUND($D$3*E8/$E$3,2)</f>
        <v>909.82</v>
      </c>
      <c r="E8" s="51">
        <f>SUMIF('数据-基础表'!BB10:BK10,"地上",'数据-基础表'!BB5:BK5)</f>
        <v>4833.9999999999973</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909.82</v>
      </c>
      <c r="E16" s="53">
        <f>SUM(E8:E15)</f>
        <v>4833.9999999999973</v>
      </c>
      <c r="F16" s="1394"/>
      <c r="G16" s="2234"/>
      <c r="H16" s="2237" t="s">
        <v>1939</v>
      </c>
      <c r="I16" s="2238"/>
      <c r="J16" s="1394"/>
      <c r="K16" s="3119" t="s">
        <v>1939</v>
      </c>
      <c r="L16" s="3120"/>
      <c r="M16" s="3120"/>
      <c r="N16" s="3120"/>
      <c r="O16" s="3120"/>
      <c r="P16" s="3121"/>
    </row>
    <row r="17" spans="1:19" ht="15">
      <c r="A17" s="2239" t="s">
        <v>1940</v>
      </c>
      <c r="B17" s="2240" t="s">
        <v>1941</v>
      </c>
      <c r="C17" s="2241" t="s">
        <v>1942</v>
      </c>
      <c r="D17" s="2242" t="s">
        <v>1930</v>
      </c>
      <c r="E17" s="2243" t="s">
        <v>1931</v>
      </c>
      <c r="F17" s="2244"/>
      <c r="G17" s="2245"/>
      <c r="H17" s="2246" t="s">
        <v>1943</v>
      </c>
      <c r="I17" s="2247" t="s">
        <v>1928</v>
      </c>
      <c r="J17" s="1394"/>
      <c r="K17" s="3116" t="s">
        <v>1944</v>
      </c>
      <c r="L17" s="3117"/>
      <c r="M17" s="3118"/>
      <c r="N17" s="3116" t="s">
        <v>1945</v>
      </c>
      <c r="O17" s="3117"/>
      <c r="P17" s="3118"/>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55" t="s">
        <v>3369</v>
      </c>
      <c r="D19" s="48">
        <f>ROUND($D$3*E19/$E$3,2)</f>
        <v>31.79</v>
      </c>
      <c r="E19" s="56">
        <f t="shared" ref="E19:E26" si="1">SUM(F19:G19)</f>
        <v>168.91</v>
      </c>
      <c r="F19" s="57">
        <f>Sheet1!E3</f>
        <v>168.91</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31.79</v>
      </c>
      <c r="S19" s="1250">
        <f t="shared" si="5"/>
        <v>168.91</v>
      </c>
    </row>
    <row r="20" spans="1:19">
      <c r="A20" s="2260"/>
      <c r="B20" s="50" t="s">
        <v>1957</v>
      </c>
      <c r="C20" s="2955" t="s">
        <v>3370</v>
      </c>
      <c r="D20" s="48">
        <f t="shared" ref="D20:D26" si="6">ROUND($D$3*E20/$E$3,2)</f>
        <v>878.03</v>
      </c>
      <c r="E20" s="56">
        <f t="shared" si="1"/>
        <v>4665.0899999999974</v>
      </c>
      <c r="F20" s="57">
        <f>'数据-基础表'!I13-'数据-汇总表'!F19</f>
        <v>4665.0899999999974</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878.03</v>
      </c>
      <c r="S20" s="1250">
        <f t="shared" si="5"/>
        <v>4665.0899999999974</v>
      </c>
    </row>
    <row r="21" spans="1:19">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909.81999999999994</v>
      </c>
      <c r="E27" s="1396">
        <f>IF(SUM(E19:E26)='数据-基础表'!BA5,SUM(E19:E26),IF(F27="地上面积有误","面积有误","地下面积有误"))</f>
        <v>4833.9999999999973</v>
      </c>
      <c r="F27" s="1395">
        <f>IF(SUM(F19:F26)=E8,SUM(F19:F26),"地上面积有误")</f>
        <v>4833.9999999999973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909.81999999999994</v>
      </c>
      <c r="S27" s="1249">
        <f>IF(SUM(S19:S26)=$E$3,SUM(S19:S26),SUM(S19:S26)&amp;"误差"&amp;ROUND(SUM(S19:S26)-E3,2))</f>
        <v>4833.9999999999973</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909.81999999999994</v>
      </c>
      <c r="E31" s="728">
        <f>E27+E30</f>
        <v>4833.9999999999973</v>
      </c>
      <c r="F31" s="729">
        <f>F27+F30</f>
        <v>4833.9999999999973</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43202</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3371</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55709</v>
      </c>
      <c r="F6" s="72">
        <f>SUMIF(项目基本情况!D$12:I$12,C6,项目基本情况!D$15:I$15)</f>
        <v>34.26</v>
      </c>
      <c r="G6" s="73">
        <f>IF(ISERROR(ROUND(POWER(1+H6,D6-F6)*(POWER(1+H6,F6)-1)/(POWER(1+H6,D6)-1),3)),0,ROUND(POWER(1+H6,D6-F6)*(POWER(1+H6,F6)-1)/(POWER(1+H6,D6)-1),3))</f>
        <v>0.94</v>
      </c>
      <c r="H6" s="801">
        <v>4.4999999999999998E-2</v>
      </c>
      <c r="I6" s="801">
        <v>0.05</v>
      </c>
      <c r="J6" s="74">
        <v>8.5000000000000006E-2</v>
      </c>
      <c r="K6" s="1253">
        <f>SUMIF('数据-汇总表'!C$19:C$33,A6,'数据-汇总表'!E$19:E$33)</f>
        <v>168.91</v>
      </c>
      <c r="L6" s="802">
        <v>3000</v>
      </c>
      <c r="M6" s="75">
        <f t="shared" ref="M6:M14" si="0">ROUND(K6*L6/10000,0)</f>
        <v>51</v>
      </c>
      <c r="N6" s="800">
        <f>ROUND(1-(2018-2015)/60,2)</f>
        <v>0.95</v>
      </c>
      <c r="O6" s="75" t="str">
        <f>IF($N$5="成新度","——",ROUND(M6*N6,0))</f>
        <v>——</v>
      </c>
      <c r="P6" s="76" t="str">
        <f>IF($N$5="成新度","——",M6-O6)</f>
        <v>——</v>
      </c>
      <c r="Q6" s="803">
        <v>0.25</v>
      </c>
      <c r="R6" s="77">
        <f ca="1">SUMIF('数据-汇总表'!C$19:C$33,A6,'数据-汇总表'!R$19:R$27)</f>
        <v>31.79</v>
      </c>
      <c r="S6" s="54">
        <f>IF('数据-汇总表'!$I$17="按面积比例",SUMIF('数据-汇总表'!C$19:C$33,A6,'数据-汇总表'!K$19:K$33),SUMIF('数据-汇总表'!C$19:C$33,A6,'数据-汇总表'!N$19:N$33))</f>
        <v>0</v>
      </c>
      <c r="T6" s="1445">
        <f>ROUND($L$14*S6/10000,0)</f>
        <v>0</v>
      </c>
      <c r="U6" s="78">
        <v>3.5</v>
      </c>
      <c r="V6" s="79">
        <v>3.5000000000000003E-2</v>
      </c>
      <c r="W6" s="79">
        <v>0.15</v>
      </c>
      <c r="X6" s="1263"/>
      <c r="Y6" s="80">
        <f>N6</f>
        <v>0.95</v>
      </c>
      <c r="Z6" s="81"/>
      <c r="AA6" s="74"/>
      <c r="AB6" s="74"/>
      <c r="AC6" s="1263"/>
      <c r="AD6" s="82"/>
      <c r="AE6" s="1264">
        <f ca="1">IF(AN6="",0,SUMIF(INDIRECT("'"&amp;AN6&amp;"'"&amp;"!E:E"),$AE$5,INDIRECT("'"&amp;AN6&amp;"'"&amp;"!F:F")))</f>
        <v>34.26</v>
      </c>
      <c r="AF6" s="1806"/>
      <c r="AG6" s="147">
        <f>IF(AF6="",0,AE6-AF6)</f>
        <v>0</v>
      </c>
      <c r="AH6" s="83"/>
      <c r="AI6" s="85">
        <v>365</v>
      </c>
      <c r="AJ6" s="86"/>
      <c r="AK6" s="87">
        <v>1.4999999999999999E-2</v>
      </c>
      <c r="AL6" s="88">
        <v>1.5E-3</v>
      </c>
      <c r="AM6" s="89">
        <v>0.01</v>
      </c>
      <c r="AN6" s="2306" t="s">
        <v>3372</v>
      </c>
      <c r="AO6" s="55">
        <f ca="1">SUMIF(INDIRECT("'"&amp;AN6&amp;"'"&amp;"!A:A"),"总价",INDIRECT("'"&amp;AN6&amp;"'"&amp;"!B:B"))</f>
        <v>342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55709</v>
      </c>
      <c r="F7" s="72">
        <f>SUMIF(项目基本情况!D$12:I$12,C7,项目基本情况!D$15:I$15)</f>
        <v>34.26</v>
      </c>
      <c r="G7" s="73">
        <f t="shared" ref="G7:G11" si="2">IF(ISERROR(ROUND(POWER(1+H7,D7-F7)*(POWER(1+H7,F7)-1)/(POWER(1+H7,D7)-1),3)),0,ROUND(POWER(1+H7,D7-F7)*(POWER(1+H7,F7)-1)/(POWER(1+H7,D7)-1),3))</f>
        <v>0.94</v>
      </c>
      <c r="H7" s="801">
        <v>4.4999999999999998E-2</v>
      </c>
      <c r="I7" s="801">
        <v>0.05</v>
      </c>
      <c r="J7" s="74">
        <v>8.5000000000000006E-2</v>
      </c>
      <c r="K7" s="1253">
        <f>SUMIF('数据-汇总表'!C$19:C$33,A7,'数据-汇总表'!E$19:E$33)</f>
        <v>4665.0899999999974</v>
      </c>
      <c r="L7" s="802">
        <v>3000</v>
      </c>
      <c r="M7" s="75">
        <f t="shared" si="0"/>
        <v>1400</v>
      </c>
      <c r="N7" s="800">
        <f>ROUND(1-(2018-2015)/60,2)</f>
        <v>0.95</v>
      </c>
      <c r="O7" s="75" t="str">
        <f t="shared" ref="O7:O14" si="3">IF($N$5="成新度","——",ROUND(M7*N7,0))</f>
        <v>——</v>
      </c>
      <c r="P7" s="76" t="str">
        <f t="shared" ref="P7:P14" si="4">IF($N$5="成新度","——",M7-O7)</f>
        <v>——</v>
      </c>
      <c r="Q7" s="803">
        <v>0.25</v>
      </c>
      <c r="R7" s="77">
        <f ca="1">SUMIF('数据-汇总表'!C$19:C$33,A7,'数据-汇总表'!R$19:R$27)</f>
        <v>878.03</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0.94</v>
      </c>
      <c r="H16" s="99">
        <f>ROUND(SUMPRODUCT(H6:H13,K6:K13)/SUMPRODUCT((H6:H13&gt;0)*(K6:K13)),3)</f>
        <v>4.4999999999999998E-2</v>
      </c>
      <c r="I16" s="100"/>
      <c r="J16" s="100"/>
      <c r="K16" s="101">
        <f>SUM(K6:K15)</f>
        <v>4833.9999999999973</v>
      </c>
      <c r="L16" s="102">
        <f>ROUND(M16*10000/SUM(K6:K14),0)</f>
        <v>3002</v>
      </c>
      <c r="M16" s="102">
        <f>SUM(M6:M14)</f>
        <v>1451</v>
      </c>
      <c r="N16" s="103">
        <f>ROUND(SUMPRODUCT(M6:M14,N6:N14)/M16,3)</f>
        <v>0.95</v>
      </c>
      <c r="O16" s="102">
        <f>SUM(O6:O14)</f>
        <v>0</v>
      </c>
      <c r="P16" s="102">
        <f>SUM(P6:P14)</f>
        <v>0</v>
      </c>
      <c r="Q16" s="104">
        <f>ROUND(SUMPRODUCT(Q6:Q13,K6:K13)/SUMPRODUCT((Q6:Q13&gt;0)*(K6:K13)),2)</f>
        <v>0.25</v>
      </c>
      <c r="R16" s="1257">
        <f ca="1">SUM(R6:R13)</f>
        <v>909.81999999999994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2.5</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2.5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2.5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2.5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100</v>
      </c>
      <c r="C27" s="2956" t="s">
        <v>3373</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100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7" t="s">
        <v>3071</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31" t="s">
        <v>2078</v>
      </c>
      <c r="B1" s="3132"/>
      <c r="C1" s="3132"/>
      <c r="D1" s="3132"/>
      <c r="E1" s="3132"/>
      <c r="F1" s="3132"/>
      <c r="G1" s="313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4" sqref="G34"/>
    </sheetView>
  </sheetViews>
  <sheetFormatPr defaultRowHeight="13.5"/>
  <cols>
    <col min="1" max="1" width="23.375" style="1740" customWidth="1"/>
    <col min="2" max="9" width="15.75" style="1740" customWidth="1"/>
    <col min="10" max="16384" width="9" style="1740"/>
  </cols>
  <sheetData>
    <row r="1" spans="1:10" ht="16.5">
      <c r="A1" s="1745" t="s">
        <v>1365</v>
      </c>
      <c r="B1" s="1745">
        <f>SUM(B14:B23)</f>
        <v>168.91</v>
      </c>
      <c r="C1" s="1744"/>
      <c r="D1" s="1744"/>
      <c r="E1" s="1744"/>
      <c r="F1" s="1744"/>
      <c r="G1" s="1742"/>
    </row>
    <row r="2" spans="1:10" ht="16.5">
      <c r="A2" s="1745" t="s">
        <v>1353</v>
      </c>
      <c r="B2" s="1745">
        <f>SUM(C14:C23)</f>
        <v>31.79</v>
      </c>
      <c r="C2" s="1744"/>
      <c r="D2" s="1744"/>
      <c r="E2" s="1744"/>
      <c r="F2" s="1744"/>
      <c r="G2" s="1742"/>
    </row>
    <row r="3" spans="1:10" ht="16.5">
      <c r="A3" s="1745" t="s">
        <v>1362</v>
      </c>
      <c r="B3" s="1746">
        <f>项目基本情况!D3</f>
        <v>43202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666</v>
      </c>
      <c r="C5" s="1745">
        <f ca="1">ROUND(B5*10000/$B$1,0)</f>
        <v>39429</v>
      </c>
      <c r="D5" s="1745">
        <f ca="1">ROUND(B5*10000/$B$2,0)</f>
        <v>209500</v>
      </c>
      <c r="E5" s="1744"/>
      <c r="F5" s="1742"/>
      <c r="G5" s="1742"/>
    </row>
    <row r="6" spans="1:10" ht="16.5">
      <c r="A6" s="1745" t="s">
        <v>1356</v>
      </c>
      <c r="B6" s="1745">
        <f ca="1">SUM(G14:G23)</f>
        <v>666</v>
      </c>
      <c r="C6" s="1745">
        <f ca="1">ROUND(B6*10000/$B$1,0)</f>
        <v>39429</v>
      </c>
      <c r="D6" s="1745">
        <f ca="1">ROUND(B6*10000/$B$2,0)</f>
        <v>209500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168.91</v>
      </c>
      <c r="C14" s="1743">
        <f>结果表!C118</f>
        <v>31.79</v>
      </c>
      <c r="D14" s="1743">
        <f ca="1">结果表!H118</f>
        <v>666</v>
      </c>
      <c r="E14" s="1743">
        <f ca="1">ROUND(D14*10000/B14,0)</f>
        <v>39429</v>
      </c>
      <c r="F14" s="1743">
        <f ca="1">ROUND(D14*10000/C14,0)</f>
        <v>209500</v>
      </c>
      <c r="G14" s="1743">
        <f ca="1">结果表!D122</f>
        <v>666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K26" sqref="K26"/>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3368</v>
      </c>
      <c r="D1" s="2416"/>
      <c r="E1" s="2416"/>
      <c r="F1" s="2418" t="s">
        <v>2116</v>
      </c>
      <c r="G1" s="2068" t="s">
        <v>3063</v>
      </c>
      <c r="H1" s="2419" t="str">
        <f>IF(G1="现房","——","估价对象范围")</f>
        <v>——</v>
      </c>
      <c r="I1" s="2420" t="s">
        <v>3435</v>
      </c>
    </row>
    <row r="2" spans="1:12" ht="21.75" customHeight="1" thickBot="1">
      <c r="A2" s="3205" t="str">
        <f>项目基本情况!S2</f>
        <v>江苏省宿迁市宿城区水韵城项目部分商业用途房地产</v>
      </c>
      <c r="B2" s="3206"/>
      <c r="C2" s="3206"/>
      <c r="D2" s="3206"/>
      <c r="E2" s="3206"/>
      <c r="F2" s="3206"/>
      <c r="G2" s="3206"/>
      <c r="H2" s="3206"/>
      <c r="I2" s="3207"/>
    </row>
    <row r="3" spans="1:12" ht="12.75">
      <c r="A3" s="3208" t="s">
        <v>2117</v>
      </c>
      <c r="B3" s="3209"/>
      <c r="C3" s="3209"/>
      <c r="D3" s="3209"/>
      <c r="E3" s="3209"/>
      <c r="F3" s="3209"/>
      <c r="G3" s="3209"/>
      <c r="H3" s="3209"/>
      <c r="I3" s="3209"/>
    </row>
    <row r="4" spans="1:12" ht="14.25">
      <c r="A4" s="2423" t="s">
        <v>2118</v>
      </c>
      <c r="B4" s="2424" t="s">
        <v>2119</v>
      </c>
      <c r="C4" s="2425" t="s">
        <v>3372</v>
      </c>
      <c r="D4" s="2425" t="s">
        <v>3379</v>
      </c>
      <c r="E4" s="3189" t="s">
        <v>2120</v>
      </c>
      <c r="F4" s="3202"/>
      <c r="G4" s="3202"/>
      <c r="H4" s="3202"/>
      <c r="I4" s="3190"/>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80" t="s">
        <v>2121</v>
      </c>
      <c r="B5" s="3106">
        <v>25</v>
      </c>
      <c r="C5" s="3210">
        <v>6</v>
      </c>
      <c r="D5" s="3198">
        <v>15</v>
      </c>
      <c r="E5" s="140" t="s">
        <v>2122</v>
      </c>
      <c r="F5" s="2427"/>
      <c r="G5" s="2427"/>
      <c r="H5" s="2427"/>
      <c r="I5" s="1833"/>
    </row>
    <row r="6" spans="1:12" ht="12.75">
      <c r="A6" s="3180"/>
      <c r="B6" s="3106"/>
      <c r="C6" s="3212"/>
      <c r="D6" s="3198"/>
      <c r="E6" s="140" t="s">
        <v>2123</v>
      </c>
      <c r="F6" s="2427"/>
      <c r="G6" s="2427"/>
      <c r="H6" s="2427"/>
      <c r="I6" s="1833"/>
    </row>
    <row r="7" spans="1:12" ht="12.75">
      <c r="A7" s="3180"/>
      <c r="B7" s="3106"/>
      <c r="C7" s="3211"/>
      <c r="D7" s="3198"/>
      <c r="E7" s="140" t="s">
        <v>2124</v>
      </c>
      <c r="F7" s="2427"/>
      <c r="G7" s="2427"/>
      <c r="H7" s="2427"/>
      <c r="I7" s="1833"/>
    </row>
    <row r="8" spans="1:12" ht="12.75">
      <c r="A8" s="3180" t="s">
        <v>2125</v>
      </c>
      <c r="B8" s="3106">
        <v>15</v>
      </c>
      <c r="C8" s="3210">
        <v>5</v>
      </c>
      <c r="D8" s="3198">
        <v>12</v>
      </c>
      <c r="E8" s="140" t="s">
        <v>2126</v>
      </c>
      <c r="F8" s="2427"/>
      <c r="G8" s="2427"/>
      <c r="H8" s="2427"/>
      <c r="I8" s="1833"/>
    </row>
    <row r="9" spans="1:12" ht="12.75">
      <c r="A9" s="3180"/>
      <c r="B9" s="3106"/>
      <c r="C9" s="3211"/>
      <c r="D9" s="3198"/>
      <c r="E9" s="140" t="s">
        <v>2127</v>
      </c>
      <c r="F9" s="2427"/>
      <c r="G9" s="2427"/>
      <c r="H9" s="2427"/>
      <c r="I9" s="1833"/>
    </row>
    <row r="10" spans="1:12" ht="12.75">
      <c r="A10" s="3180" t="s">
        <v>2128</v>
      </c>
      <c r="B10" s="3106">
        <v>15</v>
      </c>
      <c r="C10" s="3210">
        <v>6</v>
      </c>
      <c r="D10" s="3198">
        <v>12</v>
      </c>
      <c r="E10" s="140" t="s">
        <v>2129</v>
      </c>
      <c r="F10" s="2427"/>
      <c r="G10" s="2427"/>
      <c r="H10" s="2427"/>
      <c r="I10" s="1833"/>
    </row>
    <row r="11" spans="1:12" ht="12.75">
      <c r="A11" s="3180"/>
      <c r="B11" s="3106"/>
      <c r="C11" s="3211"/>
      <c r="D11" s="3198"/>
      <c r="E11" s="140" t="s">
        <v>2130</v>
      </c>
      <c r="F11" s="2427"/>
      <c r="G11" s="2427"/>
      <c r="H11" s="2427"/>
      <c r="I11" s="1833"/>
    </row>
    <row r="12" spans="1:12" ht="12.75">
      <c r="A12" s="3180" t="s">
        <v>2131</v>
      </c>
      <c r="B12" s="3106">
        <v>15</v>
      </c>
      <c r="C12" s="3210">
        <v>8</v>
      </c>
      <c r="D12" s="3198">
        <v>12</v>
      </c>
      <c r="E12" s="140" t="s">
        <v>2132</v>
      </c>
      <c r="F12" s="2427"/>
      <c r="G12" s="2427"/>
      <c r="H12" s="2427"/>
      <c r="I12" s="1833"/>
    </row>
    <row r="13" spans="1:12" ht="12.75">
      <c r="A13" s="3180"/>
      <c r="B13" s="3106"/>
      <c r="C13" s="3211"/>
      <c r="D13" s="3198"/>
      <c r="E13" s="140" t="s">
        <v>2133</v>
      </c>
      <c r="F13" s="2427"/>
      <c r="G13" s="2427"/>
      <c r="H13" s="2427"/>
      <c r="I13" s="1833"/>
    </row>
    <row r="14" spans="1:12" ht="12.75">
      <c r="A14" s="3180" t="s">
        <v>2134</v>
      </c>
      <c r="B14" s="3106">
        <v>30</v>
      </c>
      <c r="C14" s="3210">
        <v>8</v>
      </c>
      <c r="D14" s="3198">
        <v>25</v>
      </c>
      <c r="E14" s="140" t="s">
        <v>2135</v>
      </c>
      <c r="F14" s="2427"/>
      <c r="G14" s="2427"/>
      <c r="H14" s="2427"/>
      <c r="I14" s="1833"/>
    </row>
    <row r="15" spans="1:12" ht="12.75">
      <c r="A15" s="3180"/>
      <c r="B15" s="3106"/>
      <c r="C15" s="3212"/>
      <c r="D15" s="3198"/>
      <c r="E15" s="140" t="s">
        <v>2136</v>
      </c>
      <c r="F15" s="2427"/>
      <c r="G15" s="2427"/>
      <c r="H15" s="2427"/>
      <c r="I15" s="1833"/>
    </row>
    <row r="16" spans="1:12" ht="12.75">
      <c r="A16" s="3180"/>
      <c r="B16" s="3106"/>
      <c r="C16" s="3211"/>
      <c r="D16" s="3198"/>
      <c r="E16" s="140" t="s">
        <v>2137</v>
      </c>
      <c r="F16" s="2427"/>
      <c r="G16" s="2427"/>
      <c r="H16" s="2427"/>
      <c r="I16" s="1833"/>
    </row>
    <row r="17" spans="1:35" ht="15">
      <c r="A17" s="2428" t="s">
        <v>2138</v>
      </c>
      <c r="B17" s="64"/>
      <c r="C17" s="141">
        <f>SUM(C5:C16)</f>
        <v>33</v>
      </c>
      <c r="D17" s="141">
        <f>SUM(D5:D16)</f>
        <v>76</v>
      </c>
      <c r="E17" s="138"/>
      <c r="F17" s="138"/>
      <c r="G17" s="138"/>
      <c r="H17" s="138"/>
      <c r="I17" s="138"/>
      <c r="K17" s="2426"/>
      <c r="L17" s="2429" t="s">
        <v>2139</v>
      </c>
      <c r="M17" s="2429" t="s">
        <v>2140</v>
      </c>
    </row>
    <row r="18" spans="1:35" ht="15.75" thickBot="1">
      <c r="A18" s="2430" t="s">
        <v>2141</v>
      </c>
      <c r="B18" s="2431"/>
      <c r="C18" s="142">
        <f>ROUND(C17/SUM(C17:D17),2)</f>
        <v>0.3</v>
      </c>
      <c r="D18" s="142">
        <f>1-C18</f>
        <v>0.7</v>
      </c>
      <c r="E18" s="138"/>
      <c r="F18" s="138"/>
      <c r="G18" s="138"/>
      <c r="H18" s="138"/>
      <c r="I18" s="138"/>
      <c r="K18" s="2426" t="s">
        <v>2142</v>
      </c>
      <c r="L18" s="2426">
        <f>IF(C1="",'数据-汇总表'!E3,SUMIF(项目类型,C1,'数据-汇总表'!E17:E26)+SUMIF(项目类型,C1,'数据-汇总表'!I17:I26))</f>
        <v>168.91</v>
      </c>
      <c r="M18" s="2426">
        <f>IF(C1="",'数据-汇总表'!E3,SUMIF(项目类型,C1,'数据-汇总表'!E17:E26))</f>
        <v>168.91</v>
      </c>
    </row>
    <row r="19" spans="1:35" ht="15">
      <c r="A19" s="2432" t="s">
        <v>2143</v>
      </c>
      <c r="B19" s="2433" t="s">
        <v>2144</v>
      </c>
      <c r="C19" s="143">
        <f ca="1">SUMIF(INDIRECT("'"&amp;C4&amp;"'"&amp;"!A:A"),结果表!B19,INDIRECT("'"&amp;C4&amp;"'"&amp;"!B:B"))</f>
        <v>342</v>
      </c>
      <c r="D19" s="144">
        <f ca="1">SUMIF(INDIRECT("'"&amp;D4&amp;"'"&amp;"!A:A"),结果表!B19,INDIRECT("'"&amp;D4&amp;"'"&amp;"!B:B"))</f>
        <v>805</v>
      </c>
      <c r="E19" s="2432" t="s">
        <v>2145</v>
      </c>
      <c r="F19" s="2433" t="s">
        <v>2144</v>
      </c>
      <c r="G19" s="145">
        <f ca="1">ROUND(C19*$C$18+D19*$D$18,0)</f>
        <v>666</v>
      </c>
      <c r="H19" s="2434" t="s">
        <v>2146</v>
      </c>
      <c r="I19" s="138"/>
      <c r="K19" s="2426" t="s">
        <v>2147</v>
      </c>
      <c r="L19" s="2426">
        <f>IF(C1="",'数据-汇总表'!D3,SUMIF(项目类型,C1,'数据-汇总表'!D17:D26)+SUMIF(项目类型,C1,'数据-汇总表'!H17:H27))</f>
        <v>31.79</v>
      </c>
      <c r="M19" s="2426">
        <f>IF(C1="",'数据-汇总表'!D3,SUMIF(项目类型,C1,'数据-汇总表'!D17:D26))</f>
        <v>31.79</v>
      </c>
    </row>
    <row r="20" spans="1:35" ht="15">
      <c r="A20" s="2435"/>
      <c r="B20" s="1249" t="s">
        <v>2148</v>
      </c>
      <c r="C20" s="146">
        <f ca="1">SUMIF(INDIRECT("'"&amp;C4&amp;"'"&amp;"!A:A"),结果表!B20,INDIRECT("'"&amp;C4&amp;"'"&amp;"!B:B"))</f>
        <v>20247</v>
      </c>
      <c r="D20" s="147">
        <f ca="1">SUMIF(INDIRECT("'"&amp;D4&amp;"'"&amp;"!A:A"),结果表!B20,INDIRECT("'"&amp;D4&amp;"'"&amp;"!B:B"))</f>
        <v>47633</v>
      </c>
      <c r="E20" s="2435"/>
      <c r="F20" s="1249" t="s">
        <v>2148</v>
      </c>
      <c r="G20" s="148">
        <f ca="1">ROUND(C20*$C$18+D20*$D$18,0)</f>
        <v>39417</v>
      </c>
      <c r="H20" s="982" t="s">
        <v>2149</v>
      </c>
      <c r="I20" s="138"/>
    </row>
    <row r="21" spans="1:35" ht="15" customHeight="1" thickBot="1">
      <c r="A21" s="1002"/>
      <c r="B21" s="2436" t="s">
        <v>2150</v>
      </c>
      <c r="C21" s="788">
        <f ca="1">ROUND(C19*10000/L19,0)</f>
        <v>107581</v>
      </c>
      <c r="D21" s="789">
        <f ca="1">ROUND(D19*10000/L19,0)</f>
        <v>253224</v>
      </c>
      <c r="E21" s="1002"/>
      <c r="F21" s="2436" t="s">
        <v>2150</v>
      </c>
      <c r="G21" s="149">
        <f ca="1">ROUND(G19*10000/L19,0)</f>
        <v>209500</v>
      </c>
      <c r="H21" s="2437" t="s">
        <v>2149</v>
      </c>
      <c r="I21" s="138"/>
    </row>
    <row r="22" spans="1:35" ht="15" thickBot="1">
      <c r="A22" s="2278" t="s">
        <v>2151</v>
      </c>
      <c r="B22" s="2438"/>
      <c r="C22" s="2439"/>
      <c r="D22" s="790">
        <f ca="1">IF(C19&lt;D19,D19/C19-1,C19/D19-1)</f>
        <v>1.3538011695906431</v>
      </c>
      <c r="E22" s="138"/>
      <c r="F22" s="138"/>
      <c r="G22" s="138"/>
      <c r="H22" s="138"/>
      <c r="I22" s="138"/>
    </row>
    <row r="23" spans="1:35" ht="13.5" thickBot="1">
      <c r="A23" s="2416"/>
      <c r="B23" s="2416"/>
      <c r="C23" s="2416"/>
      <c r="D23" s="2416"/>
      <c r="E23" s="138"/>
      <c r="F23" s="138"/>
      <c r="G23" s="138"/>
      <c r="H23" s="138"/>
      <c r="I23" s="138"/>
    </row>
    <row r="24" spans="1:35" ht="14.25">
      <c r="A24" s="3219" t="s">
        <v>2152</v>
      </c>
      <c r="B24" s="2433" t="s">
        <v>2144</v>
      </c>
      <c r="C24" s="145">
        <f>IF(B30=0,0,D30)</f>
        <v>0</v>
      </c>
      <c r="D24" s="2440"/>
      <c r="E24" s="138"/>
      <c r="F24" s="138"/>
      <c r="G24" s="138"/>
      <c r="H24" s="138"/>
      <c r="I24" s="138"/>
    </row>
    <row r="25" spans="1:35" ht="14.25">
      <c r="A25" s="3220"/>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666</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99" t="s">
        <v>2166</v>
      </c>
      <c r="B36" s="2459" t="s">
        <v>2167</v>
      </c>
      <c r="C36" s="154"/>
      <c r="D36" s="2460"/>
      <c r="E36" s="2461"/>
      <c r="F36" s="2462"/>
      <c r="G36" s="138"/>
      <c r="H36" s="138"/>
      <c r="I36" s="138"/>
    </row>
    <row r="37" spans="1:15" ht="15.75" thickBot="1">
      <c r="A37" s="3200"/>
      <c r="B37" s="2264" t="s">
        <v>2168</v>
      </c>
      <c r="C37" s="156"/>
      <c r="D37" s="1394"/>
      <c r="E37" s="1394"/>
      <c r="F37" s="2462"/>
      <c r="G37" s="138"/>
      <c r="H37" s="138"/>
      <c r="I37" s="138"/>
    </row>
    <row r="38" spans="1:15" ht="15.75" thickBot="1">
      <c r="A38" s="3201"/>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16" t="s">
        <v>2180</v>
      </c>
      <c r="B45" s="3217"/>
      <c r="C45" s="3218"/>
      <c r="D45" s="164">
        <f ca="1">ROUND(H101*F45,0)</f>
        <v>666</v>
      </c>
      <c r="E45" s="165" t="s">
        <v>2181</v>
      </c>
      <c r="F45" s="166">
        <v>1</v>
      </c>
      <c r="G45" s="167" t="s">
        <v>2182</v>
      </c>
      <c r="H45" s="138"/>
      <c r="I45" s="138"/>
      <c r="J45" s="3135" t="s">
        <v>2183</v>
      </c>
      <c r="K45" s="3135"/>
      <c r="L45" s="3135"/>
      <c r="M45" s="3135"/>
      <c r="N45" s="3135"/>
      <c r="O45" s="3135"/>
    </row>
    <row r="46" spans="1:15" ht="14.25" customHeight="1">
      <c r="A46" s="3213" t="s">
        <v>2184</v>
      </c>
      <c r="B46" s="3214"/>
      <c r="C46" s="3214"/>
      <c r="D46" s="3214"/>
      <c r="E46" s="3214"/>
      <c r="F46" s="3214"/>
      <c r="G46" s="3215"/>
      <c r="H46" s="2478"/>
      <c r="I46" s="168"/>
      <c r="J46" s="1811">
        <v>1</v>
      </c>
      <c r="K46" s="3135" t="s">
        <v>2185</v>
      </c>
      <c r="L46" s="3135"/>
      <c r="M46" s="3136"/>
      <c r="N46" s="3136"/>
      <c r="O46" s="3136"/>
    </row>
    <row r="47" spans="1:15" ht="12" customHeight="1">
      <c r="A47" s="169" t="s">
        <v>2186</v>
      </c>
      <c r="B47" s="170"/>
      <c r="C47" s="171"/>
      <c r="D47" s="172" t="s">
        <v>2187</v>
      </c>
      <c r="E47" s="24" t="s">
        <v>2188</v>
      </c>
      <c r="F47" s="173" t="s">
        <v>2189</v>
      </c>
      <c r="G47" s="174" t="s">
        <v>2190</v>
      </c>
      <c r="H47" s="2478"/>
      <c r="I47" s="168"/>
      <c r="J47" s="1811">
        <v>2</v>
      </c>
      <c r="K47" s="3135" t="s">
        <v>2191</v>
      </c>
      <c r="L47" s="3135"/>
      <c r="M47" s="3137">
        <f>'数据-取费表'!B2</f>
        <v>43202</v>
      </c>
      <c r="N47" s="3137"/>
      <c r="O47" s="3137"/>
    </row>
    <row r="48" spans="1:15" ht="25.5">
      <c r="A48" s="3203" t="s">
        <v>2192</v>
      </c>
      <c r="B48" s="3204"/>
      <c r="C48" s="3204"/>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135" t="s">
        <v>2195</v>
      </c>
      <c r="L48" s="3135"/>
      <c r="M48" s="3138">
        <f ca="1">H101</f>
        <v>666</v>
      </c>
      <c r="N48" s="3138"/>
      <c r="O48" s="3138"/>
    </row>
    <row r="49" spans="1:35" ht="25.5" customHeight="1">
      <c r="A49" s="176" t="s">
        <v>2196</v>
      </c>
      <c r="B49" s="3183" t="s">
        <v>2197</v>
      </c>
      <c r="C49" s="3183"/>
      <c r="D49" s="177">
        <v>0</v>
      </c>
      <c r="E49" s="23" t="s">
        <v>2198</v>
      </c>
      <c r="F49" s="28" t="s">
        <v>34</v>
      </c>
      <c r="G49" s="3164"/>
      <c r="H49" s="138"/>
      <c r="I49" s="2481"/>
      <c r="J49" s="1811">
        <v>4</v>
      </c>
      <c r="K49" s="3135" t="str">
        <f>IF(项目基本情况!E8="房地产抵押价值","房地产抵押价值","抵押担保权已注销时的房地产抵押价值")</f>
        <v>房地产抵押价值</v>
      </c>
      <c r="L49" s="3135"/>
      <c r="M49" s="3138">
        <f ca="1">IF(项目基本情况!E8="房地产抵押价值",H107,H109)</f>
        <v>666</v>
      </c>
      <c r="N49" s="3138"/>
      <c r="O49" s="3138"/>
    </row>
    <row r="50" spans="1:35" ht="25.5" customHeight="1">
      <c r="A50" s="178"/>
      <c r="B50" s="3183" t="s">
        <v>2199</v>
      </c>
      <c r="C50" s="3183"/>
      <c r="D50" s="179"/>
      <c r="E50" s="31"/>
      <c r="F50" s="180"/>
      <c r="G50" s="3165"/>
      <c r="H50" s="138"/>
      <c r="I50" s="2481"/>
      <c r="J50" s="3135" t="s">
        <v>2200</v>
      </c>
      <c r="K50" s="3135"/>
      <c r="L50" s="3135"/>
      <c r="M50" s="3135"/>
      <c r="N50" s="3135"/>
      <c r="O50" s="3135"/>
    </row>
    <row r="51" spans="1:35" ht="12" customHeight="1">
      <c r="A51" s="181"/>
      <c r="B51" s="3183" t="s">
        <v>2201</v>
      </c>
      <c r="C51" s="3183"/>
      <c r="D51" s="182"/>
      <c r="E51" s="30"/>
      <c r="F51" s="180"/>
      <c r="G51" s="3166"/>
      <c r="H51" s="138"/>
      <c r="I51" s="2481"/>
      <c r="J51" s="2482" t="s">
        <v>2202</v>
      </c>
      <c r="K51" s="3135" t="s">
        <v>2203</v>
      </c>
      <c r="L51" s="3135"/>
      <c r="M51" s="2482" t="s">
        <v>2204</v>
      </c>
      <c r="N51" s="2482" t="s">
        <v>2205</v>
      </c>
      <c r="O51" s="2482" t="s">
        <v>2206</v>
      </c>
    </row>
    <row r="52" spans="1:35" ht="24" customHeight="1">
      <c r="A52" s="183" t="s">
        <v>2207</v>
      </c>
      <c r="B52" s="3183" t="s">
        <v>2208</v>
      </c>
      <c r="C52" s="3183"/>
      <c r="D52" s="182">
        <f ca="1">ROUND(D45*'数据-取费表'!B41/(1+'数据-取费表'!C42),0)</f>
        <v>36</v>
      </c>
      <c r="E52" s="11" t="s">
        <v>2209</v>
      </c>
      <c r="F52" s="184">
        <f>'数据-取费表'!B41</f>
        <v>5.6000000000000001E-2</v>
      </c>
      <c r="G52" s="2483"/>
      <c r="H52" s="138"/>
      <c r="I52" s="2481"/>
      <c r="J52" s="1811">
        <v>1</v>
      </c>
      <c r="K52" s="3158" t="s">
        <v>2210</v>
      </c>
      <c r="L52" s="3158"/>
      <c r="M52" s="1753">
        <f>D48</f>
        <v>0</v>
      </c>
      <c r="N52" s="1811" t="str">
        <f>E48</f>
        <v>销售额×税（费）率</v>
      </c>
      <c r="O52" s="1754" t="str">
        <f>F48</f>
        <v>免征</v>
      </c>
    </row>
    <row r="53" spans="1:35" ht="12" customHeight="1">
      <c r="A53" s="183" t="s">
        <v>2211</v>
      </c>
      <c r="B53" s="3184" t="s">
        <v>2212</v>
      </c>
      <c r="C53" s="3185"/>
      <c r="D53" s="182">
        <f ca="1">ROUND(D45*'数据-取费表'!B41/(1+'数据-取费表'!C42),0)</f>
        <v>36</v>
      </c>
      <c r="E53" s="11" t="s">
        <v>2209</v>
      </c>
      <c r="F53" s="184">
        <f>'数据-取费表'!B41</f>
        <v>5.6000000000000001E-2</v>
      </c>
      <c r="G53" s="2483"/>
      <c r="H53" s="138"/>
      <c r="I53" s="2481"/>
      <c r="J53" s="1811">
        <v>2</v>
      </c>
      <c r="K53" s="3158" t="s">
        <v>2213</v>
      </c>
      <c r="L53" s="3158"/>
      <c r="M53" s="1753">
        <f t="shared" ref="M53:O54" ca="1" si="0">D55</f>
        <v>0</v>
      </c>
      <c r="N53" s="1811" t="str">
        <f t="shared" si="0"/>
        <v>销售额×税（费）率</v>
      </c>
      <c r="O53" s="1754">
        <f t="shared" si="0"/>
        <v>5.0000000000000001E-4</v>
      </c>
    </row>
    <row r="54" spans="1:35" ht="12" customHeight="1">
      <c r="A54" s="183" t="s">
        <v>2214</v>
      </c>
      <c r="B54" s="3184" t="s">
        <v>2215</v>
      </c>
      <c r="C54" s="3185"/>
      <c r="D54" s="182">
        <f ca="1">C68</f>
        <v>36</v>
      </c>
      <c r="E54" s="30" t="s">
        <v>2216</v>
      </c>
      <c r="F54" s="184">
        <f>'数据-取费表'!B41</f>
        <v>5.6000000000000001E-2</v>
      </c>
      <c r="G54" s="2483"/>
      <c r="H54" s="2484"/>
      <c r="I54" s="2481"/>
      <c r="J54" s="1811">
        <v>3</v>
      </c>
      <c r="K54" s="3158" t="s">
        <v>2217</v>
      </c>
      <c r="L54" s="3158"/>
      <c r="M54" s="1753">
        <f t="shared" ca="1" si="0"/>
        <v>377</v>
      </c>
      <c r="N54" s="1811" t="str">
        <f t="shared" si="0"/>
        <v>增值额×税（费）率</v>
      </c>
      <c r="O54" s="1755" t="str">
        <f t="shared" si="0"/>
        <v>——</v>
      </c>
    </row>
    <row r="55" spans="1:35" ht="24" customHeight="1">
      <c r="A55" s="3222" t="s">
        <v>2218</v>
      </c>
      <c r="B55" s="3204"/>
      <c r="C55" s="3204"/>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158" t="str">
        <f>IF(H59="非个人房产","——","个人所得税")</f>
        <v>——</v>
      </c>
      <c r="L55" s="3158"/>
      <c r="M55" s="1756" t="str">
        <f>D59</f>
        <v>——</v>
      </c>
      <c r="N55" s="1809" t="str">
        <f>E59</f>
        <v>——</v>
      </c>
      <c r="O55" s="1757" t="str">
        <f>F59</f>
        <v>——</v>
      </c>
    </row>
    <row r="56" spans="1:35" ht="24.75">
      <c r="A56" s="3222" t="s">
        <v>2221</v>
      </c>
      <c r="B56" s="3204"/>
      <c r="C56" s="3204"/>
      <c r="D56" s="185">
        <f ca="1">IF(H56="个人住宅",D57,D58)</f>
        <v>377</v>
      </c>
      <c r="E56" s="11" t="s">
        <v>2222</v>
      </c>
      <c r="F56" s="184" t="str">
        <f>IF(H56="正常",F58,"免征")</f>
        <v>——</v>
      </c>
      <c r="G56" s="2485" t="s">
        <v>2223</v>
      </c>
      <c r="H56" s="2486" t="s">
        <v>2220</v>
      </c>
      <c r="I56" s="2487"/>
      <c r="J56" s="1811" t="str">
        <f>IF(项目基本情况!K6="上海银行",IF(J55="",4,J55+1),"")</f>
        <v/>
      </c>
      <c r="K56" s="3141" t="str">
        <f>IF(项目基本情况!K6="上海银行","其他处置费用","")</f>
        <v/>
      </c>
      <c r="L56" s="3142"/>
      <c r="M56" s="1753" t="str">
        <f>IF(项目基本情况!K6="上海银行",M69,"")</f>
        <v/>
      </c>
      <c r="N56" s="3144" t="str">
        <f>IF(项目基本情况!K6="上海银行","包含处置中涉及的律师、诉讼、拍卖、评估等费用","")</f>
        <v/>
      </c>
      <c r="O56" s="3145"/>
    </row>
    <row r="57" spans="1:35" ht="12.75">
      <c r="A57" s="183" t="s">
        <v>2196</v>
      </c>
      <c r="B57" s="3189" t="s">
        <v>2224</v>
      </c>
      <c r="C57" s="3190"/>
      <c r="D57" s="187">
        <v>0</v>
      </c>
      <c r="E57" s="23" t="s">
        <v>2198</v>
      </c>
      <c r="F57" s="155"/>
      <c r="G57" s="2483"/>
      <c r="H57" s="2487"/>
      <c r="I57" s="2487"/>
      <c r="J57" s="3158">
        <f>IF(AND(J55="",J56=""),4,IF(项目基本情况!K6="上海银行",结果表!J56+1,结果表!J55+1))</f>
        <v>4</v>
      </c>
      <c r="K57" s="3158" t="s">
        <v>2225</v>
      </c>
      <c r="L57" s="2488" t="s">
        <v>2226</v>
      </c>
      <c r="M57" s="1758"/>
      <c r="N57" s="1759">
        <f ca="1">SUMIF(M52:M56,"&lt;9e307")</f>
        <v>377</v>
      </c>
      <c r="O57" s="2489"/>
      <c r="P57" s="1752">
        <f ca="1">N57/M49</f>
        <v>0.56606606606606602</v>
      </c>
    </row>
    <row r="58" spans="1:35" ht="24.75">
      <c r="A58" s="183" t="s">
        <v>2207</v>
      </c>
      <c r="B58" s="3189" t="s">
        <v>2227</v>
      </c>
      <c r="C58" s="3202"/>
      <c r="D58" s="185">
        <f ca="1">IF(H58="转让取得",C81,C97)</f>
        <v>377</v>
      </c>
      <c r="E58" s="11" t="s">
        <v>2222</v>
      </c>
      <c r="F58" s="24" t="s">
        <v>34</v>
      </c>
      <c r="G58" s="2483"/>
      <c r="H58" s="2486" t="s">
        <v>2228</v>
      </c>
      <c r="I58" s="2487"/>
      <c r="J58" s="3158"/>
      <c r="K58" s="3158"/>
      <c r="L58" s="2488" t="s">
        <v>2229</v>
      </c>
      <c r="M58" s="1760"/>
      <c r="N58" s="2490" t="str">
        <f ca="1">NUMBERSTRING(INT(N57*10000),2)&amp;"元整"</f>
        <v>叁佰柒拾柒万元整</v>
      </c>
      <c r="O58" s="2491"/>
    </row>
    <row r="59" spans="1:35" ht="24.75" thickBot="1">
      <c r="A59" s="3162" t="s">
        <v>2230</v>
      </c>
      <c r="B59" s="3163"/>
      <c r="C59" s="3163"/>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60">
        <f>J57+1</f>
        <v>5</v>
      </c>
      <c r="K59" s="3158" t="s">
        <v>2232</v>
      </c>
      <c r="L59" s="1811" t="s">
        <v>2226</v>
      </c>
      <c r="M59" s="1761"/>
      <c r="N59" s="1762">
        <f ca="1">M49-N57</f>
        <v>289</v>
      </c>
      <c r="O59" s="2493"/>
    </row>
    <row r="60" spans="1:35" ht="12" customHeight="1">
      <c r="A60" s="2494"/>
      <c r="B60" s="2416"/>
      <c r="C60" s="2416"/>
      <c r="D60" s="2416"/>
      <c r="E60" s="2163"/>
      <c r="F60" s="2487"/>
      <c r="G60" s="2487"/>
      <c r="H60" s="2495"/>
      <c r="I60" s="138"/>
      <c r="J60" s="3161"/>
      <c r="K60" s="3158"/>
      <c r="L60" s="2488" t="s">
        <v>2229</v>
      </c>
      <c r="M60" s="1760"/>
      <c r="N60" s="2490" t="str">
        <f ca="1">NUMBERSTRING(INT(N59*10000),2)&amp;"元整"</f>
        <v>贰佰捌拾玖万元整</v>
      </c>
      <c r="O60" s="2491"/>
    </row>
    <row r="61" spans="1:35" ht="13.5" thickBot="1">
      <c r="A61" s="3221" t="s">
        <v>2233</v>
      </c>
      <c r="B61" s="3221"/>
      <c r="C61" s="3221"/>
      <c r="D61" s="3221"/>
      <c r="E61" s="3221"/>
      <c r="F61" s="2487"/>
      <c r="G61" s="2487"/>
      <c r="H61" s="2495"/>
      <c r="I61" s="138"/>
      <c r="J61" s="1811">
        <f>J59+1</f>
        <v>6</v>
      </c>
      <c r="K61" s="3158" t="s">
        <v>2234</v>
      </c>
      <c r="L61" s="3158"/>
      <c r="M61" s="1763"/>
      <c r="N61" s="1764">
        <f ca="1">ROUND(N59*10000/'数据-汇总表'!E3,0)</f>
        <v>598</v>
      </c>
      <c r="O61" s="2496"/>
    </row>
    <row r="62" spans="1:35" ht="12.75">
      <c r="A62" s="3178" t="s">
        <v>2235</v>
      </c>
      <c r="B62" s="3179"/>
      <c r="C62" s="1803"/>
      <c r="D62" s="1803" t="s">
        <v>2236</v>
      </c>
      <c r="E62" s="192" t="s">
        <v>2237</v>
      </c>
      <c r="F62" s="2487"/>
      <c r="G62" s="2487"/>
      <c r="H62" s="2495"/>
      <c r="I62" s="138"/>
    </row>
    <row r="63" spans="1:35" ht="12.75">
      <c r="A63" s="203" t="s">
        <v>775</v>
      </c>
      <c r="B63" s="193" t="s">
        <v>2238</v>
      </c>
      <c r="C63" s="194">
        <f ca="1">ROUND((C64+C65)/(1+'数据-取费表'!C42),0)</f>
        <v>634</v>
      </c>
      <c r="D63" s="195"/>
      <c r="E63" s="196"/>
      <c r="F63" s="2487"/>
      <c r="G63" s="2487"/>
      <c r="H63" s="2495"/>
      <c r="I63" s="138"/>
      <c r="J63" s="3143" t="s">
        <v>2239</v>
      </c>
      <c r="K63" s="2497" t="s">
        <v>2240</v>
      </c>
      <c r="L63" s="1751">
        <f ca="1">IF(M49&gt;10000,M49*0.5%,IF(AND(M49&gt;1000,M49&lt;=10000),M49*1%,IF(AND(M49&gt;100,M49&lt;=1000),M49*3%,IF(AND(M49&gt;10,M49&lt;=100),M49*5%,M49*8%))))</f>
        <v>19.98</v>
      </c>
      <c r="M63" s="24">
        <f ca="1">ROUND(L63,1)</f>
        <v>20</v>
      </c>
      <c r="Z63" s="2421"/>
      <c r="AI63" s="2422"/>
    </row>
    <row r="64" spans="1:35" ht="14.25" customHeight="1">
      <c r="A64" s="197" t="s">
        <v>770</v>
      </c>
      <c r="B64" s="198" t="s">
        <v>2241</v>
      </c>
      <c r="C64" s="199">
        <f ca="1">D45</f>
        <v>666</v>
      </c>
      <c r="D64" s="200" t="s">
        <v>32</v>
      </c>
      <c r="E64" s="201"/>
      <c r="F64" s="2487"/>
      <c r="G64" s="2487"/>
      <c r="H64" s="2495"/>
      <c r="I64" s="138"/>
      <c r="J64" s="3143"/>
      <c r="K64" s="2497" t="s">
        <v>2242</v>
      </c>
      <c r="L64" s="1751">
        <f ca="1">IF(M49&gt;2000,M49*0.5%,IF(AND(M49&gt;1000,M49&lt;=2000),M49*0.6%,IF(AND(M49&gt;500,M49&lt;=1000),M49*0.7%,IF(AND(M49&gt;200,M49&lt;=500),M49*0.8%,IF(AND(M49&gt;100,M49&lt;=200),M49*0.9%,IF(AND(M49&gt;50,M49&lt;=100),M49*1%,IF(AND(M49&gt;20,M49&lt;=50),M49*1.5%,IF(AND(M49&gt;10,M49&lt;=20),M49*2%,IF(AND(M49&gt;1,M49&lt;=10),M49*2.5%)))))))))</f>
        <v>4.6619999999999999</v>
      </c>
      <c r="M64" s="24">
        <f t="shared" ref="M64:M65" ca="1" si="1">ROUND(L64,1)</f>
        <v>4.7</v>
      </c>
      <c r="N64" s="138" t="s">
        <v>2243</v>
      </c>
      <c r="Z64" s="2421"/>
      <c r="AI64" s="2422"/>
    </row>
    <row r="65" spans="1:35" ht="14.25" customHeight="1">
      <c r="A65" s="197" t="s">
        <v>771</v>
      </c>
      <c r="B65" s="198" t="s">
        <v>2244</v>
      </c>
      <c r="C65" s="202"/>
      <c r="D65" s="200"/>
      <c r="E65" s="201"/>
      <c r="F65" s="2487"/>
      <c r="G65" s="2487"/>
      <c r="H65" s="2495"/>
      <c r="I65" s="138"/>
      <c r="J65" s="3143"/>
      <c r="K65" s="2497" t="s">
        <v>2245</v>
      </c>
      <c r="L65" s="1751">
        <f ca="1">IF(M49&gt;1000,M49*0.1%,IF(AND(M49&gt;500,M49&lt;=1000),M49*0.5%,IF(AND(M49&gt;50,M49&lt;=500),M49*1%,IF(AND(M49&gt;1,M49&lt;=50),M49*1.5%))))</f>
        <v>3.33</v>
      </c>
      <c r="M65" s="24">
        <f t="shared" ca="1" si="1"/>
        <v>3.3</v>
      </c>
      <c r="N65" s="138" t="s">
        <v>2243</v>
      </c>
      <c r="Z65" s="2421"/>
      <c r="AI65" s="2422"/>
    </row>
    <row r="66" spans="1:35" ht="14.25" customHeight="1">
      <c r="A66" s="203" t="s">
        <v>772</v>
      </c>
      <c r="B66" s="204" t="s">
        <v>2246</v>
      </c>
      <c r="C66" s="205"/>
      <c r="D66" s="206" t="s">
        <v>32</v>
      </c>
      <c r="E66" s="1775" t="s">
        <v>1371</v>
      </c>
      <c r="F66" s="2487"/>
      <c r="G66" s="2487"/>
      <c r="H66" s="2495"/>
      <c r="I66" s="138"/>
      <c r="J66" s="3143"/>
      <c r="K66" s="2497" t="s">
        <v>2247</v>
      </c>
      <c r="L66" s="1751">
        <f ca="1">M49*0.5%</f>
        <v>3.33</v>
      </c>
      <c r="M66" s="24">
        <f ca="1">IF(L66&gt;0.5,0.5,ROUND(L66,0))</f>
        <v>0.5</v>
      </c>
      <c r="N66" s="138" t="s">
        <v>2248</v>
      </c>
      <c r="Z66" s="2421"/>
      <c r="AI66" s="2422"/>
    </row>
    <row r="67" spans="1:35" ht="14.25" customHeight="1">
      <c r="A67" s="203" t="s">
        <v>773</v>
      </c>
      <c r="B67" s="204" t="s">
        <v>2249</v>
      </c>
      <c r="C67" s="207">
        <f ca="1">C63-C66</f>
        <v>634</v>
      </c>
      <c r="D67" s="200" t="s">
        <v>32</v>
      </c>
      <c r="E67" s="201"/>
      <c r="F67" s="2487"/>
      <c r="G67" s="2487"/>
      <c r="H67" s="2495"/>
      <c r="I67" s="138"/>
      <c r="J67" s="3143"/>
      <c r="K67" s="2497" t="s">
        <v>2250</v>
      </c>
      <c r="L67" s="1751">
        <f ca="1">IF(M49&gt;=10000,(8.25+(M49-10000)*0.01%),IF(AND(M49&gt;=8000,M49&lt;10000),(7.85+(M49-8000)*0.02%),IF(AND(M49&gt;=5000,M49&lt;8000),(6.65+(M49-5000)*0.04%),IF(AND(M49&gt;=2000,M49&lt;5000),(4.25+(PM49-2000)*0.08%),IF(AND(M49&gt;=1000,M49&lt;2000),(2.75+(M49-1000)*0.15%),IF(AND(M49&gt;=100,M49&lt;1000),(0.5+(M49-100)*0.25%),IF(AND(M49&gt;0,M49&lt;100),M49*0.5%)))))))</f>
        <v>1.915</v>
      </c>
      <c r="M67" s="24">
        <f ca="1">ROUND(L67*0.9,1)</f>
        <v>1.7</v>
      </c>
      <c r="Z67" s="2421"/>
      <c r="AI67" s="2422"/>
    </row>
    <row r="68" spans="1:35" ht="14.25" customHeight="1" thickBot="1">
      <c r="A68" s="208" t="s">
        <v>774</v>
      </c>
      <c r="B68" s="209" t="s">
        <v>2251</v>
      </c>
      <c r="C68" s="210">
        <f ca="1">IF(C67&lt;=0,0,ROUND(C67*D68,0))</f>
        <v>36</v>
      </c>
      <c r="D68" s="211">
        <f>'数据-取费表'!B41</f>
        <v>5.6000000000000001E-2</v>
      </c>
      <c r="E68" s="212"/>
      <c r="F68" s="2487"/>
      <c r="G68" s="2487"/>
      <c r="H68" s="2495"/>
      <c r="I68" s="138"/>
      <c r="J68" s="3143"/>
      <c r="K68" s="2497" t="s">
        <v>2252</v>
      </c>
      <c r="L68" s="1751">
        <f ca="1">IF(M49&gt;10000,M49*0.5%,IF(AND(M49&gt;5000,M49&lt;=10000),M49*1%,IF(AND(M49&gt;1000,M49&lt;=5000),M49*2%,IF(AND(M49&gt;200,M49&lt;=1000),M49*3%,M49*5%))))</f>
        <v>19.98</v>
      </c>
      <c r="M68" s="24">
        <f ca="1">ROUND(L68,1)</f>
        <v>20</v>
      </c>
      <c r="Z68" s="2421"/>
      <c r="AI68" s="2422"/>
    </row>
    <row r="69" spans="1:35" s="2444" customFormat="1" ht="16.5" customHeight="1">
      <c r="A69" s="2498"/>
      <c r="B69" s="2499"/>
      <c r="C69" s="2500"/>
      <c r="D69" s="2501"/>
      <c r="E69" s="2502"/>
      <c r="F69" s="2163"/>
      <c r="G69" s="2163"/>
      <c r="H69" s="2162"/>
      <c r="I69" s="2416"/>
      <c r="J69" s="3143"/>
      <c r="K69" s="2497" t="s">
        <v>2253</v>
      </c>
      <c r="L69" s="2503"/>
      <c r="M69" s="24">
        <f ca="1">ROUND(SUM(M63:M68),0)</f>
        <v>50</v>
      </c>
      <c r="N69" s="1752">
        <f ca="1">M69/M49</f>
        <v>7.5075075075075076E-2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87" t="s">
        <v>2254</v>
      </c>
      <c r="B70" s="3188"/>
      <c r="C70" s="3188"/>
      <c r="D70" s="3188"/>
      <c r="E70" s="3188"/>
      <c r="F70" s="3188"/>
      <c r="G70" s="3188"/>
      <c r="H70" s="318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78" t="s">
        <v>2235</v>
      </c>
      <c r="B71" s="3179"/>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634</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4</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84" t="s">
        <v>2263</v>
      </c>
      <c r="F76" s="3183"/>
      <c r="G76" s="3183"/>
      <c r="H76" s="318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4</v>
      </c>
      <c r="D78" s="226">
        <f>'数据-取费表'!B43</f>
        <v>6.000000000000001E-3</v>
      </c>
      <c r="E78" s="3175" t="s">
        <v>2268</v>
      </c>
      <c r="F78" s="3176"/>
      <c r="G78" s="3176"/>
      <c r="H78" s="317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630</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157.5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377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87" t="s">
        <v>2272</v>
      </c>
      <c r="B83" s="3188"/>
      <c r="C83" s="3188"/>
      <c r="D83" s="3188"/>
      <c r="E83" s="3188"/>
      <c r="F83" s="3188"/>
      <c r="G83" s="3188"/>
      <c r="H83" s="318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78" t="s">
        <v>2235</v>
      </c>
      <c r="B84" s="3179"/>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634</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4</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75" t="s">
        <v>2281</v>
      </c>
      <c r="F91" s="3176"/>
      <c r="G91" s="3176"/>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75" t="s">
        <v>2285</v>
      </c>
      <c r="F92" s="3176"/>
      <c r="G92" s="3176"/>
      <c r="H92" s="317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4</v>
      </c>
      <c r="D93" s="226">
        <f>'数据-取费表'!B43</f>
        <v>6.000000000000001E-3</v>
      </c>
      <c r="E93" s="3175" t="s">
        <v>2268</v>
      </c>
      <c r="F93" s="3176"/>
      <c r="G93" s="3176"/>
      <c r="H93" s="317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23" t="s">
        <v>2289</v>
      </c>
      <c r="F94" s="3224"/>
      <c r="G94" s="3224"/>
      <c r="H94" s="322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630</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157.5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377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27" t="s">
        <v>2291</v>
      </c>
      <c r="B100" s="3128"/>
      <c r="C100" s="3128"/>
      <c r="D100" s="3159"/>
      <c r="E100" s="3128" t="s">
        <v>2292</v>
      </c>
      <c r="F100" s="3128"/>
      <c r="G100" s="3128"/>
      <c r="H100" s="3159"/>
      <c r="I100" s="138"/>
    </row>
    <row r="101" spans="1:35" ht="18.75" customHeight="1">
      <c r="A101" s="3167" t="s">
        <v>2293</v>
      </c>
      <c r="B101" s="3168"/>
      <c r="C101" s="735" t="str">
        <f>C4</f>
        <v>收益法</v>
      </c>
      <c r="D101" s="736" t="str">
        <f>D4</f>
        <v>比较法-商业</v>
      </c>
      <c r="E101" s="3139" t="s">
        <v>2294</v>
      </c>
      <c r="F101" s="3140"/>
      <c r="G101" s="2518" t="s">
        <v>2295</v>
      </c>
      <c r="H101" s="1047">
        <f ca="1">H118</f>
        <v>666</v>
      </c>
      <c r="I101" s="138"/>
    </row>
    <row r="102" spans="1:35" ht="18.75" customHeight="1">
      <c r="A102" s="3169" t="s">
        <v>2296</v>
      </c>
      <c r="B102" s="2518" t="s">
        <v>2295</v>
      </c>
      <c r="C102" s="735">
        <f ca="1">C19</f>
        <v>342</v>
      </c>
      <c r="D102" s="736">
        <f ca="1">D19</f>
        <v>805</v>
      </c>
      <c r="E102" s="3139"/>
      <c r="F102" s="3140"/>
      <c r="G102" s="2518" t="s">
        <v>2297</v>
      </c>
      <c r="H102" s="371">
        <f ca="1">I118</f>
        <v>39429</v>
      </c>
      <c r="I102" s="138"/>
    </row>
    <row r="103" spans="1:35" ht="42.75" customHeight="1">
      <c r="A103" s="3169"/>
      <c r="B103" s="2518" t="s">
        <v>2297</v>
      </c>
      <c r="C103" s="737">
        <f ca="1">C20</f>
        <v>20247</v>
      </c>
      <c r="D103" s="738">
        <f ca="1">D20</f>
        <v>47633</v>
      </c>
      <c r="E103" s="3133" t="s">
        <v>2298</v>
      </c>
      <c r="F103" s="3134"/>
      <c r="G103" s="2519" t="s">
        <v>2299</v>
      </c>
      <c r="H103" s="1047">
        <f>IF(D36="正常操作",H104+H105+H106,H105+H106)</f>
        <v>0</v>
      </c>
      <c r="I103" s="138"/>
    </row>
    <row r="104" spans="1:35" ht="18.75" customHeight="1">
      <c r="A104" s="3169" t="s">
        <v>2300</v>
      </c>
      <c r="B104" s="2520" t="s">
        <v>2295</v>
      </c>
      <c r="C104" s="739">
        <f ca="1">H118</f>
        <v>666</v>
      </c>
      <c r="D104" s="740"/>
      <c r="E104" s="2264" t="s">
        <v>2301</v>
      </c>
      <c r="F104" s="2255"/>
      <c r="G104" s="2519" t="s">
        <v>2299</v>
      </c>
      <c r="H104" s="1048">
        <f>IF(D36="同一抵押权人同一抵押物续贷",C36&amp;"（未扣减，详见特别提示）",C36)</f>
        <v>0</v>
      </c>
      <c r="I104" s="138"/>
    </row>
    <row r="105" spans="1:35" ht="18.75" customHeight="1" thickBot="1">
      <c r="A105" s="3181"/>
      <c r="B105" s="2521" t="s">
        <v>2297</v>
      </c>
      <c r="C105" s="741">
        <f ca="1">I118</f>
        <v>39429</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170" t="str">
        <f>IF(项目基本情况!E8="已注销","——","3.房地产抵押价值")</f>
        <v>3.房地产抵押价值</v>
      </c>
      <c r="F107" s="3140"/>
      <c r="G107" s="2518" t="s">
        <v>2295</v>
      </c>
      <c r="H107" s="1047">
        <f ca="1">IF(E107="——","——",H101-H103)</f>
        <v>666</v>
      </c>
      <c r="I107" s="138"/>
    </row>
    <row r="108" spans="1:35" ht="18.75" customHeight="1">
      <c r="A108" s="138"/>
      <c r="B108" s="138"/>
      <c r="C108" s="138"/>
      <c r="D108" s="138"/>
      <c r="E108" s="3170"/>
      <c r="F108" s="3140"/>
      <c r="G108" s="2518" t="s">
        <v>2297</v>
      </c>
      <c r="H108" s="371">
        <f ca="1">ROUND(H107*10000/'数据-汇总表'!E3,0)</f>
        <v>1378</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40"/>
      <c r="G109" s="2518" t="s">
        <v>2295</v>
      </c>
      <c r="H109" s="348" t="str">
        <f>IF(E109="——","——",H101-H105-H106)</f>
        <v>——</v>
      </c>
      <c r="I109" s="138"/>
    </row>
    <row r="110" spans="1:35" ht="18.75" customHeight="1">
      <c r="A110" s="138"/>
      <c r="B110" s="138"/>
      <c r="C110" s="138"/>
      <c r="D110" s="138"/>
      <c r="E110" s="3170"/>
      <c r="F110" s="3140"/>
      <c r="G110" s="2518" t="s">
        <v>2297</v>
      </c>
      <c r="H110" s="371" t="str">
        <f>IF(H109="——","——",ROUND(H109*10000/'数据-汇总表'!E3,0))</f>
        <v>——</v>
      </c>
      <c r="I110" s="138"/>
    </row>
    <row r="111" spans="1:35" ht="18.75" customHeight="1">
      <c r="A111" s="138"/>
      <c r="B111" s="138"/>
      <c r="C111" s="138"/>
      <c r="D111" s="138"/>
      <c r="E111" s="3171" t="str">
        <f>IF(项目基本情况!E9="抵押净值",IF(OR(项目基本情况!E8="已注销",项目基本情况!E8="房地产抵押价值"),"4.抵押净值","5.抵押净值"),"——")</f>
        <v>——</v>
      </c>
      <c r="F111" s="3172"/>
      <c r="G111" s="2518" t="s">
        <v>2295</v>
      </c>
      <c r="H111" s="1047" t="str">
        <f>IF(E111="——","——",N59)</f>
        <v>——</v>
      </c>
      <c r="I111" s="138"/>
    </row>
    <row r="112" spans="1:35" ht="18.75" customHeight="1" thickBot="1">
      <c r="A112" s="138"/>
      <c r="B112" s="138"/>
      <c r="C112" s="138"/>
      <c r="D112" s="138"/>
      <c r="E112" s="3173"/>
      <c r="F112" s="3174"/>
      <c r="G112" s="2523" t="s">
        <v>2297</v>
      </c>
      <c r="H112" s="789" t="str">
        <f>IF(E111="——","——",N61)</f>
        <v>——</v>
      </c>
      <c r="I112" s="138"/>
    </row>
    <row r="113" spans="1:11" ht="18.75" customHeight="1">
      <c r="A113" s="138"/>
      <c r="B113" s="138"/>
      <c r="C113" s="138"/>
      <c r="D113" s="138"/>
      <c r="E113" s="3182" t="s">
        <v>2303</v>
      </c>
      <c r="F113" s="3182"/>
      <c r="G113" s="3182"/>
      <c r="H113" s="3182"/>
      <c r="I113" s="138"/>
    </row>
    <row r="114" spans="1:11" ht="3.75" customHeight="1">
      <c r="A114" s="2416"/>
      <c r="B114" s="2416"/>
      <c r="C114" s="2416"/>
      <c r="D114" s="2416"/>
      <c r="E114" s="2494"/>
      <c r="F114" s="2494"/>
      <c r="G114" s="2494"/>
      <c r="H114" s="2494"/>
      <c r="I114" s="2416"/>
    </row>
    <row r="115" spans="1:11" ht="18.75" customHeight="1">
      <c r="A115" s="3195" t="s">
        <v>2305</v>
      </c>
      <c r="B115" s="3196"/>
      <c r="C115" s="3196"/>
      <c r="D115" s="3196"/>
      <c r="E115" s="3196"/>
      <c r="F115" s="3196"/>
      <c r="G115" s="3196"/>
      <c r="H115" s="3196"/>
      <c r="I115" s="3197"/>
    </row>
    <row r="116" spans="1:11" ht="27" customHeight="1">
      <c r="A116" s="3106" t="s">
        <v>2306</v>
      </c>
      <c r="B116" s="3149" t="s">
        <v>2307</v>
      </c>
      <c r="C116" s="3149" t="s">
        <v>2308</v>
      </c>
      <c r="D116" s="3155" t="s">
        <v>2309</v>
      </c>
      <c r="E116" s="3156"/>
      <c r="F116" s="3191" t="s">
        <v>2310</v>
      </c>
      <c r="G116" s="3191"/>
      <c r="H116" s="3106" t="s">
        <v>2311</v>
      </c>
      <c r="I116" s="3106"/>
    </row>
    <row r="117" spans="1:11" ht="18.75" customHeight="1">
      <c r="A117" s="3106"/>
      <c r="B117" s="3150"/>
      <c r="C117" s="3150"/>
      <c r="D117" s="1797" t="s">
        <v>2312</v>
      </c>
      <c r="E117" s="1797" t="s">
        <v>2313</v>
      </c>
      <c r="F117" s="1797" t="s">
        <v>2312</v>
      </c>
      <c r="G117" s="1797" t="s">
        <v>2314</v>
      </c>
      <c r="H117" s="1797" t="s">
        <v>2312</v>
      </c>
      <c r="I117" s="1797" t="s">
        <v>2314</v>
      </c>
    </row>
    <row r="118" spans="1:11" ht="24.75" customHeight="1">
      <c r="A118" s="2524" t="str">
        <f>项目基本情况!S2</f>
        <v>江苏省宿迁市宿城区水韵城项目部分商业用途房地产</v>
      </c>
      <c r="B118" s="1797">
        <f>M18</f>
        <v>168.91</v>
      </c>
      <c r="C118" s="1797">
        <f>M19</f>
        <v>31.79</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666</v>
      </c>
      <c r="I118" s="1797">
        <f ca="1">ROUND(IF(D32="楼面单价",C32,H118*10000/B118),0)</f>
        <v>39429</v>
      </c>
    </row>
    <row r="119" spans="1:11" ht="18.75" customHeight="1">
      <c r="A119" s="3106" t="s">
        <v>2315</v>
      </c>
      <c r="B119" s="3106"/>
      <c r="C119" s="3106"/>
      <c r="D119" s="3151" t="e">
        <f ca="1">NUMBERSTRING(INT(D118*10000),2)&amp;"元整"</f>
        <v>#REF!</v>
      </c>
      <c r="E119" s="3152"/>
      <c r="F119" s="3151" t="e">
        <f ca="1">NUMBERSTRING(INT(F118*10000),2)&amp;"元整"</f>
        <v>#REF!</v>
      </c>
      <c r="G119" s="3152"/>
      <c r="H119" s="3151" t="str">
        <f ca="1">NUMBERSTRING(INT(H118*10000),2)&amp;"元整"</f>
        <v>陆佰陆拾陆万元整</v>
      </c>
      <c r="I119" s="3152"/>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21" t="str">
        <f>IF(D120=0,"故，本次评估不存在"&amp;A120,"故，本次评估"&amp;A120&amp;"为人民币"&amp;D120&amp;"万元整。")</f>
        <v>故，本次评估不存在估价师知悉的法定优先受偿款</v>
      </c>
    </row>
    <row r="121" spans="1:11" ht="18.75" customHeight="1">
      <c r="A121" s="3192" t="s">
        <v>2315</v>
      </c>
      <c r="B121" s="3193"/>
      <c r="C121" s="3194"/>
      <c r="D121" s="3151" t="str">
        <f>IF(D120=0,"零元整",NUMBERSTRING(INT(D120*10000),2)&amp;"元整")</f>
        <v>零元整</v>
      </c>
      <c r="E121" s="3153"/>
      <c r="F121" s="3153"/>
      <c r="G121" s="3153"/>
      <c r="H121" s="3153"/>
      <c r="I121" s="3152"/>
    </row>
    <row r="122" spans="1:11" ht="18.75" customHeight="1">
      <c r="A122" s="3157" t="str">
        <f>IF(项目基本情况!B9="房地产市场价值","",MID(E107,3,LEN(E107)-2))</f>
        <v>房地产抵押价值</v>
      </c>
      <c r="B122" s="3157"/>
      <c r="C122" s="3157"/>
      <c r="D122" s="3146">
        <f ca="1">H107</f>
        <v>666</v>
      </c>
      <c r="E122" s="3147"/>
      <c r="F122" s="3147"/>
      <c r="G122" s="3147"/>
      <c r="H122" s="3147"/>
      <c r="I122" s="3148"/>
    </row>
    <row r="123" spans="1:11" ht="18.75" customHeight="1">
      <c r="A123" s="3106" t="s">
        <v>2315</v>
      </c>
      <c r="B123" s="3106"/>
      <c r="C123" s="3106"/>
      <c r="D123" s="3151" t="str">
        <f ca="1">NUMBERSTRING(INT(D122*10000),2)&amp;"元整"</f>
        <v>陆佰陆拾陆万元整</v>
      </c>
      <c r="E123" s="3153"/>
      <c r="F123" s="3153"/>
      <c r="G123" s="3153"/>
      <c r="H123" s="3153"/>
      <c r="I123" s="3152"/>
    </row>
    <row r="124" spans="1:11" ht="18.75" customHeight="1">
      <c r="A124" s="3157" t="str">
        <f>IF(项目基本情况!B9="房地产市场价值","",MID(E109,3,LEN(E109)-2))</f>
        <v/>
      </c>
      <c r="B124" s="3157"/>
      <c r="C124" s="3157"/>
      <c r="D124" s="3146" t="str">
        <f>H109</f>
        <v>——</v>
      </c>
      <c r="E124" s="3147"/>
      <c r="F124" s="3147"/>
      <c r="G124" s="3147"/>
      <c r="H124" s="3147"/>
      <c r="I124" s="3148"/>
    </row>
    <row r="125" spans="1:11" ht="18.75" customHeight="1">
      <c r="A125" s="3106" t="s">
        <v>2315</v>
      </c>
      <c r="B125" s="3106"/>
      <c r="C125" s="3106"/>
      <c r="D125" s="3151" t="e">
        <f>NUMBERSTRING(INT(D124*10000),2)&amp;"元整"</f>
        <v>#VALUE!</v>
      </c>
      <c r="E125" s="3153"/>
      <c r="F125" s="3153"/>
      <c r="G125" s="3153"/>
      <c r="H125" s="3153"/>
      <c r="I125" s="3152"/>
    </row>
    <row r="126" spans="1:11" ht="18.75" customHeight="1">
      <c r="A126" s="3157" t="str">
        <f>IF(项目基本情况!B9="房地产市场价值","",MID(E111,3,LEN(E111)-2))</f>
        <v/>
      </c>
      <c r="B126" s="3157"/>
      <c r="C126" s="3157"/>
      <c r="D126" s="3146" t="str">
        <f>H111</f>
        <v>——</v>
      </c>
      <c r="E126" s="3147"/>
      <c r="F126" s="3147"/>
      <c r="G126" s="3147"/>
      <c r="H126" s="3147"/>
      <c r="I126" s="3148"/>
    </row>
    <row r="127" spans="1:11" ht="18.75" customHeight="1">
      <c r="A127" s="3106" t="s">
        <v>2315</v>
      </c>
      <c r="B127" s="3106"/>
      <c r="C127" s="3106"/>
      <c r="D127" s="3151" t="e">
        <f>NUMBERSTRING(INT(D126*10000),2)&amp;"元整"</f>
        <v>#VALUE!</v>
      </c>
      <c r="E127" s="3153"/>
      <c r="F127" s="3153"/>
      <c r="G127" s="3153"/>
      <c r="H127" s="3153"/>
      <c r="I127" s="3152"/>
    </row>
    <row r="128" spans="1:11" ht="21.75" customHeight="1">
      <c r="A128" s="3154" t="s">
        <v>2316</v>
      </c>
      <c r="B128" s="3154"/>
      <c r="C128" s="3154"/>
      <c r="D128" s="3154"/>
      <c r="E128" s="3154"/>
      <c r="F128" s="3154"/>
      <c r="G128" s="3154"/>
      <c r="H128" s="3154"/>
      <c r="I128" s="3154"/>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2373</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4909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100</v>
      </c>
      <c r="F9" s="265"/>
      <c r="G9" s="2551"/>
      <c r="H9" s="1392"/>
      <c r="I9" s="2552" t="s">
        <v>2342</v>
      </c>
    </row>
    <row r="10" spans="1:9" s="258" customFormat="1" ht="13.5" customHeight="1">
      <c r="A10" s="952" t="s">
        <v>801</v>
      </c>
      <c r="B10" s="268" t="s">
        <v>2343</v>
      </c>
      <c r="C10" s="269">
        <f ca="1">ROUND(D10*E10/10000,0)</f>
        <v>48</v>
      </c>
      <c r="D10" s="1034">
        <f ca="1">IF(B1="",'数据-汇总表'!E6,IF(INDIRECT("'数据-取费表'!c"&amp;$G$1)="住宅",INDIRECT("'数据-取费表'!s"&amp;$G$1),INDIRECT("'数据-取费表'!k"&amp;$G$1)+INDIRECT("'数据-取费表'!s"&amp;$G$1)))</f>
        <v>4833.9999999999973</v>
      </c>
      <c r="E10" s="269">
        <f>'数据-取费表'!B28</f>
        <v>100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97</v>
      </c>
      <c r="D19" s="1038">
        <f ca="1">D9+D10</f>
        <v>4833.9999999999973</v>
      </c>
      <c r="E19" s="255">
        <f>'数据-取费表'!B31</f>
        <v>200</v>
      </c>
      <c r="F19" s="275"/>
      <c r="G19" s="2550"/>
    </row>
    <row r="20" spans="1:7" s="258" customFormat="1" ht="13.5" customHeight="1">
      <c r="A20" s="299" t="s">
        <v>2356</v>
      </c>
      <c r="B20" s="254" t="s">
        <v>2357</v>
      </c>
      <c r="C20" s="276">
        <f ca="1">ROUND((C5+C19)*F20,0)</f>
        <v>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12</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12</v>
      </c>
      <c r="D24" s="282"/>
      <c r="E24" s="282"/>
      <c r="F24" s="283"/>
      <c r="G24" s="284" t="s">
        <v>2370</v>
      </c>
    </row>
    <row r="25" spans="1:7" s="258" customFormat="1" ht="24">
      <c r="A25" s="953" t="s">
        <v>2371</v>
      </c>
      <c r="B25" s="259" t="s">
        <v>2372</v>
      </c>
      <c r="C25" s="1357">
        <f ca="1">ROUND(IF('数据-取费表'!B22&lt;=1,C20*F22*'数据-取费表'!B23/2,C20*(POWER((1+F22),'数据-取费表'!B23/2)-1)),0)</f>
        <v>0</v>
      </c>
      <c r="D25" s="282"/>
      <c r="E25" s="285"/>
      <c r="F25" s="283"/>
      <c r="G25" s="286" t="s">
        <v>2373</v>
      </c>
    </row>
    <row r="26" spans="1:7" s="258" customFormat="1">
      <c r="A26" s="953"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25</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25</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148</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1614</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1451</v>
      </c>
      <c r="D34" s="261"/>
      <c r="E34" s="264"/>
      <c r="F34" s="301">
        <f ca="1">IF('数据-取费表'!B24=0,1,IF(B1="",'数据-取费表'!N16,INDIRECT("'数据-取费表'!n"&amp;$G$1)))</f>
        <v>1</v>
      </c>
      <c r="G34" s="263" t="s">
        <v>2389</v>
      </c>
    </row>
    <row r="35" spans="1:7" ht="13.5" customHeight="1">
      <c r="A35" s="953" t="s">
        <v>796</v>
      </c>
      <c r="B35" s="259" t="s">
        <v>2390</v>
      </c>
      <c r="C35" s="264">
        <f ca="1">ROUND(C34*F35,0)</f>
        <v>44</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97</v>
      </c>
      <c r="D37" s="261">
        <f ca="1">D19</f>
        <v>4833.9999999999973</v>
      </c>
      <c r="E37" s="293">
        <f>'数据-取费表'!B35</f>
        <v>200</v>
      </c>
      <c r="F37" s="303"/>
      <c r="G37" s="305" t="s">
        <v>2395</v>
      </c>
    </row>
    <row r="38" spans="1:7" ht="13.5" customHeight="1">
      <c r="A38" s="953" t="s">
        <v>799</v>
      </c>
      <c r="B38" s="259" t="s">
        <v>2396</v>
      </c>
      <c r="C38" s="264">
        <f ca="1">ROUND(C34*F38,0)</f>
        <v>22</v>
      </c>
      <c r="D38" s="264"/>
      <c r="E38" s="264"/>
      <c r="F38" s="303">
        <f>'数据-取费表'!B36</f>
        <v>1.4999999999999999E-2</v>
      </c>
      <c r="G38" s="263" t="s">
        <v>2391</v>
      </c>
    </row>
    <row r="39" spans="1:7" s="258" customFormat="1" ht="13.5" customHeight="1">
      <c r="A39" s="299" t="s">
        <v>2397</v>
      </c>
      <c r="B39" s="254" t="s">
        <v>2398</v>
      </c>
      <c r="C39" s="276">
        <f ca="1">ROUND(C33*F20,0)</f>
        <v>32</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98</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96</v>
      </c>
      <c r="D42" s="282"/>
      <c r="E42" s="282"/>
      <c r="F42" s="283"/>
      <c r="G42" s="3226" t="s">
        <v>2407</v>
      </c>
    </row>
    <row r="43" spans="1:7" ht="13.5" customHeight="1">
      <c r="A43" s="953" t="s">
        <v>792</v>
      </c>
      <c r="B43" s="259" t="s">
        <v>2408</v>
      </c>
      <c r="C43" s="282">
        <f ca="1">ROUND(IF('数据-取费表'!B22&lt;=1,C39*F22*'数据-取费表'!B21/2,C39*(POWER((1+F22),'数据-取费表'!B21/2)-1)),0)</f>
        <v>2</v>
      </c>
      <c r="D43" s="282"/>
      <c r="E43" s="282"/>
      <c r="F43" s="283"/>
      <c r="G43" s="3227"/>
    </row>
    <row r="44" spans="1:7" ht="13.5" customHeight="1">
      <c r="A44" s="953" t="s">
        <v>793</v>
      </c>
      <c r="B44" s="259" t="s">
        <v>2409</v>
      </c>
      <c r="C44" s="282">
        <f ca="1">ROUND(IF('数据-取费表'!B22&lt;=1,C40*F22*'数据-取费表'!B21/2,C40*(POWER((1+F22),'数据-取费表'!B21/2)-1)),4)</f>
        <v>1.1999999999999999E-3</v>
      </c>
      <c r="D44" s="282"/>
      <c r="E44" s="282"/>
      <c r="F44" s="283"/>
      <c r="G44" s="3228"/>
    </row>
    <row r="45" spans="1:7" s="258" customFormat="1" ht="13.5" customHeight="1">
      <c r="A45" s="299" t="s">
        <v>2410</v>
      </c>
      <c r="B45" s="288" t="s">
        <v>2376</v>
      </c>
      <c r="C45" s="289">
        <f ca="1">C46</f>
        <v>412</v>
      </c>
      <c r="D45" s="279">
        <f ca="1">C47</f>
        <v>5.0000000000000001E-3</v>
      </c>
      <c r="E45" s="280" t="s">
        <v>2402</v>
      </c>
      <c r="F45" s="290"/>
      <c r="G45" s="291" t="s">
        <v>2411</v>
      </c>
    </row>
    <row r="46" spans="1:7" s="258" customFormat="1" ht="13.5" customHeight="1">
      <c r="A46" s="953" t="s">
        <v>791</v>
      </c>
      <c r="B46" s="292" t="s">
        <v>2412</v>
      </c>
      <c r="C46" s="293">
        <f ca="1">ROUND((C33+C39)*F27,0)</f>
        <v>412</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2342</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2225</v>
      </c>
      <c r="D51" s="276"/>
      <c r="E51" s="276"/>
      <c r="F51" s="308"/>
      <c r="G51" s="278" t="s">
        <v>2423</v>
      </c>
    </row>
    <row r="52" spans="1:7" s="252" customFormat="1" ht="16.5" thickBot="1">
      <c r="A52" s="309" t="s">
        <v>2424</v>
      </c>
      <c r="B52" s="310"/>
      <c r="C52" s="311">
        <f ca="1">C31+C51</f>
        <v>2373</v>
      </c>
      <c r="D52" s="310"/>
      <c r="E52" s="310"/>
      <c r="F52" s="310"/>
      <c r="G52" s="312"/>
    </row>
    <row r="55" spans="1:7" ht="15">
      <c r="B55" s="314" t="s">
        <v>2425</v>
      </c>
      <c r="C55" s="315"/>
    </row>
    <row r="56" spans="1:7">
      <c r="B56" s="317" t="s">
        <v>1513</v>
      </c>
      <c r="C56" s="319">
        <f ca="1">1-C57</f>
        <v>6.2000000000000055E-2</v>
      </c>
    </row>
    <row r="57" spans="1:7">
      <c r="B57" s="317" t="s">
        <v>1514</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40" t="str">
        <f>项目基本情况!B1</f>
        <v>江苏省宿迁市宿城区水韵城项目部分商业用途房地产抵押价值预评估</v>
      </c>
      <c r="C37" s="3040"/>
      <c r="D37" s="3040"/>
      <c r="E37" s="3040"/>
      <c r="F37" s="3040"/>
      <c r="G37" s="3040"/>
      <c r="H37" s="3040"/>
      <c r="I37" s="3040"/>
    </row>
    <row r="38" spans="1:9">
      <c r="A38" s="1018"/>
      <c r="B38" s="1018"/>
    </row>
    <row r="39" spans="1:9">
      <c r="A39" s="1016" t="s">
        <v>818</v>
      </c>
      <c r="B39" s="1016" t="s">
        <v>820</v>
      </c>
    </row>
    <row r="40" spans="1:9">
      <c r="A40" s="1016"/>
      <c r="B40" s="1944" t="str">
        <f>项目基本情况!B5</f>
        <v>华融国际信托有限责任公司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2443</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5054</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483400</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483400</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100</v>
      </c>
      <c r="F9" s="265"/>
      <c r="G9" s="270"/>
    </row>
    <row r="10" spans="1:8" s="258" customFormat="1" ht="13.5" customHeight="1">
      <c r="A10" s="952" t="s">
        <v>801</v>
      </c>
      <c r="B10" s="268" t="s">
        <v>2343</v>
      </c>
      <c r="C10" s="269">
        <f ca="1">ROUND(D10*E10,0)</f>
        <v>483400</v>
      </c>
      <c r="D10" s="1034">
        <f ca="1">IF(B1="",'数据-汇总表'!E6,IF(INDIRECT("'数据-取费表'!c"&amp;$G$1)="住宅",INDIRECT("'数据-取费表'!s"&amp;$G$1),INDIRECT("'数据-取费表'!k"&amp;$G$1)+INDIRECT("'数据-取费表'!s"&amp;$G$1)))</f>
        <v>4833.9999999999973</v>
      </c>
      <c r="E10" s="269">
        <f>'数据-取费表'!B28</f>
        <v>100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966800</v>
      </c>
      <c r="D19" s="1038">
        <f ca="1">D9+D10</f>
        <v>4833.9999999999973</v>
      </c>
      <c r="E19" s="255">
        <f>'数据-取费表'!B31</f>
        <v>200</v>
      </c>
      <c r="F19" s="275"/>
      <c r="G19" s="2550"/>
    </row>
    <row r="20" spans="1:7" s="258" customFormat="1" ht="13.5" customHeight="1">
      <c r="A20" s="299" t="s">
        <v>2437</v>
      </c>
      <c r="B20" s="254" t="s">
        <v>2438</v>
      </c>
      <c r="C20" s="276">
        <f ca="1">ROUND((C5+C19)*F20,0)</f>
        <v>29004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180127</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59465</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118930</v>
      </c>
      <c r="D24" s="282"/>
      <c r="E24" s="282"/>
      <c r="F24" s="283"/>
      <c r="G24" s="284" t="s">
        <v>2449</v>
      </c>
    </row>
    <row r="25" spans="1:7" s="258" customFormat="1" ht="24">
      <c r="A25" s="953" t="s">
        <v>2339</v>
      </c>
      <c r="B25" s="259" t="s">
        <v>2450</v>
      </c>
      <c r="C25" s="1383">
        <f ca="1">ROUND(IF('数据-取费表'!B22&lt;=1,C20*F22*'数据-取费表'!B22/2,C20*(POWER((1+F22),'数据-取费表'!B22/2)-1)),0)</f>
        <v>1732</v>
      </c>
      <c r="D25" s="282"/>
      <c r="E25" s="285"/>
      <c r="F25" s="283"/>
      <c r="G25" s="286" t="s">
        <v>2451</v>
      </c>
    </row>
    <row r="26" spans="1:7" s="258" customFormat="1">
      <c r="A26" s="953"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369801</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369801</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2204380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16121390</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14502000</v>
      </c>
      <c r="D34" s="261"/>
      <c r="E34" s="264"/>
      <c r="F34" s="301"/>
      <c r="G34" s="263"/>
    </row>
    <row r="35" spans="1:7" ht="13.5" customHeight="1">
      <c r="A35" s="953" t="s">
        <v>796</v>
      </c>
      <c r="B35" s="259" t="s">
        <v>2390</v>
      </c>
      <c r="C35" s="264">
        <f ca="1">ROUND(C34*F35,0)</f>
        <v>435060</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966800</v>
      </c>
      <c r="D37" s="261">
        <f ca="1">D19</f>
        <v>4833.9999999999973</v>
      </c>
      <c r="E37" s="293">
        <f>'数据-取费表'!B35</f>
        <v>200</v>
      </c>
      <c r="F37" s="303"/>
      <c r="G37" s="305"/>
    </row>
    <row r="38" spans="1:7" ht="13.5" customHeight="1">
      <c r="A38" s="953" t="s">
        <v>799</v>
      </c>
      <c r="B38" s="259" t="s">
        <v>2396</v>
      </c>
      <c r="C38" s="264">
        <f ca="1">ROUND(C34*F38,0)</f>
        <v>217530</v>
      </c>
      <c r="D38" s="264"/>
      <c r="E38" s="264"/>
      <c r="F38" s="303">
        <f>'数据-取费表'!B36</f>
        <v>1.4999999999999999E-2</v>
      </c>
      <c r="G38" s="263" t="s">
        <v>2391</v>
      </c>
    </row>
    <row r="39" spans="1:7" s="258" customFormat="1" ht="13.5" customHeight="1">
      <c r="A39" s="299" t="s">
        <v>2397</v>
      </c>
      <c r="B39" s="254" t="s">
        <v>2398</v>
      </c>
      <c r="C39" s="276">
        <f ca="1">ROUND(C33*F20,0)</f>
        <v>322428</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982082</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962825</v>
      </c>
      <c r="D42" s="282"/>
      <c r="E42" s="282"/>
      <c r="F42" s="283"/>
      <c r="G42" s="3226" t="s">
        <v>2454</v>
      </c>
    </row>
    <row r="43" spans="1:7" ht="13.5" customHeight="1">
      <c r="A43" s="953" t="s">
        <v>792</v>
      </c>
      <c r="B43" s="259" t="s">
        <v>2408</v>
      </c>
      <c r="C43" s="282">
        <f ca="1">ROUND(IF('数据-取费表'!B22&lt;=1,C39*F22*'数据-取费表'!B20/2,C39*(POWER((1+F22),'数据-取费表'!B20/2)-1)),0)</f>
        <v>19257</v>
      </c>
      <c r="D43" s="282"/>
      <c r="E43" s="282"/>
      <c r="F43" s="283"/>
      <c r="G43" s="3227"/>
    </row>
    <row r="44" spans="1:7" ht="13.5" customHeight="1">
      <c r="A44" s="953" t="s">
        <v>793</v>
      </c>
      <c r="B44" s="259" t="s">
        <v>2409</v>
      </c>
      <c r="C44" s="282">
        <f ca="1">ROUND(IF('数据-取费表'!B22&lt;=1,C40*F22*'数据-取费表'!B20/2,C40*(POWER((1+F22),'数据-取费表'!B20/2)-1)),4)</f>
        <v>1.1999999999999999E-3</v>
      </c>
      <c r="D44" s="282"/>
      <c r="E44" s="282"/>
      <c r="F44" s="283"/>
      <c r="G44" s="3228"/>
    </row>
    <row r="45" spans="1:7" s="258" customFormat="1" ht="13.5" customHeight="1">
      <c r="A45" s="299" t="s">
        <v>2410</v>
      </c>
      <c r="B45" s="288" t="s">
        <v>2376</v>
      </c>
      <c r="C45" s="289">
        <f ca="1">C46</f>
        <v>4110955</v>
      </c>
      <c r="D45" s="279">
        <f ca="1">C47</f>
        <v>5.0000000000000001E-3</v>
      </c>
      <c r="E45" s="280" t="s">
        <v>2402</v>
      </c>
      <c r="F45" s="290"/>
      <c r="G45" s="291" t="s">
        <v>2411</v>
      </c>
    </row>
    <row r="46" spans="1:7" s="258" customFormat="1" ht="13.5" customHeight="1">
      <c r="A46" s="953" t="s">
        <v>791</v>
      </c>
      <c r="B46" s="292" t="s">
        <v>2412</v>
      </c>
      <c r="C46" s="293">
        <f ca="1">ROUND((C33+C39)*F27,0)</f>
        <v>4110955</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23396909</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22227064</v>
      </c>
      <c r="D51" s="276"/>
      <c r="E51" s="276"/>
      <c r="F51" s="308"/>
      <c r="G51" s="278" t="s">
        <v>2423</v>
      </c>
    </row>
    <row r="52" spans="1:7" s="252" customFormat="1" ht="16.5" thickBot="1">
      <c r="A52" s="309" t="s">
        <v>2424</v>
      </c>
      <c r="B52" s="310"/>
      <c r="C52" s="311">
        <f ca="1">C31+C51</f>
        <v>24431444</v>
      </c>
      <c r="D52" s="310"/>
      <c r="E52" s="310"/>
      <c r="F52" s="310"/>
      <c r="G52" s="312"/>
    </row>
    <row r="55" spans="1:7" ht="15">
      <c r="B55" s="314" t="s">
        <v>2425</v>
      </c>
      <c r="C55" s="315"/>
    </row>
    <row r="56" spans="1:7">
      <c r="B56" s="317" t="s">
        <v>1513</v>
      </c>
      <c r="C56" s="319">
        <f ca="1">1-C57</f>
        <v>8.9999999999999969E-2</v>
      </c>
    </row>
    <row r="57" spans="1:7">
      <c r="B57" s="317" t="s">
        <v>1514</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-59</v>
      </c>
      <c r="C2" s="320" t="s">
        <v>2458</v>
      </c>
      <c r="D2" s="320"/>
      <c r="E2" s="320"/>
      <c r="F2" s="320"/>
      <c r="G2" s="320"/>
      <c r="H2" s="320"/>
      <c r="I2" s="320"/>
      <c r="J2" s="320"/>
      <c r="K2" s="320"/>
    </row>
    <row r="3" spans="1:33" ht="18" customHeight="1" thickBot="1">
      <c r="A3" s="247" t="s">
        <v>2327</v>
      </c>
      <c r="B3" s="248">
        <f ca="1">ROUND(B2*10000/IF(C1="",'数据-汇总表'!E3,INDIRECT("'数据-取费表'!K"&amp;$K$1)),0)</f>
        <v>-122</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4833.9999999999973</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4833.9999999999973</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48</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100</v>
      </c>
      <c r="F19" s="978"/>
      <c r="G19" s="15"/>
      <c r="H19" s="1581"/>
      <c r="I19" s="983"/>
      <c r="J19" s="983"/>
      <c r="K19" s="984"/>
    </row>
    <row r="20" spans="1:33" s="977" customFormat="1" ht="13.5" customHeight="1">
      <c r="A20" s="973" t="s">
        <v>806</v>
      </c>
      <c r="B20" s="974" t="s">
        <v>2493</v>
      </c>
      <c r="C20" s="24">
        <f ca="1">ROUND(D20*E20/10000,0)</f>
        <v>48</v>
      </c>
      <c r="D20" s="1035">
        <f ca="1">IF(C1="",'数据-汇总表'!E6,IF(INDIRECT("'数据-取费表'!c"&amp;$K$1)="住宅",INDIRECT("'数据-取费表'!s"&amp;$K$1),INDIRECT("'数据-取费表'!k"&amp;$K$1)+INDIRECT("'数据-取费表'!s"&amp;$K$1)))</f>
        <v>4833.9999999999973</v>
      </c>
      <c r="E20" s="24">
        <f>'数据-取费表'!B28</f>
        <v>100</v>
      </c>
      <c r="F20" s="978"/>
      <c r="G20" s="15"/>
      <c r="H20" s="983"/>
      <c r="I20" s="983"/>
      <c r="J20" s="983"/>
      <c r="K20" s="984"/>
    </row>
    <row r="21" spans="1:33" s="977" customFormat="1" ht="13.5" customHeight="1">
      <c r="A21" s="963" t="s">
        <v>802</v>
      </c>
      <c r="B21" s="987" t="s">
        <v>2494</v>
      </c>
      <c r="C21" s="988">
        <f ca="1">C16+C17+C18</f>
        <v>48</v>
      </c>
      <c r="D21" s="989"/>
      <c r="E21" s="325"/>
      <c r="F21" s="325"/>
      <c r="G21" s="140" t="s">
        <v>2495</v>
      </c>
      <c r="H21" s="981"/>
      <c r="I21" s="981"/>
      <c r="J21" s="981"/>
      <c r="K21" s="982"/>
    </row>
    <row r="22" spans="1:33" s="977" customFormat="1" ht="13.5" customHeight="1">
      <c r="A22" s="963" t="s">
        <v>2467</v>
      </c>
      <c r="B22" s="987" t="s">
        <v>2496</v>
      </c>
      <c r="C22" s="988">
        <f ca="1">ROUND(C21*F22,0)</f>
        <v>1</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12</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12</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-59</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00B0F0"/>
  </sheetPr>
  <dimension ref="A1:AK83"/>
  <sheetViews>
    <sheetView tabSelected="1" topLeftCell="A43" zoomScale="90" zoomScaleNormal="90" zoomScaleSheetLayoutView="90" workbookViewId="0">
      <selection activeCell="I46" sqref="I46:L6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3368</v>
      </c>
      <c r="D1" s="1822" t="s">
        <v>70</v>
      </c>
      <c r="E1" s="1823" t="s">
        <v>1387</v>
      </c>
      <c r="F1" s="1285">
        <f ca="1">J53</f>
        <v>34.26</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342</v>
      </c>
      <c r="C2" s="1847" t="s">
        <v>1516</v>
      </c>
      <c r="D2" s="1847"/>
      <c r="E2" s="1848"/>
      <c r="F2" s="1849"/>
      <c r="G2" s="1850"/>
      <c r="H2" s="1842"/>
      <c r="I2" s="1842"/>
      <c r="J2" s="1842"/>
      <c r="K2" s="1843"/>
      <c r="L2" s="1842"/>
      <c r="M2" s="1842"/>
    </row>
    <row r="3" spans="1:37" ht="18" customHeight="1" thickBot="1">
      <c r="A3" s="1851" t="s">
        <v>1517</v>
      </c>
      <c r="B3" s="1852">
        <f ca="1">IF(ISERROR(B2*10000/F43),0,ROUND(B2*10000/F43,0))</f>
        <v>20247</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18.100000000000001</v>
      </c>
      <c r="D5" s="1824" t="s">
        <v>1402</v>
      </c>
      <c r="E5" s="1295"/>
      <c r="F5" s="1296"/>
      <c r="G5" s="1853"/>
      <c r="H5" s="344">
        <v>1</v>
      </c>
      <c r="I5" s="345" t="s">
        <v>1401</v>
      </c>
      <c r="J5" s="1294">
        <f ca="1">J6+J10+J12</f>
        <v>0</v>
      </c>
      <c r="K5" s="1824" t="s">
        <v>1402</v>
      </c>
      <c r="L5" s="1295"/>
      <c r="M5" s="1296"/>
    </row>
    <row r="6" spans="1:37" ht="18" customHeight="1">
      <c r="A6" s="1293" t="s">
        <v>1035</v>
      </c>
      <c r="B6" s="3231" t="s">
        <v>1403</v>
      </c>
      <c r="C6" s="1298">
        <f ca="1">ROUND(F6*F8*F7*(1-F9)/10000,0)</f>
        <v>18</v>
      </c>
      <c r="D6" s="164" t="s">
        <v>3030</v>
      </c>
      <c r="E6" s="347" t="s">
        <v>1405</v>
      </c>
      <c r="F6" s="348">
        <f ca="1">INDIRECT("'数据-取费表'!u"&amp;$G$1)</f>
        <v>3.5</v>
      </c>
      <c r="G6" s="1853"/>
      <c r="H6" s="1293" t="s">
        <v>1035</v>
      </c>
      <c r="I6" s="3231" t="s">
        <v>1403</v>
      </c>
      <c r="J6" s="346">
        <f ca="1">ROUND(M6*M8*M7*(1-M9)/10000,0)</f>
        <v>0</v>
      </c>
      <c r="K6" s="164" t="s">
        <v>3029</v>
      </c>
      <c r="L6" s="347" t="s">
        <v>1405</v>
      </c>
      <c r="M6" s="348">
        <f ca="1">INDIRECT("'数据-取费表'!z"&amp;$G$1)</f>
        <v>0</v>
      </c>
    </row>
    <row r="7" spans="1:37" ht="18" customHeight="1">
      <c r="A7" s="1297"/>
      <c r="B7" s="3232"/>
      <c r="C7" s="1299"/>
      <c r="D7" s="352"/>
      <c r="E7" s="1300" t="s">
        <v>1406</v>
      </c>
      <c r="F7" s="348">
        <f ca="1">IF(INDIRECT("'数据-取费表'!ah"&amp;$G$1)="",INDIRECT("'数据-取费表'!k"&amp;$G$1),INDIRECT("'数据-取费表'!ah"&amp;$G$1))</f>
        <v>168.91</v>
      </c>
      <c r="G7" s="1853"/>
      <c r="H7" s="349"/>
      <c r="I7" s="3232"/>
      <c r="J7" s="351"/>
      <c r="K7" s="352"/>
      <c r="L7" s="347" t="s">
        <v>1406</v>
      </c>
      <c r="M7" s="348">
        <f ca="1">F7</f>
        <v>168.91</v>
      </c>
    </row>
    <row r="8" spans="1:37" ht="18" customHeight="1">
      <c r="A8" s="349"/>
      <c r="B8" s="3232"/>
      <c r="C8" s="351"/>
      <c r="D8" s="352"/>
      <c r="E8" s="347" t="s">
        <v>1407</v>
      </c>
      <c r="F8" s="348">
        <f ca="1">INDIRECT("'数据-取费表'!ai"&amp;$G$1)</f>
        <v>365</v>
      </c>
      <c r="G8" s="1853"/>
      <c r="H8" s="349"/>
      <c r="I8" s="3232"/>
      <c r="J8" s="351"/>
      <c r="K8" s="352"/>
      <c r="L8" s="347" t="s">
        <v>1407</v>
      </c>
      <c r="M8" s="348">
        <f ca="1">INDIRECT("'数据-取费表'!ai"&amp;$G$1)</f>
        <v>365</v>
      </c>
    </row>
    <row r="9" spans="1:37" ht="18" customHeight="1">
      <c r="A9" s="349"/>
      <c r="B9" s="3233"/>
      <c r="C9" s="351"/>
      <c r="D9" s="352"/>
      <c r="E9" s="347" t="s">
        <v>1408</v>
      </c>
      <c r="F9" s="357">
        <f ca="1">INDIRECT("'数据-取费表'!w"&amp;$G$1)</f>
        <v>0.15</v>
      </c>
      <c r="G9" s="1853"/>
      <c r="H9" s="349"/>
      <c r="I9" s="3233"/>
      <c r="J9" s="351"/>
      <c r="K9" s="352"/>
      <c r="L9" s="358" t="s">
        <v>1408</v>
      </c>
      <c r="M9" s="359">
        <f ca="1">INDIRECT("'数据-取费表'!ab"&amp;$G$1)</f>
        <v>0</v>
      </c>
    </row>
    <row r="10" spans="1:37" ht="18" customHeight="1">
      <c r="A10" s="1293" t="s">
        <v>1039</v>
      </c>
      <c r="B10" s="1825" t="s">
        <v>1409</v>
      </c>
      <c r="C10" s="2970">
        <f ca="1">ROUND(IF(F10="押一",C6/12*F11,IF(F10="押二",C6/12*2*F11,IF(F10="押三",C6/12*3*F11,C11*F11))),1)</f>
        <v>0.1</v>
      </c>
      <c r="D10" s="1826" t="s">
        <v>3039</v>
      </c>
      <c r="E10" s="358" t="s">
        <v>1410</v>
      </c>
      <c r="F10" s="1368" t="s">
        <v>3374</v>
      </c>
      <c r="G10" s="1853"/>
      <c r="H10" s="1293" t="s">
        <v>1039</v>
      </c>
      <c r="I10" s="1825" t="s">
        <v>1409</v>
      </c>
      <c r="J10" s="346">
        <f ca="1">ROUND(IF(M10="押一",J6/12*M11,IF(M10="押二",J6/12*2*M11,IF(M10="押三",J6/12*3*M11,J11*M11))),0)</f>
        <v>0</v>
      </c>
      <c r="K10" s="1826" t="s">
        <v>3038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79</v>
      </c>
      <c r="D13" s="1333" t="s">
        <v>1415</v>
      </c>
      <c r="E13" s="1333" t="s">
        <v>1416</v>
      </c>
      <c r="F13" s="1334">
        <f ca="1">INDIRECT("'数据-取费表'!y"&amp;$G$1)</f>
        <v>0.95</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51</v>
      </c>
      <c r="D14" s="1802" t="s">
        <v>1418</v>
      </c>
      <c r="E14" s="1796"/>
      <c r="F14" s="364"/>
      <c r="G14" s="1853"/>
      <c r="H14" s="1203" t="s">
        <v>1035</v>
      </c>
      <c r="I14" s="347" t="s">
        <v>1419</v>
      </c>
      <c r="J14" s="24">
        <f ca="1">C29</f>
        <v>83</v>
      </c>
      <c r="K14" s="15"/>
      <c r="L14" s="981"/>
      <c r="M14" s="982"/>
    </row>
    <row r="15" spans="1:37" s="1860" customFormat="1" ht="18" customHeight="1" thickBot="1">
      <c r="A15" s="1203" t="s">
        <v>1036</v>
      </c>
      <c r="B15" s="347" t="s">
        <v>1420</v>
      </c>
      <c r="C15" s="24">
        <f ca="1">ROUND(C14*F15,0)</f>
        <v>2</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2</v>
      </c>
      <c r="K16" s="1339" t="s">
        <v>1425</v>
      </c>
      <c r="L16" s="1340"/>
      <c r="M16" s="1296"/>
    </row>
    <row r="17" spans="1:37" s="1860" customFormat="1" ht="18" customHeight="1">
      <c r="A17" s="1203" t="s">
        <v>1390</v>
      </c>
      <c r="B17" s="347" t="s">
        <v>1426</v>
      </c>
      <c r="C17" s="24">
        <f ca="1">ROUND(F17*(F43+INDIRECT("'数据-取费表'!S"&amp;$G$1))/10000,0)</f>
        <v>3</v>
      </c>
      <c r="D17" s="347" t="s">
        <v>1427</v>
      </c>
      <c r="E17" s="347" t="s">
        <v>1428</v>
      </c>
      <c r="F17" s="26">
        <f>'数据-取费表'!B35</f>
        <v>200</v>
      </c>
      <c r="G17" s="1856"/>
      <c r="H17" s="1203" t="s">
        <v>1035</v>
      </c>
      <c r="I17" s="347" t="s">
        <v>1429</v>
      </c>
      <c r="J17" s="24">
        <f ca="1">ROUND(IF(项目基本情况!B11="自然人",J5*M17,J18+J19+J20),1)</f>
        <v>0.8</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57</v>
      </c>
      <c r="D19" s="140" t="s">
        <v>1436</v>
      </c>
      <c r="E19" s="1820"/>
      <c r="F19" s="26"/>
      <c r="G19" s="1853"/>
      <c r="H19" s="1203" t="s">
        <v>1036</v>
      </c>
      <c r="I19" s="347" t="s">
        <v>1437</v>
      </c>
      <c r="J19" s="24">
        <f ca="1">IF(K19="按租金收入计税",ROUND(J5*M19,2),ROUND(C29*M19*0.7,2))</f>
        <v>0.7</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v>
      </c>
      <c r="D20" s="369" t="s">
        <v>1440</v>
      </c>
      <c r="E20" s="347" t="s">
        <v>1422</v>
      </c>
      <c r="F20" s="367">
        <f>'数据-取费表'!B37</f>
        <v>0.02</v>
      </c>
      <c r="G20" s="1856"/>
      <c r="H20" s="1203" t="s">
        <v>1389</v>
      </c>
      <c r="I20" s="164" t="s">
        <v>1441</v>
      </c>
      <c r="J20" s="25">
        <f ca="1">ROUND(M20*M21/10000,2)</f>
        <v>0.05</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31.79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1.2</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-2</v>
      </c>
      <c r="K25" s="1347" t="s">
        <v>1464</v>
      </c>
      <c r="L25" s="1348"/>
      <c r="M25" s="1349"/>
    </row>
    <row r="26" spans="1:37">
      <c r="A26" s="1203" t="s">
        <v>1034</v>
      </c>
      <c r="B26" s="347" t="s">
        <v>1465</v>
      </c>
      <c r="C26" s="24">
        <f ca="1">ROUND((C19+C20)*F26,0)</f>
        <v>15</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83</v>
      </c>
      <c r="D29" s="1344"/>
      <c r="E29" s="1342"/>
      <c r="F29" s="1345"/>
      <c r="G29" s="1856"/>
      <c r="H29" s="380" t="s">
        <v>1033</v>
      </c>
      <c r="I29" s="381" t="s">
        <v>1479</v>
      </c>
      <c r="J29" s="382">
        <f ca="1">ROUND(J26/(1+F40)^F41,0)</f>
        <v>0</v>
      </c>
      <c r="K29" s="383" t="s">
        <v>1480</v>
      </c>
      <c r="L29" s="384"/>
      <c r="M29" s="385">
        <f ca="1">INDIRECT("'数据-取费表'!k"&amp;$G$1)</f>
        <v>168.91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5</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3.2</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0.97</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2.17</v>
      </c>
      <c r="D33" s="2969" t="s">
        <v>3445</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0.05</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31.79</v>
      </c>
      <c r="G35" s="1853"/>
      <c r="H35" s="744"/>
      <c r="I35" s="1862"/>
      <c r="J35" s="1863"/>
      <c r="K35" s="1864"/>
      <c r="L35" s="1861"/>
      <c r="M35" s="1861"/>
    </row>
    <row r="36" spans="1:18" ht="18" customHeight="1">
      <c r="A36" s="1354" t="s">
        <v>1039</v>
      </c>
      <c r="B36" s="347" t="s">
        <v>1449</v>
      </c>
      <c r="C36" s="24">
        <f ca="1">ROUND(C29*F36,1)</f>
        <v>1.2</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0.2</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13.100000000000001</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340</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34.26</v>
      </c>
      <c r="G41" s="1853"/>
      <c r="H41" s="731"/>
      <c r="I41" s="1862"/>
      <c r="J41" s="1863"/>
      <c r="K41" s="750"/>
      <c r="L41" s="731"/>
      <c r="M41" s="731"/>
    </row>
    <row r="42" spans="1:18" ht="18" customHeight="1">
      <c r="A42" s="353"/>
      <c r="B42" s="354"/>
      <c r="C42" s="355"/>
      <c r="D42" s="373"/>
      <c r="E42" s="347" t="s">
        <v>1477</v>
      </c>
      <c r="F42" s="357">
        <f ca="1">INDIRECT("'数据-取费表'!v"&amp;$G$1)</f>
        <v>3.5000000000000003E-2</v>
      </c>
      <c r="G42" s="1853"/>
      <c r="H42" s="731"/>
      <c r="I42" s="1862"/>
      <c r="J42" s="1863"/>
      <c r="K42" s="750"/>
      <c r="L42" s="731"/>
      <c r="M42" s="731"/>
    </row>
    <row r="43" spans="1:18" ht="18" customHeight="1" thickBot="1">
      <c r="A43" s="380" t="s">
        <v>1033</v>
      </c>
      <c r="B43" s="381" t="s">
        <v>1487</v>
      </c>
      <c r="C43" s="382">
        <f ca="1">ROUND(C40*10000/F43,0)</f>
        <v>20129</v>
      </c>
      <c r="D43" s="383" t="s">
        <v>1488</v>
      </c>
      <c r="E43" s="384" t="s">
        <v>1489</v>
      </c>
      <c r="F43" s="385">
        <f ca="1">INDIRECT("'数据-取费表'!k"&amp;$G$1)</f>
        <v>168.91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-470</v>
      </c>
      <c r="D46" s="1874" t="str">
        <f>C2</f>
        <v>万元</v>
      </c>
      <c r="E46" s="1868"/>
      <c r="F46" s="1868"/>
      <c r="I46" s="3014" t="s">
        <v>1521</v>
      </c>
      <c r="J46" s="3015"/>
      <c r="K46" s="3016"/>
      <c r="L46" s="3017">
        <f ca="1">IF(M47="住宅",0,IF(L48&gt;J51,L60,J60))</f>
        <v>2</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3018" t="s">
        <v>1526</v>
      </c>
      <c r="J47" s="2783" t="s">
        <v>3375</v>
      </c>
      <c r="K47" s="3019" t="s">
        <v>1527</v>
      </c>
      <c r="L47" s="3020">
        <f ca="1">INDIRECT("'数据-取费表'!d"&amp;$G$1)</f>
        <v>40</v>
      </c>
      <c r="M47" s="1840" t="str">
        <f>IF(ISNUMBER(FIND("住宅",C1)),"住宅","非住宅")</f>
        <v>非住宅</v>
      </c>
      <c r="O47" s="1886" t="s">
        <v>1040</v>
      </c>
      <c r="P47" s="1887" t="s">
        <v>1528</v>
      </c>
      <c r="Q47" s="1888">
        <f ca="1">C40+J29</f>
        <v>340</v>
      </c>
      <c r="R47" s="1888" t="s">
        <v>1529</v>
      </c>
    </row>
    <row r="48" spans="1:18" s="1844" customFormat="1" ht="28.5" thickBot="1">
      <c r="A48" s="1362" t="s">
        <v>1135</v>
      </c>
      <c r="B48" s="345" t="s">
        <v>1401</v>
      </c>
      <c r="C48" s="1819">
        <f ca="1">C49+C53+C55</f>
        <v>0</v>
      </c>
      <c r="D48" s="1364"/>
      <c r="E48" s="1365"/>
      <c r="F48" s="1183"/>
      <c r="G48" s="791"/>
      <c r="H48" s="792"/>
      <c r="I48" s="1924" t="s">
        <v>1530</v>
      </c>
      <c r="J48" s="3021" t="s">
        <v>3376</v>
      </c>
      <c r="K48" s="3022" t="s">
        <v>1531</v>
      </c>
      <c r="L48" s="818">
        <f ca="1">INDIRECT("'数据-取费表'!f"&amp;$G$1)</f>
        <v>34.26</v>
      </c>
      <c r="O48" s="1886" t="s">
        <v>1041</v>
      </c>
      <c r="P48" s="1887" t="s">
        <v>1532</v>
      </c>
      <c r="Q48" s="1888">
        <f ca="1">J60</f>
        <v>2</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924" t="s">
        <v>1534</v>
      </c>
      <c r="J49" s="3023">
        <v>2015</v>
      </c>
      <c r="K49" s="3022" t="s">
        <v>1535</v>
      </c>
      <c r="L49" s="2767"/>
      <c r="O49" s="1896" t="s">
        <v>1042</v>
      </c>
      <c r="P49" s="1887" t="s">
        <v>1536</v>
      </c>
      <c r="Q49" s="1888">
        <f ca="1">C29</f>
        <v>83</v>
      </c>
      <c r="R49" s="1888" t="s">
        <v>1529</v>
      </c>
    </row>
    <row r="50" spans="1:18" s="1844" customFormat="1" ht="13.5" thickBot="1">
      <c r="A50" s="1197"/>
      <c r="B50" s="1200"/>
      <c r="C50" s="1370"/>
      <c r="D50" s="1174"/>
      <c r="E50" s="1279" t="s">
        <v>1406</v>
      </c>
      <c r="F50" s="1280">
        <f ca="1">F7</f>
        <v>168.91</v>
      </c>
      <c r="H50" s="792"/>
      <c r="I50" s="1924" t="s">
        <v>1537</v>
      </c>
      <c r="J50" s="3024">
        <f>SUMPRODUCT((I63:I65=J47)*(J62:L62=J48)*(J63:L65))</f>
        <v>60</v>
      </c>
      <c r="K50" s="3022" t="s">
        <v>1538</v>
      </c>
      <c r="L50" s="2767"/>
      <c r="M50" s="1898"/>
      <c r="O50" s="1896" t="s">
        <v>1043</v>
      </c>
      <c r="P50" s="1887" t="s">
        <v>1539</v>
      </c>
      <c r="Q50" s="1899">
        <f ca="1">J58</f>
        <v>0.4</v>
      </c>
      <c r="R50" s="1888"/>
    </row>
    <row r="51" spans="1:18" s="1844" customFormat="1" ht="13.5" thickBot="1">
      <c r="A51" s="1198"/>
      <c r="B51" s="1200"/>
      <c r="C51" s="1201"/>
      <c r="D51" s="1174"/>
      <c r="E51" s="1202" t="s">
        <v>1407</v>
      </c>
      <c r="F51" s="348">
        <f ca="1">F8</f>
        <v>365</v>
      </c>
      <c r="I51" s="3025" t="s">
        <v>1540</v>
      </c>
      <c r="J51" s="3026">
        <f>IF(J49="",J50,J49+J50-YEAR('数据-取费表'!B2))</f>
        <v>57</v>
      </c>
      <c r="K51" s="3027" t="s">
        <v>1541</v>
      </c>
      <c r="L51" s="3028">
        <f ca="1">ROUND(-PV(INDIRECT("'数据-取费表'!h"&amp;$G$1),L48,(C39-C13*C76),0),0)</f>
        <v>110</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3029">
        <v>0.09</v>
      </c>
      <c r="K52" s="2869" t="s">
        <v>1544</v>
      </c>
      <c r="L52" s="3029"/>
      <c r="O52" s="1896" t="s">
        <v>1045</v>
      </c>
      <c r="P52" s="1887" t="s">
        <v>1545</v>
      </c>
      <c r="Q52" s="1888">
        <f ca="1">J53</f>
        <v>34.26</v>
      </c>
      <c r="R52" s="1888" t="s">
        <v>1546</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1547</v>
      </c>
      <c r="J53" s="3030">
        <f ca="1">IF(M47="住宅",J51,IF(D1="——",MIN(J51,L48),IF(D1="在建（套用方法）",MIN(J51,L48-'数据-取费表'!B24),IF(D1="土地（套用方法）",MIN(J51,L48-'数据-取费表'!B20)))))</f>
        <v>34.26</v>
      </c>
      <c r="K53" s="3229" t="s">
        <v>1548</v>
      </c>
      <c r="L53" s="3230"/>
      <c r="O53" s="1886" t="s">
        <v>1046</v>
      </c>
      <c r="P53" s="1887" t="s">
        <v>1549</v>
      </c>
      <c r="Q53" s="1888">
        <f ca="1">Q47+Q48</f>
        <v>342</v>
      </c>
      <c r="R53" s="1888" t="s">
        <v>1047</v>
      </c>
    </row>
    <row r="54" spans="1:18" s="1844" customFormat="1" ht="51.75" thickBot="1">
      <c r="A54" s="1408"/>
      <c r="B54" s="1827" t="s">
        <v>1388</v>
      </c>
      <c r="C54" s="1180"/>
      <c r="D54" s="1826"/>
      <c r="E54" s="1834"/>
      <c r="F54" s="1909"/>
      <c r="I54" s="3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3032">
        <f ca="1">ROUND(IF(J47="钢混",J57/J50,1-(1-2%)*(J50-J57)/J50),3)</f>
        <v>0.379</v>
      </c>
      <c r="K55" s="3033" t="s">
        <v>1552</v>
      </c>
      <c r="L55" s="3034" t="s">
        <v>3377</v>
      </c>
      <c r="O55" s="1879" t="s">
        <v>1522</v>
      </c>
      <c r="P55" s="1880" t="s">
        <v>1523</v>
      </c>
      <c r="Q55" s="1881" t="s">
        <v>1524</v>
      </c>
      <c r="R55" s="1881" t="s">
        <v>1525</v>
      </c>
    </row>
    <row r="56" spans="1:18" s="1844" customFormat="1" ht="25.5" thickTop="1" thickBot="1">
      <c r="A56" s="1178">
        <v>2</v>
      </c>
      <c r="B56" s="1179" t="s">
        <v>1414</v>
      </c>
      <c r="C56" s="276">
        <f ca="1">C13</f>
        <v>79</v>
      </c>
      <c r="D56" s="1916"/>
      <c r="E56" s="1917"/>
      <c r="F56" s="1909"/>
      <c r="I56" s="1918" t="s">
        <v>1553</v>
      </c>
      <c r="J56" s="3035" t="s">
        <v>3059</v>
      </c>
      <c r="K56" s="1924" t="s">
        <v>1554</v>
      </c>
      <c r="L56" s="818" t="str">
        <f ca="1">IF(L48&lt;J51,"——",L48-J53)</f>
        <v>——</v>
      </c>
      <c r="O56" s="1886" t="s">
        <v>1040</v>
      </c>
      <c r="P56" s="1887" t="s">
        <v>1528</v>
      </c>
      <c r="Q56" s="1888">
        <f ca="1">C40+J29</f>
        <v>340</v>
      </c>
      <c r="R56" s="1888" t="s">
        <v>1529</v>
      </c>
    </row>
    <row r="57" spans="1:18" s="1844" customFormat="1" ht="24.75" thickBot="1">
      <c r="A57" s="1920"/>
      <c r="B57" s="1171" t="s">
        <v>1478</v>
      </c>
      <c r="C57" s="282">
        <f ca="1">C29</f>
        <v>83</v>
      </c>
      <c r="D57" s="1921"/>
      <c r="E57" s="1922"/>
      <c r="F57" s="1923"/>
      <c r="I57" s="1924" t="s">
        <v>1555</v>
      </c>
      <c r="J57" s="235">
        <f ca="1">IF(OR(M47="住宅",J51&lt;L48,J56="是"),"——",J51-L48)</f>
        <v>22.740000000000002</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8</v>
      </c>
      <c r="D58" s="1181" t="s">
        <v>1425</v>
      </c>
      <c r="E58" s="1182"/>
      <c r="F58" s="1183"/>
      <c r="I58" s="1924" t="s">
        <v>1559</v>
      </c>
      <c r="J58" s="3036">
        <f ca="1">IF(J55&lt;0.4,0.4,J55)</f>
        <v>0.4</v>
      </c>
      <c r="K58" s="3027"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7</v>
      </c>
      <c r="D59" s="1184" t="s">
        <v>1430</v>
      </c>
      <c r="E59" s="1185" t="s">
        <v>1431</v>
      </c>
      <c r="F59" s="368" t="str">
        <f ca="1">IF(项目基本情况!B11="企业","",IF(INDIRECT("'数据-取费表'!c"&amp;$G$1)="住宅",5%,IF(F49*F50*F51/12/(1+'数据-取费表'!C42)&gt;20000,12%,7%)))</f>
        <v/>
      </c>
      <c r="I59" s="1924" t="s">
        <v>1562</v>
      </c>
      <c r="J59" s="235">
        <f ca="1">IF(OR(M47="住宅",J51&lt;L48,J56="是"),"——",ROUND(C29*J58,0))</f>
        <v>33</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3037" t="s">
        <v>1564</v>
      </c>
      <c r="J60" s="3038">
        <f ca="1">IF(OR(M47="住宅",J51&lt;L48,J56="是"),"0",ROUND(J59/(1+J52)^J53,0))</f>
        <v>2</v>
      </c>
      <c r="K60" s="3039" t="s">
        <v>1565</v>
      </c>
      <c r="L60" s="303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6.97</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0.05</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340</v>
      </c>
      <c r="R62" s="1888" t="s">
        <v>1047</v>
      </c>
    </row>
    <row r="63" spans="1:18" s="1844" customFormat="1" ht="13.5" thickBot="1">
      <c r="A63" s="372"/>
      <c r="B63" s="1177"/>
      <c r="C63" s="29"/>
      <c r="D63" s="1187"/>
      <c r="E63" s="1171" t="s">
        <v>1499</v>
      </c>
      <c r="F63" s="348">
        <f t="shared" ca="1" si="0"/>
        <v>31.79</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1.2</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0.1</v>
      </c>
      <c r="D65" s="1185" t="s">
        <v>1454</v>
      </c>
      <c r="E65" s="1171" t="s">
        <v>1455</v>
      </c>
      <c r="F65" s="376">
        <f t="shared" ca="1" si="0"/>
        <v>1.5E-3</v>
      </c>
      <c r="I65" s="1931" t="s">
        <v>1578</v>
      </c>
      <c r="J65" s="1932">
        <v>40</v>
      </c>
      <c r="K65" s="1932">
        <v>30</v>
      </c>
      <c r="L65" s="1932">
        <v>50</v>
      </c>
      <c r="M65" s="1934">
        <v>0.02</v>
      </c>
      <c r="O65" s="1886" t="s">
        <v>1040</v>
      </c>
      <c r="P65" s="1887" t="s">
        <v>1579</v>
      </c>
      <c r="Q65" s="1888">
        <f ca="1">C40+J29</f>
        <v>340</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-8</v>
      </c>
      <c r="D67" s="1184" t="s">
        <v>1464</v>
      </c>
      <c r="E67" s="1189"/>
      <c r="F67" s="1190"/>
      <c r="O67" s="1896" t="s">
        <v>1042</v>
      </c>
      <c r="P67" s="1887" t="s">
        <v>1561</v>
      </c>
      <c r="Q67" s="1935">
        <f ca="1">L51</f>
        <v>110</v>
      </c>
      <c r="R67" s="1888" t="s">
        <v>1581</v>
      </c>
    </row>
    <row r="68" spans="1:18" s="1844" customFormat="1" ht="16.5" thickBot="1">
      <c r="A68" s="1168" t="s">
        <v>1032</v>
      </c>
      <c r="B68" s="1169" t="s">
        <v>1485</v>
      </c>
      <c r="C68" s="346">
        <f ca="1">ROUND(C67*(1-((1+F70)/(1+F68))^F69)/(F68-F70),0)</f>
        <v>-130</v>
      </c>
      <c r="D68" s="1186" t="s">
        <v>1469</v>
      </c>
      <c r="E68" s="1171" t="s">
        <v>1470</v>
      </c>
      <c r="F68" s="357">
        <f ca="1">F40</f>
        <v>0.05</v>
      </c>
      <c r="O68" s="1896" t="s">
        <v>1043</v>
      </c>
      <c r="P68" s="1936" t="s">
        <v>1582</v>
      </c>
      <c r="Q68" s="1888">
        <f ca="1">ROUND(Q69-Q70*Q71,0)</f>
        <v>6</v>
      </c>
      <c r="R68" s="1888" t="s">
        <v>1051</v>
      </c>
    </row>
    <row r="69" spans="1:18" s="1844" customFormat="1" ht="13.5" thickBot="1">
      <c r="A69" s="1172"/>
      <c r="B69" s="1173"/>
      <c r="C69" s="351"/>
      <c r="D69" s="1191" t="s">
        <v>1473</v>
      </c>
      <c r="E69" s="1171" t="s">
        <v>1474</v>
      </c>
      <c r="F69" s="379">
        <f ca="1">F41</f>
        <v>34.26</v>
      </c>
      <c r="O69" s="1896" t="s">
        <v>1048</v>
      </c>
      <c r="P69" s="1936" t="s">
        <v>1583</v>
      </c>
      <c r="Q69" s="1888">
        <f ca="1">C39</f>
        <v>13.100000000000001</v>
      </c>
      <c r="R69" s="1888" t="s">
        <v>1529</v>
      </c>
    </row>
    <row r="70" spans="1:18" s="1844" customFormat="1" ht="13.5" thickBot="1">
      <c r="A70" s="1175"/>
      <c r="B70" s="1176"/>
      <c r="C70" s="355"/>
      <c r="D70" s="1187"/>
      <c r="E70" s="1171" t="s">
        <v>1477</v>
      </c>
      <c r="F70" s="1277"/>
      <c r="O70" s="1896" t="s">
        <v>1049</v>
      </c>
      <c r="P70" s="1936" t="s">
        <v>1584</v>
      </c>
      <c r="Q70" s="1888">
        <f ca="1">C13</f>
        <v>79</v>
      </c>
      <c r="R70" s="1888" t="s">
        <v>1529</v>
      </c>
    </row>
    <row r="71" spans="1:18" s="1844" customFormat="1" ht="13.5" thickBot="1">
      <c r="A71" s="1192" t="s">
        <v>1033</v>
      </c>
      <c r="B71" s="1193" t="s">
        <v>1487</v>
      </c>
      <c r="C71" s="382">
        <f ca="1">ROUND(C68*10000/F71,0)</f>
        <v>-7696</v>
      </c>
      <c r="D71" s="1194" t="s">
        <v>1488</v>
      </c>
      <c r="E71" s="1195" t="s">
        <v>1489</v>
      </c>
      <c r="F71" s="385">
        <f ca="1">F43</f>
        <v>168.91</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7</v>
      </c>
      <c r="D75" s="1844"/>
      <c r="E75" s="1844"/>
      <c r="F75" s="1844"/>
      <c r="K75" s="1870"/>
      <c r="L75" s="1844"/>
      <c r="O75" s="1886" t="s">
        <v>1046</v>
      </c>
      <c r="P75" s="1887" t="s">
        <v>1549</v>
      </c>
      <c r="Q75" s="1888">
        <f ca="1">Q65+Q66</f>
        <v>340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0.46599999999999997</v>
      </c>
    </row>
    <row r="80" spans="1:18">
      <c r="B80" s="386" t="s">
        <v>1511</v>
      </c>
      <c r="C80" s="318">
        <f ca="1">ROUND(C75/C39,3)</f>
        <v>0.53400000000000003</v>
      </c>
    </row>
    <row r="81" spans="2:3">
      <c r="B81" s="314" t="s">
        <v>1512</v>
      </c>
      <c r="C81" s="282"/>
    </row>
    <row r="82" spans="2:3">
      <c r="B82" s="317" t="s">
        <v>1513</v>
      </c>
      <c r="C82" s="319">
        <f ca="1">1-C83</f>
        <v>0.76800000000000002</v>
      </c>
    </row>
    <row r="83" spans="2:3">
      <c r="B83" s="317" t="s">
        <v>1514</v>
      </c>
      <c r="C83" s="318">
        <f ca="1">ROUND(C13/C40,3)</f>
        <v>0.23200000000000001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codeName="Sheet14">
    <tabColor rgb="FF00B0F0"/>
    <pageSetUpPr fitToPage="1"/>
  </sheetPr>
  <dimension ref="A1:AC132"/>
  <sheetViews>
    <sheetView topLeftCell="A21" zoomScale="90" zoomScaleNormal="90" workbookViewId="0">
      <selection activeCell="O47" sqref="O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3368</v>
      </c>
      <c r="E1" s="2657"/>
      <c r="F1" s="2584" t="s">
        <v>3378</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805</v>
      </c>
      <c r="C2" s="2586" t="s">
        <v>70</v>
      </c>
      <c r="D2" s="1367">
        <f ca="1">SUMIF(INDIRECT("'"&amp;F2&amp;"'"&amp;"!A:A"),"承租人权益价值",INDIRECT("'"&amp;F2&amp;"'"&amp;"!c:c"))</f>
        <v>0</v>
      </c>
      <c r="E2" s="2587" t="s">
        <v>2326</v>
      </c>
      <c r="F2" s="2588" t="s">
        <v>3379</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47633</v>
      </c>
      <c r="C3" s="400" t="s">
        <v>2642</v>
      </c>
      <c r="D3" s="399">
        <f>IF(D1="",'数据-汇总表'!E3,SUMIF('数据-汇总表'!$C19:$C33,D1,'数据-汇总表'!$E19:$E33))</f>
        <v>168.91</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54" t="s">
        <v>2644</v>
      </c>
      <c r="D4" s="3255"/>
      <c r="E4" s="3256" t="s">
        <v>2645</v>
      </c>
      <c r="F4" s="3257"/>
      <c r="G4" s="3254" t="s">
        <v>2646</v>
      </c>
      <c r="H4" s="3255"/>
      <c r="I4" s="3254" t="s">
        <v>2647</v>
      </c>
      <c r="J4" s="3255"/>
      <c r="K4" s="610" t="s">
        <v>2648</v>
      </c>
      <c r="L4" s="1132"/>
      <c r="M4" s="1133"/>
      <c r="N4" s="1133"/>
      <c r="O4" s="1133"/>
      <c r="P4" s="3258" t="s">
        <v>2649</v>
      </c>
      <c r="Q4" s="3259"/>
      <c r="R4" s="3240" t="s">
        <v>2645</v>
      </c>
      <c r="S4" s="3241"/>
      <c r="T4" s="3240" t="s">
        <v>2646</v>
      </c>
      <c r="U4" s="3241"/>
      <c r="V4" s="3237" t="s">
        <v>2647</v>
      </c>
      <c r="W4" s="3237"/>
      <c r="X4" s="1815"/>
      <c r="Y4" s="3240" t="s">
        <v>2649</v>
      </c>
      <c r="Z4" s="3241"/>
      <c r="AA4" s="3234" t="s">
        <v>2645</v>
      </c>
      <c r="AB4" s="3237" t="s">
        <v>2646</v>
      </c>
      <c r="AC4" s="3234" t="s">
        <v>2647</v>
      </c>
    </row>
    <row r="5" spans="1:29" ht="15">
      <c r="A5" s="404"/>
      <c r="B5" s="405"/>
      <c r="C5" s="3246" t="s">
        <v>3380</v>
      </c>
      <c r="D5" s="3247"/>
      <c r="E5" s="3244" t="s">
        <v>3381</v>
      </c>
      <c r="F5" s="3245"/>
      <c r="G5" s="3246" t="s">
        <v>3433</v>
      </c>
      <c r="H5" s="3247"/>
      <c r="I5" s="3246" t="s">
        <v>3434</v>
      </c>
      <c r="J5" s="3247"/>
      <c r="K5" s="610"/>
      <c r="L5" s="1132"/>
      <c r="M5" s="1133"/>
      <c r="N5" s="1133"/>
      <c r="O5" s="1133"/>
      <c r="P5" s="3260"/>
      <c r="Q5" s="3261"/>
      <c r="R5" s="3242"/>
      <c r="S5" s="3243"/>
      <c r="T5" s="3242"/>
      <c r="U5" s="3243"/>
      <c r="V5" s="3237"/>
      <c r="W5" s="3237"/>
      <c r="X5" s="1815"/>
      <c r="Y5" s="3242"/>
      <c r="Z5" s="3243"/>
      <c r="AA5" s="3235"/>
      <c r="AB5" s="3237"/>
      <c r="AC5" s="3235"/>
    </row>
    <row r="6" spans="1:29" ht="15.75" thickBot="1">
      <c r="A6" s="406"/>
      <c r="B6" s="407"/>
      <c r="C6" s="3248" t="s">
        <v>2544</v>
      </c>
      <c r="D6" s="3249"/>
      <c r="E6" s="3250" t="s">
        <v>3470</v>
      </c>
      <c r="F6" s="3251"/>
      <c r="G6" s="3252" t="s">
        <v>3473</v>
      </c>
      <c r="H6" s="3249"/>
      <c r="I6" s="3252" t="s">
        <v>3476</v>
      </c>
      <c r="J6" s="3249"/>
      <c r="K6" s="610" t="s">
        <v>2545</v>
      </c>
      <c r="L6" s="1132"/>
      <c r="M6" s="1133"/>
      <c r="N6" s="1133"/>
      <c r="O6" s="1133"/>
      <c r="P6" s="3262"/>
      <c r="Q6" s="3263"/>
      <c r="R6" s="3242"/>
      <c r="S6" s="3243"/>
      <c r="T6" s="3264"/>
      <c r="U6" s="3265"/>
      <c r="V6" s="3237"/>
      <c r="W6" s="3237"/>
      <c r="X6" s="1815"/>
      <c r="Y6" s="3264"/>
      <c r="Z6" s="3265"/>
      <c r="AA6" s="3236"/>
      <c r="AB6" s="3237"/>
      <c r="AC6" s="3236"/>
    </row>
    <row r="7" spans="1:29" s="117" customFormat="1" ht="15.75" thickBot="1">
      <c r="A7" s="408" t="s">
        <v>2546</v>
      </c>
      <c r="B7" s="409"/>
      <c r="C7" s="410">
        <f>'数据-取费表'!B2</f>
        <v>43202</v>
      </c>
      <c r="D7" s="411">
        <v>100</v>
      </c>
      <c r="E7" s="412">
        <f>C7</f>
        <v>43202</v>
      </c>
      <c r="F7" s="413">
        <f>SUMIF(58:58,YEAR(E7)&amp;"-"&amp;MONTH(E7),59:59)</f>
        <v>100</v>
      </c>
      <c r="G7" s="412">
        <f>C7</f>
        <v>43202</v>
      </c>
      <c r="H7" s="411">
        <f>SUMIF(58:58,YEAR(G7)&amp;"-"&amp;MONTH(G7),59:59)</f>
        <v>100</v>
      </c>
      <c r="I7" s="412">
        <f>C7</f>
        <v>43202</v>
      </c>
      <c r="J7" s="411">
        <f>SUMIF(58:58,YEAR(I7)&amp;"-"&amp;MONTH(I7),59:59)</f>
        <v>100</v>
      </c>
      <c r="K7" s="611"/>
      <c r="L7" s="1134"/>
      <c r="M7" s="1135"/>
      <c r="N7" s="1135"/>
      <c r="O7" s="1135"/>
      <c r="P7" s="3238" t="s">
        <v>2547</v>
      </c>
      <c r="Q7" s="3266"/>
      <c r="R7" s="769" t="s">
        <v>17</v>
      </c>
      <c r="S7" s="770">
        <f t="shared" ref="S7:S15" si="0">F7</f>
        <v>100</v>
      </c>
      <c r="T7" s="769" t="s">
        <v>17</v>
      </c>
      <c r="U7" s="770">
        <f t="shared" ref="U7:U15" si="1">H7</f>
        <v>100</v>
      </c>
      <c r="V7" s="769" t="s">
        <v>17</v>
      </c>
      <c r="W7" s="770">
        <f t="shared" ref="W7:W15" si="2">J7</f>
        <v>100</v>
      </c>
      <c r="X7" s="771"/>
      <c r="Y7" s="3238" t="s">
        <v>2547</v>
      </c>
      <c r="Z7" s="3239"/>
      <c r="AA7" s="772">
        <f>D7/F7</f>
        <v>1</v>
      </c>
      <c r="AB7" s="772">
        <f>D7/H7</f>
        <v>1</v>
      </c>
      <c r="AC7" s="772">
        <f>D7/J7</f>
        <v>1</v>
      </c>
    </row>
    <row r="8" spans="1:29" s="117" customFormat="1" ht="15.75" thickBot="1">
      <c r="A8" s="408" t="s">
        <v>2548</v>
      </c>
      <c r="B8" s="409"/>
      <c r="C8" s="414" t="s">
        <v>2650</v>
      </c>
      <c r="D8" s="411">
        <v>100</v>
      </c>
      <c r="E8" s="414" t="s">
        <v>3382</v>
      </c>
      <c r="F8" s="413">
        <f>SUMIF(61:61,E8,62:62)-SUMIF(61:61,C8,62:62)+100</f>
        <v>100</v>
      </c>
      <c r="G8" s="414" t="s">
        <v>3382</v>
      </c>
      <c r="H8" s="411">
        <f>SUMIF(61:61,G8,62:62)-SUMIF(61:61,C8,62:62)+100</f>
        <v>100</v>
      </c>
      <c r="I8" s="414" t="s">
        <v>3382</v>
      </c>
      <c r="J8" s="411">
        <f>SUMIF(61:61,I8,62:62)-SUMIF(61:61,C8,62:62)+100</f>
        <v>100</v>
      </c>
      <c r="K8" s="611"/>
      <c r="L8" s="1134"/>
      <c r="M8" s="1135"/>
      <c r="N8" s="1135"/>
      <c r="O8" s="1135"/>
      <c r="P8" s="3238" t="s">
        <v>2550</v>
      </c>
      <c r="Q8" s="3239"/>
      <c r="R8" s="769" t="s">
        <v>17</v>
      </c>
      <c r="S8" s="770">
        <f t="shared" si="0"/>
        <v>100</v>
      </c>
      <c r="T8" s="769" t="s">
        <v>17</v>
      </c>
      <c r="U8" s="770">
        <f t="shared" si="1"/>
        <v>100</v>
      </c>
      <c r="V8" s="769" t="s">
        <v>17</v>
      </c>
      <c r="W8" s="770">
        <f t="shared" si="2"/>
        <v>100</v>
      </c>
      <c r="X8" s="771"/>
      <c r="Y8" s="3238" t="s">
        <v>2550</v>
      </c>
      <c r="Z8" s="3239"/>
      <c r="AA8" s="772">
        <f t="shared" ref="AA8:AA46" si="3">D8/F8</f>
        <v>1</v>
      </c>
      <c r="AB8" s="772">
        <f t="shared" ref="AB8:AB46" si="4">D8/H8</f>
        <v>1</v>
      </c>
      <c r="AC8" s="772">
        <f t="shared" ref="AC8:AC46" si="5">D8/J8</f>
        <v>1</v>
      </c>
    </row>
    <row r="9" spans="1:29" s="117" customFormat="1">
      <c r="A9" s="415" t="s">
        <v>2551</v>
      </c>
      <c r="B9" s="71" t="s">
        <v>2552</v>
      </c>
      <c r="C9" s="2957" t="s">
        <v>3383</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53" t="s">
        <v>2553</v>
      </c>
      <c r="Q9" s="1797" t="str">
        <f t="shared" ref="Q9:Q15" si="6">B9</f>
        <v>用途</v>
      </c>
      <c r="R9" s="769" t="s">
        <v>17</v>
      </c>
      <c r="S9" s="770">
        <f t="shared" si="0"/>
        <v>100</v>
      </c>
      <c r="T9" s="769" t="s">
        <v>17</v>
      </c>
      <c r="U9" s="770">
        <f t="shared" si="1"/>
        <v>100</v>
      </c>
      <c r="V9" s="769" t="s">
        <v>17</v>
      </c>
      <c r="W9" s="770">
        <f t="shared" si="2"/>
        <v>100</v>
      </c>
      <c r="X9" s="771"/>
      <c r="Y9" s="3106" t="s">
        <v>2554</v>
      </c>
      <c r="Z9" s="55" t="str">
        <f t="shared" ref="Z9:Z15" si="7">Q9</f>
        <v>用途</v>
      </c>
      <c r="AA9" s="772">
        <f t="shared" si="3"/>
        <v>1</v>
      </c>
      <c r="AB9" s="772">
        <f t="shared" si="4"/>
        <v>1</v>
      </c>
      <c r="AC9" s="772">
        <f t="shared" si="5"/>
        <v>1</v>
      </c>
    </row>
    <row r="10" spans="1:29" s="427" customFormat="1" ht="27">
      <c r="A10" s="421"/>
      <c r="B10" s="422" t="s">
        <v>2555</v>
      </c>
      <c r="C10" s="2964" t="s">
        <v>3444</v>
      </c>
      <c r="D10" s="136">
        <v>100</v>
      </c>
      <c r="E10" s="2965" t="s">
        <v>3444</v>
      </c>
      <c r="F10" s="425">
        <f>SUMIF(65:65,E10,66:66)-SUMIF(65:65,C10,66:66)+100</f>
        <v>100</v>
      </c>
      <c r="G10" s="2964" t="s">
        <v>3444</v>
      </c>
      <c r="H10" s="136">
        <f>SUMIF(65:65,G10,66:66)-SUMIF(65:65,C10,66:66)+100</f>
        <v>100</v>
      </c>
      <c r="I10" s="2964" t="s">
        <v>3444</v>
      </c>
      <c r="J10" s="136">
        <f>SUMIF(65:65,I10,66:66)-SUMIF(65:65,C10,66:66)+100</f>
        <v>100</v>
      </c>
      <c r="K10" s="612"/>
      <c r="L10" s="1137"/>
      <c r="M10" s="1138"/>
      <c r="N10" s="1138"/>
      <c r="O10" s="1138"/>
      <c r="P10" s="3253"/>
      <c r="Q10" s="1797" t="str">
        <f t="shared" si="6"/>
        <v>土地使用年限（年）</v>
      </c>
      <c r="R10" s="769" t="s">
        <v>17</v>
      </c>
      <c r="S10" s="770">
        <f t="shared" si="0"/>
        <v>100</v>
      </c>
      <c r="T10" s="769" t="s">
        <v>17</v>
      </c>
      <c r="U10" s="770">
        <f t="shared" si="1"/>
        <v>100</v>
      </c>
      <c r="V10" s="769" t="s">
        <v>17</v>
      </c>
      <c r="W10" s="770">
        <f t="shared" si="2"/>
        <v>100</v>
      </c>
      <c r="X10" s="771"/>
      <c r="Y10" s="3106"/>
      <c r="Z10" s="55" t="str">
        <f t="shared" si="7"/>
        <v>土地使用年限（年）</v>
      </c>
      <c r="AA10" s="772">
        <f t="shared" si="3"/>
        <v>1</v>
      </c>
      <c r="AB10" s="772">
        <f t="shared" si="4"/>
        <v>1</v>
      </c>
      <c r="AC10" s="772">
        <f t="shared" si="5"/>
        <v>1</v>
      </c>
    </row>
    <row r="11" spans="1:29" ht="15.75" thickBot="1">
      <c r="A11" s="428"/>
      <c r="B11" s="422" t="s">
        <v>2556</v>
      </c>
      <c r="C11" s="429">
        <f>'数据-汇总表'!I3</f>
        <v>5.31</v>
      </c>
      <c r="D11" s="136">
        <v>100</v>
      </c>
      <c r="E11" s="430">
        <v>4</v>
      </c>
      <c r="F11" s="425">
        <f>LOOKUP(E11,68:68,69:69)-LOOKUP(C11,68:68,69:69)+100</f>
        <v>100</v>
      </c>
      <c r="G11" s="429">
        <v>4.09</v>
      </c>
      <c r="H11" s="136">
        <f>LOOKUP(G11,68:68,69:69)-LOOKUP(C11,68:68,69:69)+100</f>
        <v>100</v>
      </c>
      <c r="I11" s="429">
        <v>2.2999999999999998</v>
      </c>
      <c r="J11" s="136">
        <f>LOOKUP(I11,68:68,69:69)-LOOKUP(C11,68:68,69:69)+100</f>
        <v>105</v>
      </c>
      <c r="K11" s="612">
        <v>5</v>
      </c>
      <c r="L11" s="1140"/>
      <c r="M11" s="1133"/>
      <c r="N11" s="1133"/>
      <c r="O11" s="1133"/>
      <c r="P11" s="3253"/>
      <c r="Q11" s="1797" t="str">
        <f t="shared" si="6"/>
        <v>容积率</v>
      </c>
      <c r="R11" s="769" t="s">
        <v>17</v>
      </c>
      <c r="S11" s="770">
        <f t="shared" si="0"/>
        <v>100</v>
      </c>
      <c r="T11" s="769" t="s">
        <v>17</v>
      </c>
      <c r="U11" s="770">
        <f t="shared" si="1"/>
        <v>100</v>
      </c>
      <c r="V11" s="769" t="s">
        <v>17</v>
      </c>
      <c r="W11" s="770">
        <f t="shared" si="2"/>
        <v>105</v>
      </c>
      <c r="X11" s="771"/>
      <c r="Y11" s="3106"/>
      <c r="Z11" s="55" t="str">
        <f t="shared" si="7"/>
        <v>容积率</v>
      </c>
      <c r="AA11" s="772">
        <f t="shared" si="3"/>
        <v>1</v>
      </c>
      <c r="AB11" s="772">
        <f t="shared" si="4"/>
        <v>1</v>
      </c>
      <c r="AC11" s="772">
        <f t="shared" si="5"/>
        <v>0.95238095238095233</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53"/>
      <c r="Q12" s="1797">
        <f t="shared" si="6"/>
        <v>111</v>
      </c>
      <c r="R12" s="769" t="s">
        <v>17</v>
      </c>
      <c r="S12" s="770">
        <f t="shared" si="0"/>
        <v>100</v>
      </c>
      <c r="T12" s="769" t="s">
        <v>17</v>
      </c>
      <c r="U12" s="770">
        <f t="shared" si="1"/>
        <v>100</v>
      </c>
      <c r="V12" s="769" t="s">
        <v>17</v>
      </c>
      <c r="W12" s="770">
        <f t="shared" si="2"/>
        <v>100</v>
      </c>
      <c r="X12" s="771"/>
      <c r="Y12" s="3106"/>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53"/>
      <c r="Q13" s="1797">
        <f t="shared" si="6"/>
        <v>111</v>
      </c>
      <c r="R13" s="769" t="s">
        <v>17</v>
      </c>
      <c r="S13" s="770">
        <f t="shared" si="0"/>
        <v>100</v>
      </c>
      <c r="T13" s="769" t="s">
        <v>17</v>
      </c>
      <c r="U13" s="770">
        <f t="shared" si="1"/>
        <v>100</v>
      </c>
      <c r="V13" s="769" t="s">
        <v>17</v>
      </c>
      <c r="W13" s="770">
        <f t="shared" si="2"/>
        <v>100</v>
      </c>
      <c r="X13" s="771"/>
      <c r="Y13" s="3106"/>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53"/>
      <c r="Q14" s="1797">
        <f t="shared" si="6"/>
        <v>111</v>
      </c>
      <c r="R14" s="769" t="s">
        <v>17</v>
      </c>
      <c r="S14" s="770">
        <f t="shared" si="0"/>
        <v>100</v>
      </c>
      <c r="T14" s="769" t="s">
        <v>17</v>
      </c>
      <c r="U14" s="770">
        <f t="shared" si="1"/>
        <v>100</v>
      </c>
      <c r="V14" s="769" t="s">
        <v>17</v>
      </c>
      <c r="W14" s="770">
        <f t="shared" si="2"/>
        <v>100</v>
      </c>
      <c r="X14" s="771"/>
      <c r="Y14" s="3106"/>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97</v>
      </c>
      <c r="G15" s="444"/>
      <c r="H15" s="441">
        <f>SUMIF(76:76,G16,77:77)-SUMIF(76:76,C16,77:77)+100</f>
        <v>97</v>
      </c>
      <c r="I15" s="442"/>
      <c r="J15" s="441">
        <f>SUMIF(76:76,I16,77:77)-SUMIF(76:76,C16,77:77)+100</f>
        <v>100</v>
      </c>
      <c r="K15" s="614">
        <v>3</v>
      </c>
      <c r="L15" s="1142"/>
      <c r="M15" s="1133"/>
      <c r="N15" s="1133"/>
      <c r="O15" s="1133"/>
      <c r="P15" s="3267" t="s">
        <v>2558</v>
      </c>
      <c r="Q15" s="1812" t="str">
        <f t="shared" si="6"/>
        <v>商业繁华度</v>
      </c>
      <c r="R15" s="773" t="s">
        <v>17</v>
      </c>
      <c r="S15" s="774">
        <f t="shared" si="0"/>
        <v>97</v>
      </c>
      <c r="T15" s="773" t="s">
        <v>17</v>
      </c>
      <c r="U15" s="774">
        <f t="shared" si="1"/>
        <v>97</v>
      </c>
      <c r="V15" s="773" t="s">
        <v>17</v>
      </c>
      <c r="W15" s="774">
        <f t="shared" si="2"/>
        <v>100</v>
      </c>
      <c r="X15" s="1815"/>
      <c r="Y15" s="3269" t="s">
        <v>2558</v>
      </c>
      <c r="Z15" s="1816" t="str">
        <f t="shared" si="7"/>
        <v>商业繁华度</v>
      </c>
      <c r="AA15" s="1813">
        <f t="shared" si="3"/>
        <v>1.0309278350515463</v>
      </c>
      <c r="AB15" s="1813">
        <f t="shared" si="4"/>
        <v>1.0309278350515463</v>
      </c>
      <c r="AC15" s="1813">
        <f t="shared" si="5"/>
        <v>1</v>
      </c>
    </row>
    <row r="16" spans="1:29" ht="15">
      <c r="A16" s="428"/>
      <c r="B16" s="446"/>
      <c r="C16" s="447" t="s">
        <v>3384</v>
      </c>
      <c r="D16" s="448"/>
      <c r="E16" s="447" t="s">
        <v>3385</v>
      </c>
      <c r="F16" s="449"/>
      <c r="G16" s="447" t="s">
        <v>3385</v>
      </c>
      <c r="H16" s="450"/>
      <c r="I16" s="447" t="s">
        <v>3384</v>
      </c>
      <c r="J16" s="448"/>
      <c r="K16" s="615"/>
      <c r="L16" s="1142"/>
      <c r="M16" s="1133"/>
      <c r="N16" s="1133"/>
      <c r="O16" s="1133"/>
      <c r="P16" s="3268"/>
      <c r="Q16" s="1812"/>
      <c r="R16" s="773"/>
      <c r="S16" s="774"/>
      <c r="T16" s="773"/>
      <c r="U16" s="774"/>
      <c r="V16" s="773"/>
      <c r="W16" s="774"/>
      <c r="X16" s="1815"/>
      <c r="Y16" s="3270"/>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68"/>
      <c r="Q17" s="1812" t="str">
        <f>B17</f>
        <v>交通便捷度</v>
      </c>
      <c r="R17" s="773" t="s">
        <v>17</v>
      </c>
      <c r="S17" s="774">
        <f>F17</f>
        <v>100</v>
      </c>
      <c r="T17" s="773" t="s">
        <v>17</v>
      </c>
      <c r="U17" s="774">
        <f>H17</f>
        <v>100</v>
      </c>
      <c r="V17" s="773" t="s">
        <v>17</v>
      </c>
      <c r="W17" s="774">
        <f>J17</f>
        <v>100</v>
      </c>
      <c r="X17" s="1815"/>
      <c r="Y17" s="3270"/>
      <c r="Z17" s="1816" t="str">
        <f>Q17</f>
        <v>交通便捷度</v>
      </c>
      <c r="AA17" s="1813">
        <f t="shared" si="3"/>
        <v>1</v>
      </c>
      <c r="AB17" s="1813">
        <f t="shared" si="4"/>
        <v>1</v>
      </c>
      <c r="AC17" s="1813">
        <f t="shared" si="5"/>
        <v>1</v>
      </c>
    </row>
    <row r="18" spans="1:29" ht="15">
      <c r="A18" s="428"/>
      <c r="B18" s="456"/>
      <c r="C18" s="2608" t="s">
        <v>3384</v>
      </c>
      <c r="D18" s="450"/>
      <c r="E18" s="2610" t="s">
        <v>3384</v>
      </c>
      <c r="F18" s="453"/>
      <c r="G18" s="2609" t="s">
        <v>3384</v>
      </c>
      <c r="H18" s="448"/>
      <c r="I18" s="2610" t="s">
        <v>3384</v>
      </c>
      <c r="J18" s="448"/>
      <c r="K18" s="615"/>
      <c r="L18" s="1142"/>
      <c r="M18" s="1133"/>
      <c r="N18" s="1133"/>
      <c r="O18" s="1133"/>
      <c r="P18" s="3268"/>
      <c r="Q18" s="1812"/>
      <c r="R18" s="773"/>
      <c r="S18" s="774"/>
      <c r="T18" s="773"/>
      <c r="U18" s="774"/>
      <c r="V18" s="773"/>
      <c r="W18" s="774"/>
      <c r="X18" s="1815"/>
      <c r="Y18" s="3270"/>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68"/>
      <c r="Q19" s="1812" t="str">
        <f>B19</f>
        <v>公共配套设施</v>
      </c>
      <c r="R19" s="773" t="s">
        <v>17</v>
      </c>
      <c r="S19" s="774">
        <f>F19</f>
        <v>100</v>
      </c>
      <c r="T19" s="773" t="s">
        <v>17</v>
      </c>
      <c r="U19" s="774">
        <f>H19</f>
        <v>100</v>
      </c>
      <c r="V19" s="773" t="s">
        <v>17</v>
      </c>
      <c r="W19" s="774">
        <f>J19</f>
        <v>100</v>
      </c>
      <c r="X19" s="1815"/>
      <c r="Y19" s="3270"/>
      <c r="Z19" s="1816" t="str">
        <f>Q19</f>
        <v>公共配套设施</v>
      </c>
      <c r="AA19" s="1813">
        <f t="shared" si="3"/>
        <v>1</v>
      </c>
      <c r="AB19" s="1813">
        <f t="shared" si="4"/>
        <v>1</v>
      </c>
      <c r="AC19" s="1813">
        <f t="shared" si="5"/>
        <v>1</v>
      </c>
    </row>
    <row r="20" spans="1:29" ht="15">
      <c r="A20" s="428"/>
      <c r="B20" s="456"/>
      <c r="C20" s="447" t="s">
        <v>3384</v>
      </c>
      <c r="D20" s="448"/>
      <c r="E20" s="2605" t="s">
        <v>3384</v>
      </c>
      <c r="F20" s="449"/>
      <c r="G20" s="2604" t="s">
        <v>3384</v>
      </c>
      <c r="H20" s="448"/>
      <c r="I20" s="2605" t="s">
        <v>3384</v>
      </c>
      <c r="J20" s="448"/>
      <c r="K20" s="615"/>
      <c r="L20" s="1142"/>
      <c r="M20" s="1133"/>
      <c r="N20" s="1133"/>
      <c r="O20" s="1133"/>
      <c r="P20" s="3268"/>
      <c r="Q20" s="1812"/>
      <c r="R20" s="773"/>
      <c r="S20" s="774"/>
      <c r="T20" s="773"/>
      <c r="U20" s="774"/>
      <c r="V20" s="773"/>
      <c r="W20" s="774"/>
      <c r="X20" s="1815"/>
      <c r="Y20" s="3270"/>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68"/>
      <c r="Q21" s="1812" t="str">
        <f>B21</f>
        <v>基础设施水平</v>
      </c>
      <c r="R21" s="773" t="s">
        <v>17</v>
      </c>
      <c r="S21" s="774">
        <f>F21</f>
        <v>100</v>
      </c>
      <c r="T21" s="773" t="s">
        <v>17</v>
      </c>
      <c r="U21" s="774">
        <f>H21</f>
        <v>100</v>
      </c>
      <c r="V21" s="773" t="s">
        <v>17</v>
      </c>
      <c r="W21" s="774">
        <f>J21</f>
        <v>100</v>
      </c>
      <c r="X21" s="1815"/>
      <c r="Y21" s="3270"/>
      <c r="Z21" s="1816" t="str">
        <f>Q21</f>
        <v>基础设施水平</v>
      </c>
      <c r="AA21" s="1813">
        <f t="shared" ref="AA21" si="8">D21/F21</f>
        <v>1</v>
      </c>
      <c r="AB21" s="1813">
        <f t="shared" ref="AB21" si="9">D21/H21</f>
        <v>1</v>
      </c>
      <c r="AC21" s="1813">
        <f t="shared" ref="AC21" si="10">D21/J21</f>
        <v>1</v>
      </c>
    </row>
    <row r="22" spans="1:29" ht="15">
      <c r="A22" s="428"/>
      <c r="B22" s="1386"/>
      <c r="C22" s="2608" t="s">
        <v>3386</v>
      </c>
      <c r="D22" s="448"/>
      <c r="E22" s="447" t="s">
        <v>3386</v>
      </c>
      <c r="F22" s="449"/>
      <c r="G22" s="447" t="s">
        <v>3386</v>
      </c>
      <c r="H22" s="448"/>
      <c r="I22" s="447" t="s">
        <v>3386</v>
      </c>
      <c r="J22" s="448"/>
      <c r="K22" s="1385"/>
      <c r="L22" s="1142"/>
      <c r="M22" s="1133"/>
      <c r="N22" s="1133"/>
      <c r="O22" s="1133"/>
      <c r="P22" s="3268"/>
      <c r="Q22" s="1812"/>
      <c r="R22" s="773"/>
      <c r="S22" s="774"/>
      <c r="T22" s="773"/>
      <c r="U22" s="774"/>
      <c r="V22" s="773"/>
      <c r="W22" s="774"/>
      <c r="X22" s="1815"/>
      <c r="Y22" s="3270"/>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68"/>
      <c r="Q23" s="1812" t="str">
        <f>B23</f>
        <v>自然及人文环境</v>
      </c>
      <c r="R23" s="773" t="s">
        <v>17</v>
      </c>
      <c r="S23" s="774">
        <f>F23</f>
        <v>100</v>
      </c>
      <c r="T23" s="773" t="s">
        <v>17</v>
      </c>
      <c r="U23" s="774">
        <f>H23</f>
        <v>100</v>
      </c>
      <c r="V23" s="773" t="s">
        <v>17</v>
      </c>
      <c r="W23" s="774">
        <f>J23</f>
        <v>100</v>
      </c>
      <c r="X23" s="1815"/>
      <c r="Y23" s="3270"/>
      <c r="Z23" s="1816" t="str">
        <f>Q23</f>
        <v>自然及人文环境</v>
      </c>
      <c r="AA23" s="1813">
        <f t="shared" si="3"/>
        <v>1</v>
      </c>
      <c r="AB23" s="1813">
        <f t="shared" si="4"/>
        <v>1</v>
      </c>
      <c r="AC23" s="1813">
        <f t="shared" si="5"/>
        <v>1</v>
      </c>
    </row>
    <row r="24" spans="1:29" ht="15">
      <c r="A24" s="428"/>
      <c r="B24" s="456"/>
      <c r="C24" s="447" t="s">
        <v>3384</v>
      </c>
      <c r="D24" s="448"/>
      <c r="E24" s="2605" t="s">
        <v>3384</v>
      </c>
      <c r="F24" s="449"/>
      <c r="G24" s="2604" t="s">
        <v>3384</v>
      </c>
      <c r="H24" s="448"/>
      <c r="I24" s="2605" t="s">
        <v>3384</v>
      </c>
      <c r="J24" s="448"/>
      <c r="K24" s="615"/>
      <c r="L24" s="1142"/>
      <c r="M24" s="1133"/>
      <c r="N24" s="1133"/>
      <c r="O24" s="1133"/>
      <c r="P24" s="3268"/>
      <c r="Q24" s="1812"/>
      <c r="R24" s="773"/>
      <c r="S24" s="774"/>
      <c r="T24" s="773"/>
      <c r="U24" s="774"/>
      <c r="V24" s="773"/>
      <c r="W24" s="774"/>
      <c r="X24" s="1815"/>
      <c r="Y24" s="3270"/>
      <c r="Z24" s="1816"/>
      <c r="AA24" s="1813">
        <v>1</v>
      </c>
      <c r="AB24" s="1813">
        <v>1</v>
      </c>
      <c r="AC24" s="1813">
        <v>1</v>
      </c>
    </row>
    <row r="25" spans="1:29" ht="15">
      <c r="A25" s="428"/>
      <c r="B25" s="422" t="s">
        <v>2654</v>
      </c>
      <c r="C25" s="616" t="s">
        <v>3389</v>
      </c>
      <c r="D25" s="435">
        <v>100</v>
      </c>
      <c r="E25" s="616" t="s">
        <v>3389</v>
      </c>
      <c r="F25" s="461">
        <f>SUMIF(86:86,E25,87:87)-SUMIF(86:86,C25,87:87)+100</f>
        <v>100</v>
      </c>
      <c r="G25" s="616" t="s">
        <v>3389</v>
      </c>
      <c r="H25" s="435">
        <f>SUMIF(86:86,G25,87:87)-SUMIF(86:86,C25,87:87)+100</f>
        <v>100</v>
      </c>
      <c r="I25" s="616" t="s">
        <v>3389</v>
      </c>
      <c r="J25" s="435">
        <f>SUMIF(86:86,I25,87:87)-SUMIF(86:86,C25,87:87)+100</f>
        <v>100</v>
      </c>
      <c r="K25" s="612">
        <v>3</v>
      </c>
      <c r="L25" s="1142"/>
      <c r="M25" s="1133"/>
      <c r="N25" s="1133"/>
      <c r="O25" s="1133"/>
      <c r="P25" s="3268"/>
      <c r="Q25" s="1812" t="str">
        <f t="shared" ref="Q25:Q46" si="11">B25</f>
        <v>临街状况</v>
      </c>
      <c r="R25" s="773" t="s">
        <v>17</v>
      </c>
      <c r="S25" s="774">
        <f>F25</f>
        <v>100</v>
      </c>
      <c r="T25" s="773" t="s">
        <v>17</v>
      </c>
      <c r="U25" s="774">
        <f>H25</f>
        <v>100</v>
      </c>
      <c r="V25" s="773" t="s">
        <v>17</v>
      </c>
      <c r="W25" s="774">
        <f>J25</f>
        <v>100</v>
      </c>
      <c r="X25" s="1815"/>
      <c r="Y25" s="3270"/>
      <c r="Z25" s="1816" t="str">
        <f>Q25</f>
        <v>临街状况</v>
      </c>
      <c r="AA25" s="1813">
        <f t="shared" si="3"/>
        <v>1</v>
      </c>
      <c r="AB25" s="1813">
        <f t="shared" si="4"/>
        <v>1</v>
      </c>
      <c r="AC25" s="1813">
        <f t="shared" si="5"/>
        <v>1</v>
      </c>
    </row>
    <row r="26" spans="1:29" ht="15">
      <c r="A26" s="428"/>
      <c r="B26" s="1388" t="s">
        <v>2655</v>
      </c>
      <c r="C26" s="2962" t="s">
        <v>3392</v>
      </c>
      <c r="D26" s="435">
        <v>100</v>
      </c>
      <c r="E26" s="2962" t="s">
        <v>3392</v>
      </c>
      <c r="F26" s="461">
        <f>SUMIF(88:88,E26,89:89)-SUMIF(88:88,C26,89:89)+100</f>
        <v>100</v>
      </c>
      <c r="G26" s="2962" t="s">
        <v>3393</v>
      </c>
      <c r="H26" s="435">
        <f>SUMIF(88:88,G26,89:89)-SUMIF(88:88,C26,89:89)+100</f>
        <v>97</v>
      </c>
      <c r="I26" s="2962" t="s">
        <v>3392</v>
      </c>
      <c r="J26" s="435">
        <f>SUMIF(88:88,I26,89:89)-SUMIF(88:88,C26,89:89)+100</f>
        <v>100</v>
      </c>
      <c r="K26" s="613"/>
      <c r="L26" s="1142"/>
      <c r="M26" s="1133"/>
      <c r="N26" s="1133"/>
      <c r="O26" s="1133"/>
      <c r="P26" s="3268"/>
      <c r="Q26" s="1812" t="str">
        <f t="shared" si="11"/>
        <v>平面位置/可视性</v>
      </c>
      <c r="R26" s="773" t="s">
        <v>17</v>
      </c>
      <c r="S26" s="774">
        <f>F26</f>
        <v>100</v>
      </c>
      <c r="T26" s="773" t="s">
        <v>17</v>
      </c>
      <c r="U26" s="774">
        <f>H26</f>
        <v>97</v>
      </c>
      <c r="V26" s="773" t="s">
        <v>17</v>
      </c>
      <c r="W26" s="774">
        <f>J26</f>
        <v>100</v>
      </c>
      <c r="X26" s="1815"/>
      <c r="Y26" s="3270"/>
      <c r="Z26" s="1816" t="str">
        <f>Q26</f>
        <v>平面位置/可视性</v>
      </c>
      <c r="AA26" s="1813">
        <f t="shared" si="3"/>
        <v>1</v>
      </c>
      <c r="AB26" s="1813">
        <f t="shared" si="4"/>
        <v>1.0309278350515463</v>
      </c>
      <c r="AC26" s="1813">
        <f t="shared" si="5"/>
        <v>1</v>
      </c>
    </row>
    <row r="27" spans="1:29" s="117" customFormat="1" ht="15.75">
      <c r="A27" s="431"/>
      <c r="B27" s="451" t="s">
        <v>2656</v>
      </c>
      <c r="C27" s="2665" t="s">
        <v>3384</v>
      </c>
      <c r="D27" s="462">
        <v>100</v>
      </c>
      <c r="E27" s="2665" t="s">
        <v>3385</v>
      </c>
      <c r="F27" s="2968">
        <f>SUMIF(90:90,E27,91:91)-SUMIF(90:90,C27,91:91)+100</f>
        <v>99</v>
      </c>
      <c r="G27" s="2665" t="s">
        <v>3385</v>
      </c>
      <c r="H27" s="2967">
        <f>SUMIF(90:90,G27,91:91)-SUMIF(90:90,C27,91:91)+100</f>
        <v>99</v>
      </c>
      <c r="I27" s="2665" t="s">
        <v>3385</v>
      </c>
      <c r="J27" s="2967">
        <f>SUMIF(90:90,I27,91:91)-SUMIF(90:90,C27,91:91)+100</f>
        <v>99</v>
      </c>
      <c r="K27" s="2966">
        <v>1</v>
      </c>
      <c r="L27" s="1134"/>
      <c r="M27" s="1135"/>
      <c r="N27" s="1135"/>
      <c r="O27" s="1135"/>
      <c r="P27" s="3268"/>
      <c r="Q27" s="1797" t="str">
        <f t="shared" si="11"/>
        <v>人流量</v>
      </c>
      <c r="R27" s="769" t="s">
        <v>17</v>
      </c>
      <c r="S27" s="770">
        <f>F27</f>
        <v>99</v>
      </c>
      <c r="T27" s="769" t="s">
        <v>17</v>
      </c>
      <c r="U27" s="770">
        <f>H27</f>
        <v>99</v>
      </c>
      <c r="V27" s="769" t="s">
        <v>17</v>
      </c>
      <c r="W27" s="770">
        <f>J27</f>
        <v>99</v>
      </c>
      <c r="X27" s="771"/>
      <c r="Y27" s="3270"/>
      <c r="Z27" s="55" t="str">
        <f>Q27</f>
        <v>人流量</v>
      </c>
      <c r="AA27" s="1813">
        <f>D27/F27</f>
        <v>1.0101010101010102</v>
      </c>
      <c r="AB27" s="1813">
        <f>D27/H27</f>
        <v>1.0101010101010102</v>
      </c>
      <c r="AC27" s="1813">
        <f>D27/J27</f>
        <v>1.0101010101010102</v>
      </c>
    </row>
    <row r="28" spans="1:29" ht="15.75" thickBot="1">
      <c r="A28" s="428"/>
      <c r="B28" s="422" t="s">
        <v>2657</v>
      </c>
      <c r="C28" s="616" t="s">
        <v>3432</v>
      </c>
      <c r="D28" s="435">
        <v>100</v>
      </c>
      <c r="E28" s="616" t="s">
        <v>3432</v>
      </c>
      <c r="F28" s="461">
        <f>SUMIF(92:92,E28,93:93)-SUMIF(92:92,C28,93:93)+100</f>
        <v>100</v>
      </c>
      <c r="G28" s="616" t="s">
        <v>3432</v>
      </c>
      <c r="H28" s="435">
        <f>SUMIF(92:92,G28,93:93)-SUMIF(92:92,C28,93:93)+100</f>
        <v>100</v>
      </c>
      <c r="I28" s="616" t="s">
        <v>3432</v>
      </c>
      <c r="J28" s="435">
        <f>SUMIF(92:92,I28,93:93)-SUMIF(92:92,C28,93:93)+100</f>
        <v>100</v>
      </c>
      <c r="K28" s="613"/>
      <c r="L28" s="1142"/>
      <c r="M28" s="1133"/>
      <c r="N28" s="1133"/>
      <c r="O28" s="1133"/>
      <c r="P28" s="326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70"/>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8"/>
      <c r="Q29" s="1812">
        <f t="shared" si="11"/>
        <v>111</v>
      </c>
      <c r="R29" s="773" t="s">
        <v>17</v>
      </c>
      <c r="S29" s="774">
        <f t="shared" si="12"/>
        <v>100</v>
      </c>
      <c r="T29" s="773" t="s">
        <v>17</v>
      </c>
      <c r="U29" s="774">
        <f t="shared" si="13"/>
        <v>100</v>
      </c>
      <c r="V29" s="773" t="s">
        <v>17</v>
      </c>
      <c r="W29" s="774">
        <f t="shared" si="14"/>
        <v>100</v>
      </c>
      <c r="X29" s="1815"/>
      <c r="Y29" s="3270"/>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8"/>
      <c r="Q30" s="1812">
        <f t="shared" si="11"/>
        <v>111</v>
      </c>
      <c r="R30" s="773" t="s">
        <v>17</v>
      </c>
      <c r="S30" s="774">
        <f t="shared" si="12"/>
        <v>100</v>
      </c>
      <c r="T30" s="773" t="s">
        <v>17</v>
      </c>
      <c r="U30" s="774">
        <f t="shared" si="13"/>
        <v>100</v>
      </c>
      <c r="V30" s="773" t="s">
        <v>17</v>
      </c>
      <c r="W30" s="774">
        <f t="shared" si="14"/>
        <v>100</v>
      </c>
      <c r="X30" s="1815"/>
      <c r="Y30" s="3270"/>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8"/>
      <c r="Q31" s="1812">
        <f t="shared" si="11"/>
        <v>111</v>
      </c>
      <c r="R31" s="773" t="s">
        <v>17</v>
      </c>
      <c r="S31" s="774">
        <f t="shared" si="12"/>
        <v>100</v>
      </c>
      <c r="T31" s="773" t="s">
        <v>17</v>
      </c>
      <c r="U31" s="774">
        <f t="shared" si="13"/>
        <v>100</v>
      </c>
      <c r="V31" s="773" t="s">
        <v>17</v>
      </c>
      <c r="W31" s="774">
        <f t="shared" si="14"/>
        <v>100</v>
      </c>
      <c r="X31" s="1815"/>
      <c r="Y31" s="3270"/>
      <c r="Z31" s="1816">
        <f t="shared" si="15"/>
        <v>111</v>
      </c>
      <c r="AA31" s="1813">
        <f t="shared" si="3"/>
        <v>1</v>
      </c>
      <c r="AB31" s="1813">
        <f t="shared" si="4"/>
        <v>1</v>
      </c>
      <c r="AC31" s="1813">
        <f t="shared" si="5"/>
        <v>1</v>
      </c>
    </row>
    <row r="32" spans="1:29" ht="15">
      <c r="A32" s="440" t="s">
        <v>2561</v>
      </c>
      <c r="B32" s="71" t="s">
        <v>2658</v>
      </c>
      <c r="C32" s="2617" t="s">
        <v>3401</v>
      </c>
      <c r="D32" s="467">
        <v>100</v>
      </c>
      <c r="E32" s="2617" t="s">
        <v>3403</v>
      </c>
      <c r="F32" s="461">
        <f>SUMIF(100:100,E32,101:101)-SUMIF(100:100,C32,101:101)+100</f>
        <v>95</v>
      </c>
      <c r="G32" s="2617" t="s">
        <v>3403</v>
      </c>
      <c r="H32" s="435">
        <f>SUMIF(100:100,G32,101:101)-SUMIF(100:100,C32,101:101)+100</f>
        <v>95</v>
      </c>
      <c r="I32" s="2617" t="s">
        <v>3406</v>
      </c>
      <c r="J32" s="467">
        <f>SUMIF(100:100,I32,101:101)-SUMIF(100:100,C32,101:101)+100</f>
        <v>85</v>
      </c>
      <c r="K32" s="612">
        <v>5</v>
      </c>
      <c r="L32" s="1142"/>
      <c r="M32" s="1133"/>
      <c r="N32" s="1133"/>
      <c r="O32" s="1133"/>
      <c r="P32" s="3271" t="s">
        <v>2563</v>
      </c>
      <c r="Q32" s="1812" t="str">
        <f t="shared" si="11"/>
        <v>商业类型</v>
      </c>
      <c r="R32" s="773" t="s">
        <v>17</v>
      </c>
      <c r="S32" s="774">
        <f t="shared" si="12"/>
        <v>95</v>
      </c>
      <c r="T32" s="773" t="s">
        <v>17</v>
      </c>
      <c r="U32" s="774">
        <f t="shared" si="13"/>
        <v>95</v>
      </c>
      <c r="V32" s="773" t="s">
        <v>17</v>
      </c>
      <c r="W32" s="774">
        <f t="shared" si="14"/>
        <v>85</v>
      </c>
      <c r="X32" s="1815"/>
      <c r="Y32" s="3274" t="s">
        <v>2563</v>
      </c>
      <c r="Z32" s="1816" t="str">
        <f t="shared" si="15"/>
        <v>商业类型</v>
      </c>
      <c r="AA32" s="1813">
        <f t="shared" si="3"/>
        <v>1.0526315789473684</v>
      </c>
      <c r="AB32" s="1813">
        <f t="shared" si="4"/>
        <v>1.0526315789473684</v>
      </c>
      <c r="AC32" s="1813">
        <f t="shared" si="5"/>
        <v>1.1764705882352942</v>
      </c>
    </row>
    <row r="33" spans="1:29" s="471" customFormat="1" ht="15">
      <c r="A33" s="468"/>
      <c r="B33" s="422" t="s">
        <v>2564</v>
      </c>
      <c r="C33" s="469">
        <v>191290</v>
      </c>
      <c r="D33" s="136">
        <v>100</v>
      </c>
      <c r="E33" s="430">
        <v>80000</v>
      </c>
      <c r="F33" s="425">
        <f>LOOKUP(E33,103:103,104:104)-LOOKUP(C33,103:103,104:104)+100</f>
        <v>98</v>
      </c>
      <c r="G33" s="429">
        <v>220000</v>
      </c>
      <c r="H33" s="136">
        <f>LOOKUP(G33,103:103,104:104)-LOOKUP(C33,103:103,104:104)+100</f>
        <v>102</v>
      </c>
      <c r="I33" s="429">
        <v>184017</v>
      </c>
      <c r="J33" s="136">
        <f>LOOKUP(I33,103:103,104:104)-LOOKUP(C33,103:103,104:104)+100</f>
        <v>100</v>
      </c>
      <c r="K33" s="613"/>
      <c r="L33" s="1140"/>
      <c r="M33" s="1143"/>
      <c r="N33" s="1143"/>
      <c r="O33" s="1143"/>
      <c r="P33" s="3272"/>
      <c r="Q33" s="775" t="str">
        <f t="shared" si="11"/>
        <v>项目建筑规模</v>
      </c>
      <c r="R33" s="776" t="s">
        <v>17</v>
      </c>
      <c r="S33" s="777">
        <f t="shared" si="12"/>
        <v>98</v>
      </c>
      <c r="T33" s="776" t="s">
        <v>17</v>
      </c>
      <c r="U33" s="777">
        <f t="shared" si="13"/>
        <v>102</v>
      </c>
      <c r="V33" s="776" t="s">
        <v>17</v>
      </c>
      <c r="W33" s="777">
        <f t="shared" si="14"/>
        <v>100</v>
      </c>
      <c r="X33" s="778"/>
      <c r="Y33" s="3274"/>
      <c r="Z33" s="779" t="str">
        <f t="shared" si="15"/>
        <v>项目建筑规模</v>
      </c>
      <c r="AA33" s="1813">
        <f t="shared" si="3"/>
        <v>1.0204081632653061</v>
      </c>
      <c r="AB33" s="1813">
        <f t="shared" si="4"/>
        <v>0.98039215686274506</v>
      </c>
      <c r="AC33" s="1813">
        <f t="shared" si="5"/>
        <v>1</v>
      </c>
    </row>
    <row r="34" spans="1:29" ht="15">
      <c r="A34" s="472"/>
      <c r="B34" s="422" t="s">
        <v>2565</v>
      </c>
      <c r="C34" s="2619" t="s">
        <v>3375</v>
      </c>
      <c r="D34" s="435">
        <v>100</v>
      </c>
      <c r="E34" s="2619" t="s">
        <v>3375</v>
      </c>
      <c r="F34" s="461">
        <f>SUMIF(105:105,E34,106:106)-SUMIF(105:105,C34,106:106)+100</f>
        <v>100</v>
      </c>
      <c r="G34" s="2619" t="s">
        <v>3375</v>
      </c>
      <c r="H34" s="435">
        <f>SUMIF(105:105,G34,106:106)-SUMIF(105:105,C34,106:106)+100</f>
        <v>100</v>
      </c>
      <c r="I34" s="2619" t="s">
        <v>3375</v>
      </c>
      <c r="J34" s="435">
        <f>SUMIF(105:105,I34,106:106)-SUMIF(105:105,C34,106:106)+100</f>
        <v>100</v>
      </c>
      <c r="K34" s="612"/>
      <c r="L34" s="1142"/>
      <c r="M34" s="1133"/>
      <c r="N34" s="1133"/>
      <c r="O34" s="1133"/>
      <c r="P34" s="3272"/>
      <c r="Q34" s="1812" t="str">
        <f t="shared" si="11"/>
        <v>建筑结构</v>
      </c>
      <c r="R34" s="773" t="s">
        <v>17</v>
      </c>
      <c r="S34" s="774">
        <f t="shared" si="12"/>
        <v>100</v>
      </c>
      <c r="T34" s="773" t="s">
        <v>17</v>
      </c>
      <c r="U34" s="774">
        <f t="shared" si="13"/>
        <v>100</v>
      </c>
      <c r="V34" s="773" t="s">
        <v>17</v>
      </c>
      <c r="W34" s="774">
        <f t="shared" si="14"/>
        <v>100</v>
      </c>
      <c r="X34" s="1815"/>
      <c r="Y34" s="3274"/>
      <c r="Z34" s="1816" t="str">
        <f t="shared" si="15"/>
        <v>建筑结构</v>
      </c>
      <c r="AA34" s="1813">
        <f t="shared" si="3"/>
        <v>1</v>
      </c>
      <c r="AB34" s="1813">
        <f t="shared" si="4"/>
        <v>1</v>
      </c>
      <c r="AC34" s="1813">
        <f t="shared" si="5"/>
        <v>1</v>
      </c>
    </row>
    <row r="35" spans="1:29" ht="15">
      <c r="A35" s="472"/>
      <c r="B35" s="422" t="s">
        <v>2659</v>
      </c>
      <c r="C35" s="2613" t="s">
        <v>3412</v>
      </c>
      <c r="D35" s="435">
        <v>100</v>
      </c>
      <c r="E35" s="2613" t="s">
        <v>3414</v>
      </c>
      <c r="F35" s="461">
        <f>SUMIF(107:107,E35,108:108)-SUMIF(107:107,C35,108:108)+100</f>
        <v>97</v>
      </c>
      <c r="G35" s="2613" t="s">
        <v>3412</v>
      </c>
      <c r="H35" s="435">
        <f>SUMIF(107:107,G35,108:108)-SUMIF(107:107,C35,108:108)+100</f>
        <v>100</v>
      </c>
      <c r="I35" s="2613" t="s">
        <v>3412</v>
      </c>
      <c r="J35" s="435">
        <f>SUMIF(107:107,I35,108:108)-SUMIF(107:107,C35,108:108)+100</f>
        <v>100</v>
      </c>
      <c r="K35" s="612">
        <v>3</v>
      </c>
      <c r="L35" s="1142"/>
      <c r="M35" s="1133"/>
      <c r="N35" s="1133"/>
      <c r="O35" s="1133"/>
      <c r="P35" s="3272"/>
      <c r="Q35" s="1812" t="str">
        <f t="shared" si="11"/>
        <v>公共部分装修</v>
      </c>
      <c r="R35" s="773" t="s">
        <v>17</v>
      </c>
      <c r="S35" s="774">
        <f t="shared" si="12"/>
        <v>97</v>
      </c>
      <c r="T35" s="773" t="s">
        <v>17</v>
      </c>
      <c r="U35" s="774">
        <f t="shared" si="13"/>
        <v>100</v>
      </c>
      <c r="V35" s="773" t="s">
        <v>17</v>
      </c>
      <c r="W35" s="774">
        <f t="shared" si="14"/>
        <v>100</v>
      </c>
      <c r="X35" s="1815"/>
      <c r="Y35" s="3274"/>
      <c r="Z35" s="1816" t="str">
        <f t="shared" si="15"/>
        <v>公共部分装修</v>
      </c>
      <c r="AA35" s="1813">
        <f t="shared" si="3"/>
        <v>1.0309278350515463</v>
      </c>
      <c r="AB35" s="1813">
        <f t="shared" si="4"/>
        <v>1</v>
      </c>
      <c r="AC35" s="1813">
        <f t="shared" si="5"/>
        <v>1</v>
      </c>
    </row>
    <row r="36" spans="1:29" ht="15">
      <c r="A36" s="472"/>
      <c r="B36" s="422" t="s">
        <v>2660</v>
      </c>
      <c r="C36" s="474">
        <f>'数据-取费表'!N6</f>
        <v>0.95</v>
      </c>
      <c r="D36" s="435">
        <v>100</v>
      </c>
      <c r="E36" s="474">
        <v>0.95</v>
      </c>
      <c r="F36" s="461">
        <f>LOOKUP(E36,110:110,111:111)-LOOKUP(C36,110:110,111:111)+100</f>
        <v>100</v>
      </c>
      <c r="G36" s="474">
        <v>0.98</v>
      </c>
      <c r="H36" s="461">
        <f>LOOKUP(G36,110:110,111:111)-LOOKUP(C36,110:110,111:111)+100</f>
        <v>100</v>
      </c>
      <c r="I36" s="474">
        <v>0.98</v>
      </c>
      <c r="J36" s="435">
        <f>LOOKUP(I36,110:110,111:111)-LOOKUP(C36,110:110,111:111)+100</f>
        <v>100</v>
      </c>
      <c r="K36" s="612"/>
      <c r="L36" s="1142"/>
      <c r="M36" s="1133"/>
      <c r="N36" s="1133"/>
      <c r="O36" s="1133"/>
      <c r="P36" s="3272"/>
      <c r="Q36" s="1812" t="str">
        <f t="shared" si="11"/>
        <v>成新度</v>
      </c>
      <c r="R36" s="773" t="s">
        <v>17</v>
      </c>
      <c r="S36" s="774">
        <f t="shared" si="12"/>
        <v>100</v>
      </c>
      <c r="T36" s="773" t="s">
        <v>17</v>
      </c>
      <c r="U36" s="774">
        <f t="shared" si="13"/>
        <v>100</v>
      </c>
      <c r="V36" s="773" t="s">
        <v>17</v>
      </c>
      <c r="W36" s="774">
        <f t="shared" si="14"/>
        <v>100</v>
      </c>
      <c r="X36" s="1815"/>
      <c r="Y36" s="3274"/>
      <c r="Z36" s="1816" t="str">
        <f t="shared" si="15"/>
        <v>成新度</v>
      </c>
      <c r="AA36" s="1813">
        <f t="shared" si="3"/>
        <v>1</v>
      </c>
      <c r="AB36" s="1813">
        <f t="shared" si="4"/>
        <v>1</v>
      </c>
      <c r="AC36" s="1813">
        <f t="shared" si="5"/>
        <v>1</v>
      </c>
    </row>
    <row r="37" spans="1:29" s="117" customFormat="1" ht="15">
      <c r="A37" s="473"/>
      <c r="B37" s="422" t="s">
        <v>2661</v>
      </c>
      <c r="C37" s="2613" t="s">
        <v>3386</v>
      </c>
      <c r="D37" s="136">
        <v>100</v>
      </c>
      <c r="E37" s="2613" t="s">
        <v>3386</v>
      </c>
      <c r="F37" s="461">
        <f>SUMIF(112:112,E37,113:113)-SUMIF(112:112,C37,113:113)+100</f>
        <v>100</v>
      </c>
      <c r="G37" s="2613" t="s">
        <v>3386</v>
      </c>
      <c r="H37" s="435">
        <f>SUMIF(112:112,G37,113:113)-SUMIF(112:112,C37,113:113)+100</f>
        <v>100</v>
      </c>
      <c r="I37" s="2613" t="s">
        <v>3386</v>
      </c>
      <c r="J37" s="435">
        <f>SUMIF(112:112,I37,113:113)-SUMIF(112:112,C37,113:113)+100</f>
        <v>100</v>
      </c>
      <c r="K37" s="612"/>
      <c r="L37" s="1134"/>
      <c r="M37" s="1135"/>
      <c r="N37" s="1135"/>
      <c r="O37" s="1135"/>
      <c r="P37" s="3272"/>
      <c r="Q37" s="1797" t="str">
        <f t="shared" si="11"/>
        <v>市政基础设施</v>
      </c>
      <c r="R37" s="769" t="s">
        <v>17</v>
      </c>
      <c r="S37" s="770">
        <f t="shared" si="12"/>
        <v>100</v>
      </c>
      <c r="T37" s="769" t="s">
        <v>17</v>
      </c>
      <c r="U37" s="770">
        <f t="shared" si="13"/>
        <v>100</v>
      </c>
      <c r="V37" s="769" t="s">
        <v>17</v>
      </c>
      <c r="W37" s="770">
        <f t="shared" si="14"/>
        <v>100</v>
      </c>
      <c r="X37" s="771"/>
      <c r="Y37" s="3274"/>
      <c r="Z37" s="55" t="str">
        <f t="shared" si="15"/>
        <v>市政基础设施</v>
      </c>
      <c r="AA37" s="772">
        <f t="shared" si="3"/>
        <v>1</v>
      </c>
      <c r="AB37" s="772">
        <f t="shared" si="4"/>
        <v>1</v>
      </c>
      <c r="AC37" s="772">
        <f t="shared" si="5"/>
        <v>1</v>
      </c>
    </row>
    <row r="38" spans="1:29" ht="15">
      <c r="A38" s="472"/>
      <c r="B38" s="422" t="s">
        <v>2662</v>
      </c>
      <c r="C38" s="2613" t="s">
        <v>3423</v>
      </c>
      <c r="D38" s="435">
        <v>100</v>
      </c>
      <c r="E38" s="2613" t="s">
        <v>3425</v>
      </c>
      <c r="F38" s="461">
        <f>SUMIF(114:114,E38,115:115)-SUMIF(114:114,C38,115:115)+100</f>
        <v>95</v>
      </c>
      <c r="G38" s="2613" t="s">
        <v>3423</v>
      </c>
      <c r="H38" s="435">
        <f>SUMIF(114:114,G38,115:115)-SUMIF(114:114,C38,115:115)+100</f>
        <v>100</v>
      </c>
      <c r="I38" s="2613" t="s">
        <v>3427</v>
      </c>
      <c r="J38" s="435">
        <f>SUMIF(114:114,I38,115:115)-SUMIF(114:114,C38,115:115)+100</f>
        <v>90</v>
      </c>
      <c r="K38" s="612">
        <v>5</v>
      </c>
      <c r="L38" s="1142"/>
      <c r="M38" s="1133"/>
      <c r="N38" s="1133"/>
      <c r="O38" s="1133"/>
      <c r="P38" s="3272" t="s">
        <v>2563</v>
      </c>
      <c r="Q38" s="1812" t="str">
        <f t="shared" si="11"/>
        <v>业态</v>
      </c>
      <c r="R38" s="773" t="s">
        <v>17</v>
      </c>
      <c r="S38" s="774">
        <f t="shared" si="12"/>
        <v>95</v>
      </c>
      <c r="T38" s="773" t="s">
        <v>17</v>
      </c>
      <c r="U38" s="774">
        <f t="shared" si="13"/>
        <v>100</v>
      </c>
      <c r="V38" s="773" t="s">
        <v>17</v>
      </c>
      <c r="W38" s="774">
        <f t="shared" si="14"/>
        <v>90</v>
      </c>
      <c r="X38" s="1815"/>
      <c r="Y38" s="3274" t="s">
        <v>2563</v>
      </c>
      <c r="Z38" s="1816" t="str">
        <f t="shared" si="15"/>
        <v>业态</v>
      </c>
      <c r="AA38" s="1813">
        <f t="shared" si="3"/>
        <v>1.0526315789473684</v>
      </c>
      <c r="AB38" s="1813">
        <f t="shared" si="4"/>
        <v>1</v>
      </c>
      <c r="AC38" s="1813">
        <f t="shared" si="5"/>
        <v>1.1111111111111112</v>
      </c>
    </row>
    <row r="39" spans="1:29" ht="15">
      <c r="A39" s="472"/>
      <c r="B39" s="422" t="s">
        <v>2663</v>
      </c>
      <c r="C39" s="2613" t="s">
        <v>3429</v>
      </c>
      <c r="D39" s="435">
        <v>100</v>
      </c>
      <c r="E39" s="2613" t="s">
        <v>3429</v>
      </c>
      <c r="F39" s="461">
        <f>SUMIF(116:116,E39,117:117)-SUMIF(116:116,C39,117:117)+100</f>
        <v>100</v>
      </c>
      <c r="G39" s="2613" t="s">
        <v>3429</v>
      </c>
      <c r="H39" s="435">
        <f>SUMIF(116:116,G39,117:117)-SUMIF(116:116,C39,117:117)+100</f>
        <v>100</v>
      </c>
      <c r="I39" s="2613" t="s">
        <v>3429</v>
      </c>
      <c r="J39" s="435">
        <f>SUMIF(116:116,I39,117:117)-SUMIF(116:116,C39,117:117)+100</f>
        <v>100</v>
      </c>
      <c r="K39" s="612"/>
      <c r="L39" s="1142"/>
      <c r="M39" s="1133"/>
      <c r="N39" s="1133"/>
      <c r="O39" s="1133"/>
      <c r="P39" s="3272"/>
      <c r="Q39" s="1812" t="str">
        <f t="shared" si="11"/>
        <v>层高</v>
      </c>
      <c r="R39" s="773" t="s">
        <v>17</v>
      </c>
      <c r="S39" s="774">
        <f t="shared" si="12"/>
        <v>100</v>
      </c>
      <c r="T39" s="773" t="s">
        <v>17</v>
      </c>
      <c r="U39" s="774">
        <f t="shared" si="13"/>
        <v>100</v>
      </c>
      <c r="V39" s="773" t="s">
        <v>17</v>
      </c>
      <c r="W39" s="774">
        <f t="shared" si="14"/>
        <v>100</v>
      </c>
      <c r="X39" s="1815"/>
      <c r="Y39" s="3274"/>
      <c r="Z39" s="1816" t="str">
        <f t="shared" si="15"/>
        <v>层高</v>
      </c>
      <c r="AA39" s="1813">
        <f t="shared" si="3"/>
        <v>1</v>
      </c>
      <c r="AB39" s="1813">
        <f t="shared" si="4"/>
        <v>1</v>
      </c>
      <c r="AC39" s="1813">
        <f t="shared" si="5"/>
        <v>1</v>
      </c>
    </row>
    <row r="40" spans="1:29" ht="15">
      <c r="A40" s="472"/>
      <c r="B40" s="422" t="s">
        <v>2664</v>
      </c>
      <c r="C40" s="2963">
        <f>'数据-汇总表'!F19</f>
        <v>168.91</v>
      </c>
      <c r="D40" s="435">
        <v>100</v>
      </c>
      <c r="E40" s="617">
        <v>143</v>
      </c>
      <c r="F40" s="461">
        <f>SUMIF(118:118,E40,119:119)-SUMIF(118:118,C40,119:119)+100</f>
        <v>100</v>
      </c>
      <c r="G40" s="617">
        <v>150</v>
      </c>
      <c r="H40" s="435">
        <f>SUMIF(118:118,G40,119:119)-SUMIF(118:118,C40,119:119)+100</f>
        <v>100</v>
      </c>
      <c r="I40" s="617">
        <v>122</v>
      </c>
      <c r="J40" s="435">
        <f>SUMIF(118:118,I40,119:119)-SUMIF(118:118,C40,119:119)+100</f>
        <v>100</v>
      </c>
      <c r="K40" s="613"/>
      <c r="L40" s="1142"/>
      <c r="M40" s="1133"/>
      <c r="N40" s="1133"/>
      <c r="O40" s="1133"/>
      <c r="P40" s="3272"/>
      <c r="Q40" s="1812" t="str">
        <f t="shared" si="11"/>
        <v>单套建筑面积</v>
      </c>
      <c r="R40" s="773" t="s">
        <v>17</v>
      </c>
      <c r="S40" s="774">
        <f t="shared" si="12"/>
        <v>100</v>
      </c>
      <c r="T40" s="773" t="s">
        <v>17</v>
      </c>
      <c r="U40" s="774">
        <f t="shared" si="13"/>
        <v>100</v>
      </c>
      <c r="V40" s="773" t="s">
        <v>17</v>
      </c>
      <c r="W40" s="774">
        <f t="shared" si="14"/>
        <v>100</v>
      </c>
      <c r="X40" s="1815"/>
      <c r="Y40" s="3274"/>
      <c r="Z40" s="1816" t="str">
        <f t="shared" si="15"/>
        <v>单套建筑面积</v>
      </c>
      <c r="AA40" s="1813">
        <f t="shared" si="3"/>
        <v>1</v>
      </c>
      <c r="AB40" s="1813">
        <f t="shared" si="4"/>
        <v>1</v>
      </c>
      <c r="AC40" s="1813">
        <f t="shared" si="5"/>
        <v>1</v>
      </c>
    </row>
    <row r="41" spans="1:29" s="471" customFormat="1" ht="15">
      <c r="A41" s="468"/>
      <c r="B41" s="1814" t="s">
        <v>2665</v>
      </c>
      <c r="C41" s="616" t="s">
        <v>3385</v>
      </c>
      <c r="D41" s="435">
        <v>100</v>
      </c>
      <c r="E41" s="616" t="s">
        <v>3385</v>
      </c>
      <c r="F41" s="461">
        <f>SUMIF(120:120,E41,121:121)-SUMIF(120:120,C41,121:121)+100</f>
        <v>100</v>
      </c>
      <c r="G41" s="616" t="s">
        <v>3385</v>
      </c>
      <c r="H41" s="435">
        <f>SUMIF(120:120,G41,121:121)-SUMIF(120:120,C41,121:121)+100</f>
        <v>100</v>
      </c>
      <c r="I41" s="616" t="s">
        <v>3385</v>
      </c>
      <c r="J41" s="435">
        <f>SUMIF(120:120,I41,121:121)-SUMIF(120:120,C41,121:121)+100</f>
        <v>100</v>
      </c>
      <c r="K41" s="612">
        <v>3</v>
      </c>
      <c r="L41" s="1140"/>
      <c r="M41" s="1143"/>
      <c r="N41" s="1143"/>
      <c r="O41" s="1143"/>
      <c r="P41" s="3272"/>
      <c r="Q41" s="775" t="str">
        <f t="shared" si="11"/>
        <v>进深比</v>
      </c>
      <c r="R41" s="776" t="s">
        <v>17</v>
      </c>
      <c r="S41" s="777">
        <f t="shared" si="12"/>
        <v>100</v>
      </c>
      <c r="T41" s="776" t="s">
        <v>17</v>
      </c>
      <c r="U41" s="777">
        <f t="shared" si="13"/>
        <v>100</v>
      </c>
      <c r="V41" s="776" t="s">
        <v>17</v>
      </c>
      <c r="W41" s="777">
        <f t="shared" si="14"/>
        <v>100</v>
      </c>
      <c r="X41" s="778"/>
      <c r="Y41" s="3274"/>
      <c r="Z41" s="779" t="str">
        <f t="shared" si="15"/>
        <v>进深比</v>
      </c>
      <c r="AA41" s="1813">
        <f t="shared" si="3"/>
        <v>1</v>
      </c>
      <c r="AB41" s="1813">
        <f t="shared" si="4"/>
        <v>1</v>
      </c>
      <c r="AC41" s="1813">
        <f t="shared" si="5"/>
        <v>1</v>
      </c>
    </row>
    <row r="42" spans="1:29" ht="15">
      <c r="A42" s="472"/>
      <c r="B42" s="422" t="s">
        <v>2666</v>
      </c>
      <c r="C42" s="2613" t="s">
        <v>3414</v>
      </c>
      <c r="D42" s="435">
        <v>100</v>
      </c>
      <c r="E42" s="2613" t="s">
        <v>3416</v>
      </c>
      <c r="F42" s="461">
        <f>SUMIF(122:122,E42,123:123)-SUMIF(122:122,C42,123:123)+100</f>
        <v>97</v>
      </c>
      <c r="G42" s="2613" t="s">
        <v>3416</v>
      </c>
      <c r="H42" s="435">
        <f>SUMIF(122:122,G42,123:123)-SUMIF(122:122,C42,123:123)+100</f>
        <v>97</v>
      </c>
      <c r="I42" s="2613" t="s">
        <v>3416</v>
      </c>
      <c r="J42" s="435">
        <f>SUMIF(122:122,I42,123:123)-SUMIF(122:122,C42,123:123)+100</f>
        <v>97</v>
      </c>
      <c r="K42" s="612">
        <v>3</v>
      </c>
      <c r="L42" s="1142"/>
      <c r="M42" s="1133"/>
      <c r="N42" s="1133"/>
      <c r="O42" s="1133"/>
      <c r="P42" s="3272"/>
      <c r="Q42" s="1812" t="str">
        <f t="shared" si="11"/>
        <v>内部装修</v>
      </c>
      <c r="R42" s="773" t="s">
        <v>17</v>
      </c>
      <c r="S42" s="774">
        <f t="shared" si="12"/>
        <v>97</v>
      </c>
      <c r="T42" s="773" t="s">
        <v>17</v>
      </c>
      <c r="U42" s="774">
        <f t="shared" si="13"/>
        <v>97</v>
      </c>
      <c r="V42" s="773" t="s">
        <v>17</v>
      </c>
      <c r="W42" s="774">
        <f t="shared" si="14"/>
        <v>97</v>
      </c>
      <c r="X42" s="1815"/>
      <c r="Y42" s="3274"/>
      <c r="Z42" s="1816" t="str">
        <f t="shared" si="15"/>
        <v>内部装修</v>
      </c>
      <c r="AA42" s="1813">
        <f t="shared" si="3"/>
        <v>1.0309278350515463</v>
      </c>
      <c r="AB42" s="1813">
        <f t="shared" si="4"/>
        <v>1.0309278350515463</v>
      </c>
      <c r="AC42" s="1813">
        <f t="shared" si="5"/>
        <v>1.0309278350515463</v>
      </c>
    </row>
    <row r="43" spans="1:29" ht="15.75" thickBot="1">
      <c r="A43" s="472"/>
      <c r="B43" s="422" t="s">
        <v>2574</v>
      </c>
      <c r="C43" s="2613" t="s">
        <v>3385</v>
      </c>
      <c r="D43" s="435">
        <v>100</v>
      </c>
      <c r="E43" s="2613" t="s">
        <v>3385</v>
      </c>
      <c r="F43" s="461">
        <f>SUMIF(124:124,E43,125:125)-SUMIF(124:124,C43,125:125)+100</f>
        <v>100</v>
      </c>
      <c r="G43" s="2613" t="s">
        <v>3385</v>
      </c>
      <c r="H43" s="435">
        <f>SUMIF(124:124,G43,125:125)-SUMIF(124:124,C43,125:125)+100</f>
        <v>100</v>
      </c>
      <c r="I43" s="2613" t="s">
        <v>3385</v>
      </c>
      <c r="J43" s="435">
        <f>SUMIF(124:124,I43,125:125)-SUMIF(124:124,C43,125:125)+100</f>
        <v>100</v>
      </c>
      <c r="K43" s="612"/>
      <c r="L43" s="1142"/>
      <c r="M43" s="1133"/>
      <c r="N43" s="1133"/>
      <c r="O43" s="1133"/>
      <c r="P43" s="3272"/>
      <c r="Q43" s="1812" t="str">
        <f t="shared" si="11"/>
        <v>内部装修维护情况</v>
      </c>
      <c r="R43" s="773" t="s">
        <v>17</v>
      </c>
      <c r="S43" s="774">
        <f t="shared" si="12"/>
        <v>100</v>
      </c>
      <c r="T43" s="773" t="s">
        <v>17</v>
      </c>
      <c r="U43" s="774">
        <f t="shared" si="13"/>
        <v>100</v>
      </c>
      <c r="V43" s="773" t="s">
        <v>17</v>
      </c>
      <c r="W43" s="774">
        <f t="shared" si="14"/>
        <v>100</v>
      </c>
      <c r="X43" s="1815"/>
      <c r="Y43" s="3274"/>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72"/>
      <c r="Q44" s="1797">
        <f t="shared" si="11"/>
        <v>111</v>
      </c>
      <c r="R44" s="769" t="s">
        <v>17</v>
      </c>
      <c r="S44" s="770">
        <f t="shared" si="12"/>
        <v>100</v>
      </c>
      <c r="T44" s="769" t="s">
        <v>17</v>
      </c>
      <c r="U44" s="770">
        <f t="shared" si="13"/>
        <v>100</v>
      </c>
      <c r="V44" s="769" t="s">
        <v>17</v>
      </c>
      <c r="W44" s="770">
        <f t="shared" si="14"/>
        <v>100</v>
      </c>
      <c r="X44" s="771"/>
      <c r="Y44" s="3274"/>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72"/>
      <c r="Q45" s="1812">
        <f t="shared" si="11"/>
        <v>111</v>
      </c>
      <c r="R45" s="773" t="s">
        <v>17</v>
      </c>
      <c r="S45" s="774">
        <f t="shared" si="12"/>
        <v>100</v>
      </c>
      <c r="T45" s="773" t="s">
        <v>17</v>
      </c>
      <c r="U45" s="774">
        <f t="shared" si="13"/>
        <v>100</v>
      </c>
      <c r="V45" s="773" t="s">
        <v>17</v>
      </c>
      <c r="W45" s="774">
        <f t="shared" si="14"/>
        <v>100</v>
      </c>
      <c r="X45" s="1815"/>
      <c r="Y45" s="3274"/>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73"/>
      <c r="Q46" s="1812">
        <f t="shared" si="11"/>
        <v>111</v>
      </c>
      <c r="R46" s="773" t="s">
        <v>17</v>
      </c>
      <c r="S46" s="774">
        <f t="shared" si="12"/>
        <v>100</v>
      </c>
      <c r="T46" s="773" t="s">
        <v>17</v>
      </c>
      <c r="U46" s="774">
        <f t="shared" si="13"/>
        <v>100</v>
      </c>
      <c r="V46" s="773" t="s">
        <v>17</v>
      </c>
      <c r="W46" s="774">
        <f t="shared" si="14"/>
        <v>100</v>
      </c>
      <c r="X46" s="1815"/>
      <c r="Y46" s="3275"/>
      <c r="Z46" s="1816">
        <f t="shared" si="15"/>
        <v>111</v>
      </c>
      <c r="AA46" s="1813">
        <f t="shared" si="3"/>
        <v>1</v>
      </c>
      <c r="AB46" s="1813">
        <f t="shared" si="4"/>
        <v>1</v>
      </c>
      <c r="AC46" s="1813">
        <f t="shared" si="5"/>
        <v>1</v>
      </c>
    </row>
    <row r="47" spans="1:29" ht="15">
      <c r="A47" s="479" t="s">
        <v>2575</v>
      </c>
      <c r="B47" s="480"/>
      <c r="C47" s="1409" t="s">
        <v>1</v>
      </c>
      <c r="D47" s="1410"/>
      <c r="E47" s="1411">
        <f>ROUND(38500*0.95,0)</f>
        <v>36575</v>
      </c>
      <c r="F47" s="1412"/>
      <c r="G47" s="1413">
        <f>ROUND(40000*0.97,0)</f>
        <v>38800</v>
      </c>
      <c r="H47" s="1414"/>
      <c r="I47" s="1411">
        <f>ROUND(42000*0.97,0)</f>
        <v>40740</v>
      </c>
      <c r="J47" s="1414"/>
      <c r="K47" s="782"/>
      <c r="L47" s="1145"/>
      <c r="M47" s="1146"/>
      <c r="N47" s="1133"/>
      <c r="O47" s="1146"/>
      <c r="P47" s="3276" t="str">
        <f>A47</f>
        <v>成交单价（元/平方米）</v>
      </c>
      <c r="Q47" s="3276"/>
      <c r="R47" s="3237">
        <f>E47</f>
        <v>36575</v>
      </c>
      <c r="S47" s="3237"/>
      <c r="T47" s="3237">
        <f>G47</f>
        <v>38800</v>
      </c>
      <c r="U47" s="3237"/>
      <c r="V47" s="3237">
        <f>I47</f>
        <v>40740</v>
      </c>
      <c r="W47" s="3237"/>
      <c r="X47" s="758"/>
      <c r="Y47" s="780"/>
      <c r="Z47" s="758"/>
      <c r="AA47" s="758"/>
      <c r="AB47" s="758"/>
      <c r="AC47" s="758"/>
    </row>
    <row r="48" spans="1:29" ht="15.75" thickBot="1">
      <c r="A48" s="486" t="s">
        <v>2667</v>
      </c>
      <c r="B48" s="487"/>
      <c r="C48" s="1415">
        <f>R49</f>
        <v>47633</v>
      </c>
      <c r="D48" s="1416"/>
      <c r="E48" s="1417">
        <f>R48</f>
        <v>45768</v>
      </c>
      <c r="F48" s="1417"/>
      <c r="G48" s="1415">
        <f>T48</f>
        <v>44316</v>
      </c>
      <c r="H48" s="1416"/>
      <c r="I48" s="1417">
        <f>V48</f>
        <v>52816</v>
      </c>
      <c r="J48" s="1416"/>
      <c r="K48" s="783"/>
      <c r="L48" s="1145"/>
      <c r="M48" s="1146"/>
      <c r="N48" s="1133"/>
      <c r="O48" s="1146"/>
      <c r="P48" s="3276" t="str">
        <f>A48</f>
        <v>比较价值（元/平方米）</v>
      </c>
      <c r="Q48" s="3276"/>
      <c r="R48" s="3277">
        <f>IF(F1="售价",ROUND(PRODUCT(R47,AA7:AA46),0),ROUND(PRODUCT(R47,AA7:AA46),1))</f>
        <v>45768</v>
      </c>
      <c r="S48" s="3277"/>
      <c r="T48" s="3277">
        <f>IF(F1="售价",ROUND(PRODUCT(T47,AB7:AB46),0),ROUND(PRODUCT(T47,AB7:AB46),1))</f>
        <v>44316</v>
      </c>
      <c r="U48" s="3277"/>
      <c r="V48" s="3277">
        <f>IF(F1="售价",ROUND(PRODUCT(V47,AC7:AC46),0),ROUND(PRODUCT(V47,AC7:AC46),1))</f>
        <v>52816</v>
      </c>
      <c r="W48" s="3277"/>
      <c r="X48" s="758"/>
      <c r="Y48" s="758"/>
      <c r="Z48" s="758"/>
      <c r="AA48" s="758"/>
      <c r="AB48" s="758"/>
      <c r="AC48" s="758"/>
    </row>
    <row r="49" spans="1:29" ht="15.75" thickBot="1">
      <c r="A49" s="492" t="s">
        <v>2668</v>
      </c>
      <c r="B49" s="493"/>
      <c r="C49" s="1419">
        <f>R49</f>
        <v>47633</v>
      </c>
      <c r="D49" s="1419"/>
      <c r="E49" s="1419"/>
      <c r="F49" s="1419"/>
      <c r="G49" s="1419"/>
      <c r="H49" s="1419"/>
      <c r="I49" s="1419"/>
      <c r="J49" s="1419"/>
      <c r="K49" s="784"/>
      <c r="L49" s="1145"/>
      <c r="M49" s="1146"/>
      <c r="N49" s="1133"/>
      <c r="O49" s="1146"/>
      <c r="P49" s="3278" t="str">
        <f>A49</f>
        <v>估价对象XX用房的比较价值（楼面单价，元/平方米）</v>
      </c>
      <c r="Q49" s="3279"/>
      <c r="R49" s="3280">
        <f>IF(F1="售价",ROUND(AVERAGE(R48:V48),0),ROUND(AVERAGE(R48:V48),1))</f>
        <v>47633</v>
      </c>
      <c r="S49" s="3280"/>
      <c r="T49" s="3280"/>
      <c r="U49" s="3280"/>
      <c r="V49" s="3280"/>
      <c r="W49" s="328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0.25134654818865343</v>
      </c>
      <c r="F52" s="500" t="str">
        <f>IF(OR(E52&gt;=0.3,E52&lt;=-0.3),"超过30%","")</f>
        <v/>
      </c>
      <c r="G52" s="499">
        <f>IF(G47&lt;G48,G48/G47-1,G47/G48-1)</f>
        <v>0.14216494845360828</v>
      </c>
      <c r="H52" s="500" t="str">
        <f>IF(OR(G52&gt;=0.3,G52&lt;=-0.3),"超过30%","")</f>
        <v/>
      </c>
      <c r="I52" s="499">
        <f>IF(I47&lt;I48,I48/I47-1,I47/I48-1)</f>
        <v>0.29641629847815421</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3.2764689953966863E-2</v>
      </c>
      <c r="F53" s="500" t="str">
        <f>IF(OR(E53&gt;=0.2,E53&lt;=-0.2),"超过20%","")</f>
        <v/>
      </c>
      <c r="G53" s="499">
        <f>IF(G48&lt;I48,I48/G48-1,G48/I48-1)</f>
        <v>0.19180431446881485</v>
      </c>
      <c r="H53" s="500" t="str">
        <f>IF(OR(G53&gt;=0.2,G53&lt;=-0.2),"超过20%","")</f>
        <v/>
      </c>
      <c r="I53" s="499">
        <f>IF(I48&lt;E48,E48/I48-1,I48/E48-1)</f>
        <v>0.15399405698304491</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6.0833902939166018E-2</v>
      </c>
      <c r="F54" s="500" t="str">
        <f>IF(OR(E54&gt;=0.3,E54&lt;=-0.3),"超过30%","")</f>
        <v/>
      </c>
      <c r="G54" s="499">
        <f>IF(G47&lt;I47,I47/G47-1,G47/I47-1)</f>
        <v>5.0000000000000044E-2</v>
      </c>
      <c r="H54" s="500" t="str">
        <f>IF(OR(G54&gt;=0.3,G54&lt;=-0.3),"超过30%","")</f>
        <v/>
      </c>
      <c r="I54" s="499">
        <f>IF(I47&lt;E47,E47/I47-1,I47/E47-1)</f>
        <v>0.11387559808612435</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58" t="s">
        <v>3387</v>
      </c>
      <c r="D86" s="2958" t="s">
        <v>3388</v>
      </c>
      <c r="E86" s="2958" t="s">
        <v>3390</v>
      </c>
      <c r="F86" s="2958" t="s">
        <v>3391</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58" t="s">
        <v>3392</v>
      </c>
      <c r="D88" s="2958" t="s">
        <v>3393</v>
      </c>
      <c r="E88" s="2958" t="s">
        <v>3394</v>
      </c>
      <c r="F88" s="2959" t="s">
        <v>3395</v>
      </c>
      <c r="G88" s="2958" t="s">
        <v>3396</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58" t="s">
        <v>3392</v>
      </c>
      <c r="D90" s="2958" t="s">
        <v>3393</v>
      </c>
      <c r="E90" s="2958" t="s">
        <v>3394</v>
      </c>
      <c r="F90" s="2959" t="s">
        <v>3395</v>
      </c>
      <c r="G90" s="2958" t="s">
        <v>3396</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3397</v>
      </c>
      <c r="D92" s="554" t="s">
        <v>3399</v>
      </c>
      <c r="E92" s="554" t="s">
        <v>3398</v>
      </c>
      <c r="F92" s="554" t="s">
        <v>3400</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60" t="s">
        <v>3402</v>
      </c>
      <c r="D100" s="2960" t="s">
        <v>3404</v>
      </c>
      <c r="E100" s="2960" t="s">
        <v>3405</v>
      </c>
      <c r="F100" s="2960" t="s">
        <v>3407</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58" t="s">
        <v>3408</v>
      </c>
      <c r="D105" s="2958" t="s">
        <v>3409</v>
      </c>
      <c r="E105" s="2961" t="s">
        <v>3410</v>
      </c>
      <c r="F105" s="2961" t="s">
        <v>3411</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58" t="s">
        <v>3413</v>
      </c>
      <c r="D107" s="2958" t="s">
        <v>3415</v>
      </c>
      <c r="E107" s="2958" t="s">
        <v>3417</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2616</v>
      </c>
      <c r="C112" s="2958" t="s">
        <v>3422</v>
      </c>
      <c r="D112" s="2958" t="s">
        <v>3418</v>
      </c>
      <c r="E112" s="2958" t="s">
        <v>3419</v>
      </c>
      <c r="F112" s="2958" t="s">
        <v>3420</v>
      </c>
      <c r="G112" s="2958" t="s">
        <v>3421</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58" t="s">
        <v>3424</v>
      </c>
      <c r="D114" s="2958" t="s">
        <v>3426</v>
      </c>
      <c r="E114" s="2961" t="s">
        <v>3428</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0"/>
      <c r="Q115" s="504"/>
    </row>
    <row r="116" spans="1:17" ht="15" thickTop="1">
      <c r="A116" s="599"/>
      <c r="B116" s="538" t="s">
        <v>2681</v>
      </c>
      <c r="C116" s="2958" t="s">
        <v>3430</v>
      </c>
      <c r="D116" s="2958" t="s">
        <v>3431</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626">
        <f>'数据-汇总表'!F19</f>
        <v>168.91</v>
      </c>
      <c r="D118" s="626">
        <v>143</v>
      </c>
      <c r="E118" s="626">
        <v>150</v>
      </c>
      <c r="F118" s="626">
        <v>122</v>
      </c>
      <c r="G118" s="626"/>
      <c r="H118" s="555"/>
      <c r="I118" s="555"/>
      <c r="J118" s="555"/>
      <c r="K118" s="555"/>
      <c r="L118" s="556"/>
      <c r="M118" s="557"/>
      <c r="N118" s="1154"/>
      <c r="O118" s="1154"/>
      <c r="P118" s="2630"/>
      <c r="Q118" s="504"/>
    </row>
    <row r="119" spans="1:17" ht="15.75" thickBot="1">
      <c r="A119" s="534"/>
      <c r="B119" s="543"/>
      <c r="C119" s="560">
        <v>100</v>
      </c>
      <c r="D119" s="536">
        <v>100</v>
      </c>
      <c r="E119" s="536">
        <v>100</v>
      </c>
      <c r="F119" s="536">
        <v>100</v>
      </c>
      <c r="G119" s="536"/>
      <c r="H119" s="536"/>
      <c r="I119" s="536"/>
      <c r="J119" s="536"/>
      <c r="K119" s="536"/>
      <c r="L119" s="536"/>
      <c r="M119" s="537"/>
      <c r="N119" s="1155"/>
      <c r="O119" s="1155"/>
      <c r="P119" s="2630"/>
      <c r="Q119" s="504"/>
    </row>
    <row r="120" spans="1:17" s="471" customFormat="1" ht="15" thickTop="1">
      <c r="A120" s="593"/>
      <c r="B120" s="538" t="s">
        <v>2683</v>
      </c>
      <c r="C120" s="2958" t="s">
        <v>3392</v>
      </c>
      <c r="D120" s="2958" t="s">
        <v>3393</v>
      </c>
      <c r="E120" s="2958" t="s">
        <v>3394</v>
      </c>
      <c r="F120" s="2959" t="s">
        <v>3395</v>
      </c>
      <c r="G120" s="2958" t="s">
        <v>3396</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58" t="s">
        <v>3413</v>
      </c>
      <c r="D122" s="2958" t="s">
        <v>3415</v>
      </c>
      <c r="E122" s="2958" t="s">
        <v>3417</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31" t="s">
        <v>1403</v>
      </c>
      <c r="C6" s="1298">
        <f ca="1">ROUND(F6*F8*F7*(1-F9),0)</f>
        <v>0</v>
      </c>
      <c r="D6" s="164" t="s">
        <v>3027</v>
      </c>
      <c r="E6" s="347" t="s">
        <v>1405</v>
      </c>
      <c r="F6" s="348">
        <f ca="1">INDIRECT("'数据-取费表'!u"&amp;$G$1)</f>
        <v>0</v>
      </c>
      <c r="G6" s="1853"/>
      <c r="H6" s="1293" t="s">
        <v>1035</v>
      </c>
      <c r="I6" s="3231" t="s">
        <v>1403</v>
      </c>
      <c r="J6" s="346">
        <f ca="1">ROUND(M6*M8*M7*(1-M9),0)</f>
        <v>0</v>
      </c>
      <c r="K6" s="1836" t="s">
        <v>3028</v>
      </c>
      <c r="L6" s="347" t="s">
        <v>1405</v>
      </c>
      <c r="M6" s="348">
        <f ca="1">INDIRECT("'数据-取费表'!z"&amp;$G$1)</f>
        <v>0</v>
      </c>
    </row>
    <row r="7" spans="1:37" ht="18" customHeight="1">
      <c r="A7" s="1297"/>
      <c r="B7" s="3232"/>
      <c r="C7" s="1299"/>
      <c r="D7" s="352"/>
      <c r="E7" s="1300" t="s">
        <v>1406</v>
      </c>
      <c r="F7" s="348">
        <f ca="1">IF(INDIRECT("'数据-取费表'!ah"&amp;$G$1)="",INDIRECT("'数据-取费表'!k"&amp;$G$1),INDIRECT("'数据-取费表'!ah"&amp;$G$1))</f>
        <v>0</v>
      </c>
      <c r="G7" s="1853"/>
      <c r="H7" s="349"/>
      <c r="I7" s="3232"/>
      <c r="J7" s="351"/>
      <c r="K7" s="352"/>
      <c r="L7" s="347" t="s">
        <v>1406</v>
      </c>
      <c r="M7" s="348">
        <f ca="1">F7</f>
        <v>0</v>
      </c>
    </row>
    <row r="8" spans="1:37" ht="18" customHeight="1">
      <c r="A8" s="349"/>
      <c r="B8" s="3232"/>
      <c r="C8" s="351"/>
      <c r="D8" s="352"/>
      <c r="E8" s="347" t="s">
        <v>1407</v>
      </c>
      <c r="F8" s="348">
        <f ca="1">INDIRECT("'数据-取费表'!ai"&amp;$G$1)</f>
        <v>0</v>
      </c>
      <c r="G8" s="1853"/>
      <c r="H8" s="349"/>
      <c r="I8" s="3232"/>
      <c r="J8" s="351"/>
      <c r="K8" s="352"/>
      <c r="L8" s="347" t="s">
        <v>1407</v>
      </c>
      <c r="M8" s="348">
        <f ca="1">INDIRECT("'数据-取费表'!ai"&amp;$G$1)</f>
        <v>0</v>
      </c>
    </row>
    <row r="9" spans="1:37" ht="18" customHeight="1">
      <c r="A9" s="349"/>
      <c r="B9" s="3233"/>
      <c r="C9" s="351"/>
      <c r="D9" s="352"/>
      <c r="E9" s="347" t="s">
        <v>1408</v>
      </c>
      <c r="F9" s="357">
        <f ca="1">INDIRECT("'数据-取费表'!w"&amp;$G$1)</f>
        <v>0</v>
      </c>
      <c r="G9" s="1853"/>
      <c r="H9" s="349"/>
      <c r="I9" s="323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3038</v>
      </c>
      <c r="E10" s="358" t="s">
        <v>1410</v>
      </c>
      <c r="F10" s="1368"/>
      <c r="G10" s="1853"/>
      <c r="H10" s="1293" t="s">
        <v>1039</v>
      </c>
      <c r="I10" s="1825" t="s">
        <v>1409</v>
      </c>
      <c r="J10" s="346">
        <f ca="1">ROUND(IF(M10="押一",J6/12*M11,IF(M10="押二",J6/12*2*M11,IF(M10="押三",J6/12*3*M11,J11*M11))),0)</f>
        <v>0</v>
      </c>
      <c r="K10" s="1837" t="s">
        <v>3040</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3041</v>
      </c>
      <c r="E53" s="358" t="s">
        <v>1410</v>
      </c>
      <c r="F53" s="1368"/>
      <c r="I53" s="1907" t="s">
        <v>1547</v>
      </c>
      <c r="J53" s="1908" t="b">
        <f>IF(M47="住宅",J51,IF(D1="——",MIN(J51,L48),IF(D1="在建（套用方法）",MIN(J51,L48-'数据-取费表'!B24),IF(D1="土地（套用方法）",MIN(J51,L48-'数据-取费表'!B20)))))</f>
        <v>0</v>
      </c>
      <c r="K53" s="3229" t="s">
        <v>1548</v>
      </c>
      <c r="L53" s="3230"/>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342</v>
      </c>
      <c r="C2" s="2566" t="s">
        <v>2517</v>
      </c>
      <c r="D2" s="2567" t="s">
        <v>2518</v>
      </c>
      <c r="E2" s="2568">
        <f>SUM(E6:E13)</f>
        <v>168.91</v>
      </c>
    </row>
    <row r="3" spans="1:6" ht="15.75">
      <c r="A3" s="2564" t="s">
        <v>1395</v>
      </c>
      <c r="B3" s="2565">
        <f ca="1">ROUND(B2*10000/E2,0)</f>
        <v>20247</v>
      </c>
      <c r="C3" s="2566" t="s">
        <v>2525</v>
      </c>
      <c r="D3" s="2569"/>
      <c r="E3" s="2570"/>
    </row>
    <row r="4" spans="1:6" ht="15.75">
      <c r="A4" s="2571"/>
      <c r="B4" s="2569"/>
      <c r="C4" s="2569"/>
      <c r="D4" s="2569"/>
      <c r="E4" s="2570"/>
    </row>
    <row r="5" spans="1:6" ht="15">
      <c r="A5" s="2572" t="s">
        <v>2519</v>
      </c>
      <c r="B5" s="3281" t="s">
        <v>2520</v>
      </c>
      <c r="C5" s="3281"/>
      <c r="D5" s="2573"/>
      <c r="E5" s="2574" t="s">
        <v>2521</v>
      </c>
      <c r="F5" s="2575" t="s">
        <v>2522</v>
      </c>
    </row>
    <row r="6" spans="1:6">
      <c r="A6" s="2576" t="str">
        <f>'数据-取费表'!AN6</f>
        <v>收益法</v>
      </c>
      <c r="B6" s="2575">
        <f ca="1">IF(F6="是",'数据-取费表'!AO6,0)</f>
        <v>342</v>
      </c>
      <c r="C6" s="2566" t="s">
        <v>2517</v>
      </c>
      <c r="D6" s="2569"/>
      <c r="E6" s="2577">
        <f>IF(OR(A6=0,F6="否"),0,'数据-取费表'!K6+'数据-取费表'!S6)</f>
        <v>168.91</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2" t="s">
        <v>1076</v>
      </c>
      <c r="B1" s="3283"/>
      <c r="C1" s="3284"/>
      <c r="D1" s="3285">
        <f>SUM(I10,I15,I20,I21,I23)</f>
        <v>0</v>
      </c>
      <c r="E1" s="3285"/>
      <c r="F1" s="3285"/>
      <c r="G1" s="3285"/>
      <c r="H1" s="3285"/>
      <c r="I1" s="3286"/>
    </row>
    <row r="2" spans="1:9">
      <c r="A2" s="3287" t="s">
        <v>1077</v>
      </c>
      <c r="B2" s="3288" t="s">
        <v>1078</v>
      </c>
      <c r="C2" s="3288"/>
      <c r="D2" s="1303" t="s">
        <v>1079</v>
      </c>
      <c r="E2" s="1303" t="s">
        <v>1080</v>
      </c>
      <c r="F2" s="1303" t="s">
        <v>1081</v>
      </c>
      <c r="G2" s="1303" t="s">
        <v>1082</v>
      </c>
      <c r="H2" s="1303" t="s">
        <v>1083</v>
      </c>
      <c r="I2" s="1304" t="s">
        <v>1084</v>
      </c>
    </row>
    <row r="3" spans="1:9">
      <c r="A3" s="3287"/>
      <c r="B3" s="3288" t="s">
        <v>1085</v>
      </c>
      <c r="C3" s="3288"/>
      <c r="D3" s="1305"/>
      <c r="E3" s="1303"/>
      <c r="F3" s="1306"/>
      <c r="G3" s="1306"/>
      <c r="H3" s="1307"/>
      <c r="I3" s="1308">
        <f>ROUND(D3*E3*F3*G3*H3/10000,0)</f>
        <v>0</v>
      </c>
    </row>
    <row r="4" spans="1:9">
      <c r="A4" s="3287"/>
      <c r="B4" s="3288" t="s">
        <v>1086</v>
      </c>
      <c r="C4" s="3288"/>
      <c r="D4" s="1305"/>
      <c r="E4" s="1303"/>
      <c r="F4" s="1306"/>
      <c r="G4" s="1306"/>
      <c r="H4" s="1307"/>
      <c r="I4" s="1308">
        <f t="shared" ref="I4:I9" si="0">ROUND(D4*E4*F4*G4*H4/10000,0)</f>
        <v>0</v>
      </c>
    </row>
    <row r="5" spans="1:9">
      <c r="A5" s="3287"/>
      <c r="B5" s="3288" t="s">
        <v>1087</v>
      </c>
      <c r="C5" s="3288"/>
      <c r="D5" s="1305"/>
      <c r="E5" s="1303"/>
      <c r="F5" s="1306"/>
      <c r="G5" s="1306"/>
      <c r="H5" s="1307"/>
      <c r="I5" s="1308">
        <f t="shared" si="0"/>
        <v>0</v>
      </c>
    </row>
    <row r="6" spans="1:9">
      <c r="A6" s="3287"/>
      <c r="B6" s="3288" t="s">
        <v>1088</v>
      </c>
      <c r="C6" s="3288"/>
      <c r="D6" s="1305"/>
      <c r="E6" s="1303"/>
      <c r="F6" s="1306"/>
      <c r="G6" s="1306"/>
      <c r="H6" s="1307"/>
      <c r="I6" s="1308">
        <f t="shared" si="0"/>
        <v>0</v>
      </c>
    </row>
    <row r="7" spans="1:9">
      <c r="A7" s="3287"/>
      <c r="B7" s="3288" t="s">
        <v>1089</v>
      </c>
      <c r="C7" s="3288"/>
      <c r="D7" s="1305"/>
      <c r="E7" s="1303"/>
      <c r="F7" s="1306"/>
      <c r="G7" s="1306"/>
      <c r="H7" s="1307"/>
      <c r="I7" s="1308">
        <f t="shared" si="0"/>
        <v>0</v>
      </c>
    </row>
    <row r="8" spans="1:9">
      <c r="A8" s="3287"/>
      <c r="B8" s="3288" t="s">
        <v>1090</v>
      </c>
      <c r="C8" s="3288"/>
      <c r="D8" s="1305"/>
      <c r="E8" s="1303"/>
      <c r="F8" s="1306"/>
      <c r="G8" s="1306"/>
      <c r="H8" s="1307"/>
      <c r="I8" s="1308">
        <f t="shared" si="0"/>
        <v>0</v>
      </c>
    </row>
    <row r="9" spans="1:9">
      <c r="A9" s="3287"/>
      <c r="B9" s="3288" t="s">
        <v>1091</v>
      </c>
      <c r="C9" s="3288"/>
      <c r="D9" s="1305"/>
      <c r="E9" s="1303"/>
      <c r="F9" s="1306"/>
      <c r="G9" s="1306"/>
      <c r="H9" s="1307"/>
      <c r="I9" s="1308">
        <f t="shared" si="0"/>
        <v>0</v>
      </c>
    </row>
    <row r="10" spans="1:9">
      <c r="A10" s="3287"/>
      <c r="B10" s="3289" t="s">
        <v>1092</v>
      </c>
      <c r="C10" s="3289"/>
      <c r="D10" s="1309"/>
      <c r="E10" s="1309" t="e">
        <f>ROUND(D1*10000/D10/H9,0)</f>
        <v>#DIV/0!</v>
      </c>
      <c r="F10" s="1310"/>
      <c r="G10" s="1310"/>
      <c r="H10" s="1311"/>
      <c r="I10" s="1312">
        <f>SUM(I3:I9)</f>
        <v>0</v>
      </c>
    </row>
    <row r="11" spans="1:9" ht="14.25">
      <c r="A11" s="3287" t="s">
        <v>1093</v>
      </c>
      <c r="B11" s="3288" t="s">
        <v>1094</v>
      </c>
      <c r="C11" s="3288"/>
      <c r="D11" s="1305" t="s">
        <v>1095</v>
      </c>
      <c r="E11" s="1305" t="s">
        <v>1096</v>
      </c>
      <c r="F11" s="1306" t="s">
        <v>1097</v>
      </c>
      <c r="G11" s="1306" t="s">
        <v>1083</v>
      </c>
      <c r="H11" s="1313" t="s">
        <v>1098</v>
      </c>
      <c r="I11" s="1304" t="s">
        <v>1084</v>
      </c>
    </row>
    <row r="12" spans="1:9">
      <c r="A12" s="3287"/>
      <c r="B12" s="3288" t="s">
        <v>1099</v>
      </c>
      <c r="C12" s="3288"/>
      <c r="D12" s="1305"/>
      <c r="E12" s="1305"/>
      <c r="F12" s="1306"/>
      <c r="G12" s="1307"/>
      <c r="H12" s="1314"/>
      <c r="I12" s="1304">
        <f>ROUND(D12*E12*F12*G12/10000,0)</f>
        <v>0</v>
      </c>
    </row>
    <row r="13" spans="1:9">
      <c r="A13" s="3287"/>
      <c r="B13" s="3288" t="s">
        <v>1100</v>
      </c>
      <c r="C13" s="3288"/>
      <c r="D13" s="1305"/>
      <c r="E13" s="1305"/>
      <c r="F13" s="1306"/>
      <c r="G13" s="1307"/>
      <c r="H13" s="1314"/>
      <c r="I13" s="1304">
        <f>ROUND(D13*E13*F13*G13/10000,0)</f>
        <v>0</v>
      </c>
    </row>
    <row r="14" spans="1:9">
      <c r="A14" s="3287"/>
      <c r="B14" s="3288" t="s">
        <v>1101</v>
      </c>
      <c r="C14" s="3288"/>
      <c r="D14" s="1305"/>
      <c r="E14" s="1305"/>
      <c r="F14" s="1306"/>
      <c r="G14" s="1307"/>
      <c r="H14" s="1314"/>
      <c r="I14" s="1304">
        <f>ROUND(D14*E14*F14*G14/10000,0)</f>
        <v>0</v>
      </c>
    </row>
    <row r="15" spans="1:9">
      <c r="A15" s="3287"/>
      <c r="B15" s="3289" t="s">
        <v>1092</v>
      </c>
      <c r="C15" s="3289"/>
      <c r="D15" s="1309"/>
      <c r="E15" s="1309">
        <f>SUM(E12:E14)</f>
        <v>0</v>
      </c>
      <c r="F15" s="1310"/>
      <c r="G15" s="1307"/>
      <c r="H15" s="1314"/>
      <c r="I15" s="1315">
        <f>SUM(I12:I14)</f>
        <v>0</v>
      </c>
    </row>
    <row r="16" spans="1:9" ht="24">
      <c r="A16" s="3287" t="s">
        <v>1102</v>
      </c>
      <c r="B16" s="3288" t="s">
        <v>1103</v>
      </c>
      <c r="C16" s="3288"/>
      <c r="D16" s="1305" t="s">
        <v>1079</v>
      </c>
      <c r="E16" s="1316" t="s">
        <v>1104</v>
      </c>
      <c r="F16" s="1306" t="s">
        <v>1105</v>
      </c>
      <c r="G16" s="1307" t="s">
        <v>1083</v>
      </c>
      <c r="H16" s="1313" t="s">
        <v>1098</v>
      </c>
      <c r="I16" s="1304" t="s">
        <v>1084</v>
      </c>
    </row>
    <row r="17" spans="1:9" ht="14.25">
      <c r="A17" s="3287"/>
      <c r="B17" s="3288" t="s">
        <v>1106</v>
      </c>
      <c r="C17" s="3288"/>
      <c r="D17" s="1305"/>
      <c r="E17" s="1305"/>
      <c r="F17" s="1306"/>
      <c r="G17" s="1307"/>
      <c r="H17" s="1317"/>
      <c r="I17" s="1318">
        <f>ROUND(D17*E17*F17*G17/10000,0)</f>
        <v>0</v>
      </c>
    </row>
    <row r="18" spans="1:9" ht="14.25">
      <c r="A18" s="3287"/>
      <c r="B18" s="3288" t="s">
        <v>1107</v>
      </c>
      <c r="C18" s="3288"/>
      <c r="D18" s="1305"/>
      <c r="E18" s="1305"/>
      <c r="F18" s="1306"/>
      <c r="G18" s="1307"/>
      <c r="H18" s="1317"/>
      <c r="I18" s="1318">
        <f>ROUND(D18*E18*F18*G18/10000,0)</f>
        <v>0</v>
      </c>
    </row>
    <row r="19" spans="1:9" ht="14.25">
      <c r="A19" s="3287"/>
      <c r="B19" s="3288" t="s">
        <v>1108</v>
      </c>
      <c r="C19" s="3288"/>
      <c r="D19" s="1305"/>
      <c r="E19" s="1305"/>
      <c r="F19" s="1306"/>
      <c r="G19" s="1307"/>
      <c r="H19" s="1317"/>
      <c r="I19" s="1318">
        <f>ROUND(D19*E19*F19*G19/10000,0)</f>
        <v>0</v>
      </c>
    </row>
    <row r="20" spans="1:9">
      <c r="A20" s="3287"/>
      <c r="B20" s="3289" t="s">
        <v>1092</v>
      </c>
      <c r="C20" s="3289"/>
      <c r="D20" s="1309">
        <f>SUM(D17:D19)</f>
        <v>0</v>
      </c>
      <c r="E20" s="1309"/>
      <c r="F20" s="1310"/>
      <c r="G20" s="1307"/>
      <c r="H20" s="1314"/>
      <c r="I20" s="1315">
        <f>SUM(I17:I19)</f>
        <v>0</v>
      </c>
    </row>
    <row r="21" spans="1:9">
      <c r="A21" s="3287" t="s">
        <v>1109</v>
      </c>
      <c r="B21" s="3291"/>
      <c r="C21" s="3291"/>
      <c r="D21" s="3291"/>
      <c r="E21" s="3291"/>
      <c r="F21" s="3291"/>
      <c r="G21" s="3291"/>
      <c r="H21" s="1767">
        <v>0.1</v>
      </c>
      <c r="I21" s="1312">
        <f>ROUND(I10*H21,0)</f>
        <v>0</v>
      </c>
    </row>
    <row r="22" spans="1:9" ht="14.25">
      <c r="A22" s="3292" t="s">
        <v>1110</v>
      </c>
      <c r="B22" s="3293"/>
      <c r="C22" s="3294"/>
      <c r="D22" s="1319" t="s">
        <v>1111</v>
      </c>
      <c r="E22" s="1319" t="s">
        <v>1112</v>
      </c>
      <c r="F22" s="1320" t="s">
        <v>1113</v>
      </c>
      <c r="G22" s="1320" t="s">
        <v>1114</v>
      </c>
      <c r="H22" s="1313" t="s">
        <v>1115</v>
      </c>
      <c r="I22" s="1304" t="s">
        <v>1116</v>
      </c>
    </row>
    <row r="23" spans="1:9" ht="14.25" thickBot="1">
      <c r="A23" s="3295"/>
      <c r="B23" s="3296"/>
      <c r="C23" s="3297"/>
      <c r="D23" s="1321"/>
      <c r="E23" s="1321"/>
      <c r="F23" s="1321"/>
      <c r="G23" s="1322"/>
      <c r="H23" s="1323"/>
      <c r="I23" s="1324">
        <f>ROUND(E23*D23*F23*(1-G23)/10000,0)</f>
        <v>0</v>
      </c>
    </row>
    <row r="26" spans="1:9">
      <c r="A26" s="1325" t="s">
        <v>1117</v>
      </c>
      <c r="B26" s="1325"/>
      <c r="C26" s="1325"/>
      <c r="D26" s="1325"/>
      <c r="E26" s="3298">
        <f>C27-C30-C31-C32</f>
        <v>0</v>
      </c>
      <c r="F26" s="3298"/>
      <c r="G26" s="3298"/>
      <c r="H26" s="1739" t="s">
        <v>1340</v>
      </c>
    </row>
    <row r="27" spans="1:9">
      <c r="A27" s="1326">
        <v>1</v>
      </c>
      <c r="B27" s="1327" t="s">
        <v>1118</v>
      </c>
      <c r="C27" s="1327">
        <f>C28+C29</f>
        <v>0</v>
      </c>
      <c r="D27" s="1327"/>
      <c r="E27" s="3299"/>
      <c r="F27" s="3299"/>
      <c r="G27" s="3299"/>
    </row>
    <row r="28" spans="1:9">
      <c r="A28" s="1328" t="s">
        <v>1119</v>
      </c>
      <c r="B28" s="1327" t="s">
        <v>1120</v>
      </c>
      <c r="C28" s="1327"/>
      <c r="D28" s="1327"/>
      <c r="E28" s="3299"/>
      <c r="F28" s="3299"/>
      <c r="G28" s="329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90"/>
      <c r="F32" s="3290"/>
      <c r="G32" s="3290"/>
    </row>
    <row r="33" spans="1:7" hidden="1">
      <c r="A33" s="3300" t="s">
        <v>1129</v>
      </c>
      <c r="B33" s="3301"/>
      <c r="C33" s="3301"/>
      <c r="D33" s="3302"/>
      <c r="E33" s="3298"/>
      <c r="F33" s="3298"/>
      <c r="G33" s="3298"/>
    </row>
    <row r="34" spans="1:7" hidden="1">
      <c r="A34" s="1330">
        <v>1</v>
      </c>
      <c r="B34" s="1327" t="s">
        <v>1130</v>
      </c>
      <c r="C34" s="1327"/>
      <c r="D34" s="1327"/>
      <c r="E34" s="3299"/>
      <c r="F34" s="3299"/>
      <c r="G34" s="3299"/>
    </row>
    <row r="35" spans="1:7" hidden="1">
      <c r="A35" s="1330">
        <v>2</v>
      </c>
      <c r="B35" s="1327" t="s">
        <v>1131</v>
      </c>
      <c r="C35" s="1327"/>
      <c r="D35" s="1327"/>
      <c r="E35" s="3299"/>
      <c r="F35" s="3299"/>
      <c r="G35" s="3299"/>
    </row>
    <row r="36" spans="1:7" hidden="1">
      <c r="A36" s="1330">
        <v>3</v>
      </c>
      <c r="B36" s="1327" t="s">
        <v>1132</v>
      </c>
      <c r="C36" s="1327"/>
      <c r="D36" s="1327"/>
      <c r="E36" s="3299"/>
      <c r="F36" s="3299"/>
      <c r="G36" s="3299"/>
    </row>
    <row r="37" spans="1:7" hidden="1">
      <c r="A37" s="1330">
        <v>4</v>
      </c>
      <c r="B37" s="1327" t="s">
        <v>1133</v>
      </c>
      <c r="C37" s="1327"/>
      <c r="D37" s="1327"/>
      <c r="E37" s="3299"/>
      <c r="F37" s="3299"/>
      <c r="G37" s="3299"/>
    </row>
    <row r="38" spans="1:7" hidden="1">
      <c r="A38" s="3300" t="s">
        <v>1134</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4833.9999999999973</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54" t="s">
        <v>2534</v>
      </c>
      <c r="D4" s="3255"/>
      <c r="E4" s="3256" t="s">
        <v>2535</v>
      </c>
      <c r="F4" s="3257"/>
      <c r="G4" s="3254" t="s">
        <v>2536</v>
      </c>
      <c r="H4" s="3255"/>
      <c r="I4" s="3254" t="s">
        <v>2537</v>
      </c>
      <c r="J4" s="3255"/>
      <c r="K4" s="2596" t="s">
        <v>2538</v>
      </c>
      <c r="L4" s="1132"/>
      <c r="M4" s="1133"/>
      <c r="N4" s="1133"/>
      <c r="O4" s="1133"/>
      <c r="P4" s="3258" t="s">
        <v>2539</v>
      </c>
      <c r="Q4" s="3259"/>
      <c r="R4" s="3240" t="s">
        <v>2535</v>
      </c>
      <c r="S4" s="3241"/>
      <c r="T4" s="3240" t="s">
        <v>2536</v>
      </c>
      <c r="U4" s="3241"/>
      <c r="V4" s="3237" t="s">
        <v>2537</v>
      </c>
      <c r="W4" s="3237"/>
      <c r="X4" s="1815"/>
      <c r="Y4" s="3240" t="s">
        <v>2539</v>
      </c>
      <c r="Z4" s="3241"/>
      <c r="AA4" s="3234" t="s">
        <v>2535</v>
      </c>
      <c r="AB4" s="3234" t="s">
        <v>2536</v>
      </c>
      <c r="AC4" s="3234" t="s">
        <v>2537</v>
      </c>
    </row>
    <row r="5" spans="1:29" ht="15">
      <c r="A5" s="404"/>
      <c r="B5" s="405"/>
      <c r="C5" s="3304" t="s">
        <v>2540</v>
      </c>
      <c r="D5" s="3247"/>
      <c r="E5" s="3303" t="s">
        <v>2541</v>
      </c>
      <c r="F5" s="3245"/>
      <c r="G5" s="3304" t="s">
        <v>2542</v>
      </c>
      <c r="H5" s="3247"/>
      <c r="I5" s="3304" t="s">
        <v>2543</v>
      </c>
      <c r="J5" s="3247"/>
      <c r="K5" s="2597"/>
      <c r="L5" s="1132"/>
      <c r="M5" s="1133"/>
      <c r="N5" s="1133"/>
      <c r="O5" s="1133"/>
      <c r="P5" s="3260"/>
      <c r="Q5" s="3261"/>
      <c r="R5" s="3242"/>
      <c r="S5" s="3243"/>
      <c r="T5" s="3242"/>
      <c r="U5" s="3243"/>
      <c r="V5" s="3237"/>
      <c r="W5" s="3237"/>
      <c r="X5" s="1815"/>
      <c r="Y5" s="3242"/>
      <c r="Z5" s="3243"/>
      <c r="AA5" s="3235"/>
      <c r="AB5" s="3235"/>
      <c r="AC5" s="3235"/>
    </row>
    <row r="6" spans="1:29" ht="15.75" thickBot="1">
      <c r="A6" s="406"/>
      <c r="B6" s="407"/>
      <c r="C6" s="3248" t="s">
        <v>2544</v>
      </c>
      <c r="D6" s="3249"/>
      <c r="E6" s="3305" t="s">
        <v>2544</v>
      </c>
      <c r="F6" s="3251"/>
      <c r="G6" s="3248" t="s">
        <v>2544</v>
      </c>
      <c r="H6" s="3249"/>
      <c r="I6" s="3248" t="s">
        <v>2544</v>
      </c>
      <c r="J6" s="3249"/>
      <c r="K6" s="2597" t="s">
        <v>2545</v>
      </c>
      <c r="L6" s="1132"/>
      <c r="M6" s="1133"/>
      <c r="N6" s="1133"/>
      <c r="O6" s="1133"/>
      <c r="P6" s="3262"/>
      <c r="Q6" s="3263"/>
      <c r="R6" s="3242"/>
      <c r="S6" s="3243"/>
      <c r="T6" s="3264"/>
      <c r="U6" s="3265"/>
      <c r="V6" s="3237"/>
      <c r="W6" s="3237"/>
      <c r="X6" s="1815"/>
      <c r="Y6" s="3264"/>
      <c r="Z6" s="3265"/>
      <c r="AA6" s="3236"/>
      <c r="AB6" s="3236"/>
      <c r="AC6" s="3236"/>
    </row>
    <row r="7" spans="1:29" s="117" customFormat="1" ht="15.75" thickBot="1">
      <c r="A7" s="408" t="s">
        <v>2546</v>
      </c>
      <c r="B7" s="409"/>
      <c r="C7" s="410">
        <f>'数据-取费表'!B2</f>
        <v>43202</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38" t="s">
        <v>2547</v>
      </c>
      <c r="Q7" s="3266"/>
      <c r="R7" s="769" t="s">
        <v>23</v>
      </c>
      <c r="S7" s="770">
        <f t="shared" ref="S7:S15" si="0">F7</f>
        <v>0</v>
      </c>
      <c r="T7" s="769" t="s">
        <v>23</v>
      </c>
      <c r="U7" s="770">
        <f t="shared" ref="U7:U15" si="1">H7</f>
        <v>0</v>
      </c>
      <c r="V7" s="769" t="s">
        <v>23</v>
      </c>
      <c r="W7" s="770">
        <f t="shared" ref="W7:W15" si="2">J7</f>
        <v>0</v>
      </c>
      <c r="X7" s="771"/>
      <c r="Y7" s="3238" t="s">
        <v>2547</v>
      </c>
      <c r="Z7" s="3239"/>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38" t="s">
        <v>2550</v>
      </c>
      <c r="Q8" s="3239"/>
      <c r="R8" s="769" t="s">
        <v>23</v>
      </c>
      <c r="S8" s="770">
        <f t="shared" si="0"/>
        <v>0</v>
      </c>
      <c r="T8" s="769" t="s">
        <v>23</v>
      </c>
      <c r="U8" s="770">
        <f t="shared" si="1"/>
        <v>0</v>
      </c>
      <c r="V8" s="769" t="s">
        <v>23</v>
      </c>
      <c r="W8" s="770">
        <f t="shared" si="2"/>
        <v>0</v>
      </c>
      <c r="X8" s="771"/>
      <c r="Y8" s="3238" t="s">
        <v>2550</v>
      </c>
      <c r="Z8" s="3239"/>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53" t="s">
        <v>2553</v>
      </c>
      <c r="Q9" s="1797" t="str">
        <f t="shared" ref="Q9:Q15" si="6">B9</f>
        <v>用途</v>
      </c>
      <c r="R9" s="769" t="s">
        <v>17</v>
      </c>
      <c r="S9" s="770">
        <f t="shared" si="0"/>
        <v>100</v>
      </c>
      <c r="T9" s="769" t="s">
        <v>17</v>
      </c>
      <c r="U9" s="770">
        <f t="shared" si="1"/>
        <v>100</v>
      </c>
      <c r="V9" s="769" t="s">
        <v>17</v>
      </c>
      <c r="W9" s="770">
        <f t="shared" si="2"/>
        <v>100</v>
      </c>
      <c r="X9" s="771"/>
      <c r="Y9" s="3106"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53"/>
      <c r="Q10" s="1797" t="str">
        <f t="shared" si="6"/>
        <v>土地使用年限（年）</v>
      </c>
      <c r="R10" s="769" t="s">
        <v>17</v>
      </c>
      <c r="S10" s="770">
        <f t="shared" si="0"/>
        <v>100</v>
      </c>
      <c r="T10" s="769" t="s">
        <v>17</v>
      </c>
      <c r="U10" s="770">
        <f t="shared" si="1"/>
        <v>100</v>
      </c>
      <c r="V10" s="769" t="s">
        <v>17</v>
      </c>
      <c r="W10" s="770">
        <f t="shared" si="2"/>
        <v>100</v>
      </c>
      <c r="X10" s="771"/>
      <c r="Y10" s="3106"/>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53"/>
      <c r="Q11" s="1797" t="str">
        <f t="shared" si="6"/>
        <v>容积率</v>
      </c>
      <c r="R11" s="769" t="s">
        <v>21</v>
      </c>
      <c r="S11" s="770" t="e">
        <f t="shared" si="0"/>
        <v>#N/A</v>
      </c>
      <c r="T11" s="769" t="s">
        <v>21</v>
      </c>
      <c r="U11" s="770" t="e">
        <f t="shared" si="1"/>
        <v>#N/A</v>
      </c>
      <c r="V11" s="769" t="s">
        <v>21</v>
      </c>
      <c r="W11" s="770" t="e">
        <f t="shared" si="2"/>
        <v>#N/A</v>
      </c>
      <c r="X11" s="771"/>
      <c r="Y11" s="3106"/>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53"/>
      <c r="Q12" s="1797">
        <f t="shared" si="6"/>
        <v>111</v>
      </c>
      <c r="R12" s="769" t="s">
        <v>21</v>
      </c>
      <c r="S12" s="770">
        <f t="shared" si="0"/>
        <v>100</v>
      </c>
      <c r="T12" s="769" t="s">
        <v>21</v>
      </c>
      <c r="U12" s="770">
        <f t="shared" si="1"/>
        <v>100</v>
      </c>
      <c r="V12" s="769" t="s">
        <v>21</v>
      </c>
      <c r="W12" s="770">
        <f t="shared" si="2"/>
        <v>100</v>
      </c>
      <c r="X12" s="771"/>
      <c r="Y12" s="3106"/>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53"/>
      <c r="Q13" s="1797">
        <f t="shared" si="6"/>
        <v>111</v>
      </c>
      <c r="R13" s="769" t="s">
        <v>21</v>
      </c>
      <c r="S13" s="770">
        <f t="shared" si="0"/>
        <v>100</v>
      </c>
      <c r="T13" s="769" t="s">
        <v>21</v>
      </c>
      <c r="U13" s="770">
        <f t="shared" si="1"/>
        <v>100</v>
      </c>
      <c r="V13" s="769" t="s">
        <v>21</v>
      </c>
      <c r="W13" s="770">
        <f t="shared" si="2"/>
        <v>100</v>
      </c>
      <c r="X13" s="771"/>
      <c r="Y13" s="3106"/>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53"/>
      <c r="Q14" s="1797">
        <f t="shared" si="6"/>
        <v>111</v>
      </c>
      <c r="R14" s="769" t="s">
        <v>21</v>
      </c>
      <c r="S14" s="770">
        <f t="shared" si="0"/>
        <v>100</v>
      </c>
      <c r="T14" s="769" t="s">
        <v>21</v>
      </c>
      <c r="U14" s="770">
        <f t="shared" si="1"/>
        <v>100</v>
      </c>
      <c r="V14" s="769" t="s">
        <v>21</v>
      </c>
      <c r="W14" s="770">
        <f t="shared" si="2"/>
        <v>100</v>
      </c>
      <c r="X14" s="771"/>
      <c r="Y14" s="3106"/>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67" t="s">
        <v>2558</v>
      </c>
      <c r="Q15" s="1812" t="str">
        <f t="shared" si="6"/>
        <v>居住社区成熟度</v>
      </c>
      <c r="R15" s="773" t="s">
        <v>21</v>
      </c>
      <c r="S15" s="774">
        <f t="shared" si="0"/>
        <v>100</v>
      </c>
      <c r="T15" s="773" t="s">
        <v>21</v>
      </c>
      <c r="U15" s="774">
        <f t="shared" si="1"/>
        <v>100</v>
      </c>
      <c r="V15" s="773" t="s">
        <v>21</v>
      </c>
      <c r="W15" s="774">
        <f t="shared" si="2"/>
        <v>100</v>
      </c>
      <c r="X15" s="1815"/>
      <c r="Y15" s="3269"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68"/>
      <c r="Q16" s="1812"/>
      <c r="R16" s="773"/>
      <c r="S16" s="774"/>
      <c r="T16" s="773"/>
      <c r="U16" s="774"/>
      <c r="V16" s="773"/>
      <c r="W16" s="774"/>
      <c r="X16" s="1815"/>
      <c r="Y16" s="3270"/>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68"/>
      <c r="Q17" s="1812" t="str">
        <f>B17</f>
        <v>交通便捷度</v>
      </c>
      <c r="R17" s="773" t="s">
        <v>21</v>
      </c>
      <c r="S17" s="774">
        <f>F17</f>
        <v>100</v>
      </c>
      <c r="T17" s="773" t="s">
        <v>21</v>
      </c>
      <c r="U17" s="774">
        <f>H17</f>
        <v>100</v>
      </c>
      <c r="V17" s="773" t="s">
        <v>21</v>
      </c>
      <c r="W17" s="774">
        <f>J17</f>
        <v>100</v>
      </c>
      <c r="X17" s="1815"/>
      <c r="Y17" s="3270"/>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68"/>
      <c r="Q18" s="1812"/>
      <c r="R18" s="773"/>
      <c r="S18" s="774"/>
      <c r="T18" s="773"/>
      <c r="U18" s="774"/>
      <c r="V18" s="773"/>
      <c r="W18" s="774"/>
      <c r="X18" s="1815"/>
      <c r="Y18" s="3270"/>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68"/>
      <c r="Q19" s="1812" t="str">
        <f>B19</f>
        <v>公共配套设施</v>
      </c>
      <c r="R19" s="773" t="s">
        <v>21</v>
      </c>
      <c r="S19" s="774">
        <f>F19</f>
        <v>100</v>
      </c>
      <c r="T19" s="773" t="s">
        <v>21</v>
      </c>
      <c r="U19" s="774">
        <f>H19</f>
        <v>100</v>
      </c>
      <c r="V19" s="773" t="s">
        <v>21</v>
      </c>
      <c r="W19" s="774">
        <f>J19</f>
        <v>100</v>
      </c>
      <c r="X19" s="1815"/>
      <c r="Y19" s="3270"/>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68"/>
      <c r="Q20" s="1812"/>
      <c r="R20" s="773"/>
      <c r="S20" s="774"/>
      <c r="T20" s="773"/>
      <c r="U20" s="774"/>
      <c r="V20" s="773"/>
      <c r="W20" s="774"/>
      <c r="X20" s="1815"/>
      <c r="Y20" s="3270"/>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68"/>
      <c r="Q21" s="1812" t="str">
        <f>B21</f>
        <v>基础设施水平</v>
      </c>
      <c r="R21" s="773" t="s">
        <v>17</v>
      </c>
      <c r="S21" s="774">
        <f>F21</f>
        <v>100</v>
      </c>
      <c r="T21" s="773" t="s">
        <v>17</v>
      </c>
      <c r="U21" s="774">
        <f>H21</f>
        <v>100</v>
      </c>
      <c r="V21" s="773" t="s">
        <v>17</v>
      </c>
      <c r="W21" s="774">
        <f>J21</f>
        <v>100</v>
      </c>
      <c r="X21" s="1815"/>
      <c r="Y21" s="3270"/>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68"/>
      <c r="Q22" s="1812"/>
      <c r="R22" s="773"/>
      <c r="S22" s="774"/>
      <c r="T22" s="773"/>
      <c r="U22" s="774"/>
      <c r="V22" s="773"/>
      <c r="W22" s="774"/>
      <c r="X22" s="1815"/>
      <c r="Y22" s="3270"/>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68"/>
      <c r="Q23" s="1812" t="str">
        <f>B23</f>
        <v>自然及人文环境</v>
      </c>
      <c r="R23" s="773" t="s">
        <v>21</v>
      </c>
      <c r="S23" s="774">
        <f>F23</f>
        <v>100</v>
      </c>
      <c r="T23" s="773" t="s">
        <v>21</v>
      </c>
      <c r="U23" s="774">
        <f>H23</f>
        <v>100</v>
      </c>
      <c r="V23" s="773" t="s">
        <v>21</v>
      </c>
      <c r="W23" s="774">
        <f>J23</f>
        <v>100</v>
      </c>
      <c r="X23" s="1815"/>
      <c r="Y23" s="3270"/>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68"/>
      <c r="Q24" s="1812"/>
      <c r="R24" s="773"/>
      <c r="S24" s="774"/>
      <c r="T24" s="773"/>
      <c r="U24" s="774"/>
      <c r="V24" s="773"/>
      <c r="W24" s="774"/>
      <c r="X24" s="1815"/>
      <c r="Y24" s="3270"/>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6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70"/>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68"/>
      <c r="Q26" s="1812" t="str">
        <f t="shared" si="11"/>
        <v>朝向</v>
      </c>
      <c r="R26" s="773" t="s">
        <v>21</v>
      </c>
      <c r="S26" s="774">
        <f t="shared" si="12"/>
        <v>100</v>
      </c>
      <c r="T26" s="773" t="s">
        <v>21</v>
      </c>
      <c r="U26" s="774">
        <f t="shared" si="13"/>
        <v>100</v>
      </c>
      <c r="V26" s="773" t="s">
        <v>21</v>
      </c>
      <c r="W26" s="774">
        <f t="shared" si="14"/>
        <v>100</v>
      </c>
      <c r="X26" s="1815"/>
      <c r="Y26" s="3270"/>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68"/>
      <c r="Q27" s="1797">
        <f t="shared" si="11"/>
        <v>111</v>
      </c>
      <c r="R27" s="769" t="s">
        <v>21</v>
      </c>
      <c r="S27" s="770">
        <f t="shared" si="12"/>
        <v>100</v>
      </c>
      <c r="T27" s="769" t="s">
        <v>21</v>
      </c>
      <c r="U27" s="770">
        <f t="shared" si="13"/>
        <v>100</v>
      </c>
      <c r="V27" s="769" t="s">
        <v>21</v>
      </c>
      <c r="W27" s="770">
        <f t="shared" si="14"/>
        <v>100</v>
      </c>
      <c r="X27" s="771"/>
      <c r="Y27" s="3270"/>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68"/>
      <c r="Q28" s="1812">
        <f t="shared" si="11"/>
        <v>111</v>
      </c>
      <c r="R28" s="773" t="s">
        <v>21</v>
      </c>
      <c r="S28" s="774">
        <f t="shared" si="12"/>
        <v>100</v>
      </c>
      <c r="T28" s="773" t="s">
        <v>21</v>
      </c>
      <c r="U28" s="774">
        <f t="shared" si="13"/>
        <v>100</v>
      </c>
      <c r="V28" s="773" t="s">
        <v>21</v>
      </c>
      <c r="W28" s="774">
        <f t="shared" si="14"/>
        <v>100</v>
      </c>
      <c r="X28" s="1815"/>
      <c r="Y28" s="3270"/>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68"/>
      <c r="Q29" s="1812">
        <f t="shared" si="11"/>
        <v>111</v>
      </c>
      <c r="R29" s="773" t="s">
        <v>21</v>
      </c>
      <c r="S29" s="774">
        <f t="shared" si="12"/>
        <v>100</v>
      </c>
      <c r="T29" s="773" t="s">
        <v>21</v>
      </c>
      <c r="U29" s="774">
        <f t="shared" si="13"/>
        <v>100</v>
      </c>
      <c r="V29" s="773" t="s">
        <v>21</v>
      </c>
      <c r="W29" s="774">
        <f t="shared" si="14"/>
        <v>100</v>
      </c>
      <c r="X29" s="1815"/>
      <c r="Y29" s="3270"/>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68"/>
      <c r="Q30" s="1812">
        <f t="shared" si="11"/>
        <v>111</v>
      </c>
      <c r="R30" s="773" t="s">
        <v>21</v>
      </c>
      <c r="S30" s="774">
        <f t="shared" si="12"/>
        <v>100</v>
      </c>
      <c r="T30" s="773" t="s">
        <v>21</v>
      </c>
      <c r="U30" s="774">
        <f t="shared" si="13"/>
        <v>100</v>
      </c>
      <c r="V30" s="773" t="s">
        <v>21</v>
      </c>
      <c r="W30" s="774">
        <f t="shared" si="14"/>
        <v>100</v>
      </c>
      <c r="X30" s="1815"/>
      <c r="Y30" s="3270"/>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68"/>
      <c r="Q31" s="1812">
        <f t="shared" si="11"/>
        <v>111</v>
      </c>
      <c r="R31" s="773" t="s">
        <v>21</v>
      </c>
      <c r="S31" s="774">
        <f t="shared" si="12"/>
        <v>100</v>
      </c>
      <c r="T31" s="773" t="s">
        <v>21</v>
      </c>
      <c r="U31" s="774">
        <f t="shared" si="13"/>
        <v>100</v>
      </c>
      <c r="V31" s="773" t="s">
        <v>21</v>
      </c>
      <c r="W31" s="774">
        <f t="shared" si="14"/>
        <v>100</v>
      </c>
      <c r="X31" s="1815"/>
      <c r="Y31" s="3270"/>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71" t="s">
        <v>2563</v>
      </c>
      <c r="Q32" s="1812" t="str">
        <f t="shared" si="11"/>
        <v>建筑类型</v>
      </c>
      <c r="R32" s="773" t="s">
        <v>21</v>
      </c>
      <c r="S32" s="774">
        <f t="shared" si="12"/>
        <v>100</v>
      </c>
      <c r="T32" s="773" t="s">
        <v>21</v>
      </c>
      <c r="U32" s="774">
        <f t="shared" si="13"/>
        <v>100</v>
      </c>
      <c r="V32" s="773" t="s">
        <v>21</v>
      </c>
      <c r="W32" s="774">
        <f t="shared" si="14"/>
        <v>100</v>
      </c>
      <c r="X32" s="1815"/>
      <c r="Y32" s="3274"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72"/>
      <c r="Q33" s="775" t="str">
        <f t="shared" si="11"/>
        <v>项目建筑规模</v>
      </c>
      <c r="R33" s="776" t="s">
        <v>21</v>
      </c>
      <c r="S33" s="777" t="e">
        <f t="shared" si="12"/>
        <v>#N/A</v>
      </c>
      <c r="T33" s="776" t="s">
        <v>21</v>
      </c>
      <c r="U33" s="777" t="e">
        <f t="shared" si="13"/>
        <v>#N/A</v>
      </c>
      <c r="V33" s="776" t="s">
        <v>21</v>
      </c>
      <c r="W33" s="777" t="e">
        <f t="shared" si="14"/>
        <v>#N/A</v>
      </c>
      <c r="X33" s="778"/>
      <c r="Y33" s="3274"/>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72"/>
      <c r="Q34" s="1812" t="str">
        <f t="shared" si="11"/>
        <v>建筑结构</v>
      </c>
      <c r="R34" s="773" t="s">
        <v>21</v>
      </c>
      <c r="S34" s="774">
        <f t="shared" si="12"/>
        <v>100</v>
      </c>
      <c r="T34" s="773" t="s">
        <v>21</v>
      </c>
      <c r="U34" s="774">
        <f t="shared" si="13"/>
        <v>100</v>
      </c>
      <c r="V34" s="773" t="s">
        <v>21</v>
      </c>
      <c r="W34" s="774">
        <f t="shared" si="14"/>
        <v>100</v>
      </c>
      <c r="X34" s="1815"/>
      <c r="Y34" s="3274"/>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72"/>
      <c r="Q35" s="1812" t="str">
        <f t="shared" si="11"/>
        <v>建筑品质</v>
      </c>
      <c r="R35" s="773" t="s">
        <v>21</v>
      </c>
      <c r="S35" s="774">
        <f t="shared" si="12"/>
        <v>100</v>
      </c>
      <c r="T35" s="773" t="s">
        <v>21</v>
      </c>
      <c r="U35" s="774">
        <f t="shared" si="13"/>
        <v>100</v>
      </c>
      <c r="V35" s="773" t="s">
        <v>21</v>
      </c>
      <c r="W35" s="774">
        <f t="shared" si="14"/>
        <v>100</v>
      </c>
      <c r="X35" s="1815"/>
      <c r="Y35" s="3274"/>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72"/>
      <c r="Q36" s="1812" t="str">
        <f t="shared" si="11"/>
        <v>公共部分装修</v>
      </c>
      <c r="R36" s="773" t="s">
        <v>21</v>
      </c>
      <c r="S36" s="774">
        <f t="shared" si="12"/>
        <v>100</v>
      </c>
      <c r="T36" s="773" t="s">
        <v>21</v>
      </c>
      <c r="U36" s="774">
        <f t="shared" si="13"/>
        <v>100</v>
      </c>
      <c r="V36" s="773" t="s">
        <v>21</v>
      </c>
      <c r="W36" s="774">
        <f t="shared" si="14"/>
        <v>100</v>
      </c>
      <c r="X36" s="1815"/>
      <c r="Y36" s="3274"/>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72"/>
      <c r="Q37" s="1797" t="str">
        <f t="shared" si="11"/>
        <v>成新度</v>
      </c>
      <c r="R37" s="769" t="s">
        <v>21</v>
      </c>
      <c r="S37" s="770" t="e">
        <f t="shared" si="12"/>
        <v>#N/A</v>
      </c>
      <c r="T37" s="769" t="s">
        <v>21</v>
      </c>
      <c r="U37" s="770" t="e">
        <f t="shared" si="13"/>
        <v>#N/A</v>
      </c>
      <c r="V37" s="769" t="s">
        <v>21</v>
      </c>
      <c r="W37" s="770" t="e">
        <f t="shared" si="14"/>
        <v>#N/A</v>
      </c>
      <c r="X37" s="771"/>
      <c r="Y37" s="3274"/>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72" t="s">
        <v>2563</v>
      </c>
      <c r="Q38" s="1812" t="str">
        <f t="shared" si="11"/>
        <v>物业管理</v>
      </c>
      <c r="R38" s="773" t="s">
        <v>21</v>
      </c>
      <c r="S38" s="774">
        <f t="shared" si="12"/>
        <v>100</v>
      </c>
      <c r="T38" s="773" t="s">
        <v>21</v>
      </c>
      <c r="U38" s="774">
        <f t="shared" si="13"/>
        <v>100</v>
      </c>
      <c r="V38" s="773" t="s">
        <v>21</v>
      </c>
      <c r="W38" s="774">
        <f t="shared" si="14"/>
        <v>100</v>
      </c>
      <c r="X38" s="1815"/>
      <c r="Y38" s="3274"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72"/>
      <c r="Q39" s="1812" t="str">
        <f t="shared" si="11"/>
        <v>市政基础设施</v>
      </c>
      <c r="R39" s="773" t="s">
        <v>21</v>
      </c>
      <c r="S39" s="774">
        <f t="shared" si="12"/>
        <v>100</v>
      </c>
      <c r="T39" s="773" t="s">
        <v>21</v>
      </c>
      <c r="U39" s="774">
        <f t="shared" si="13"/>
        <v>100</v>
      </c>
      <c r="V39" s="773" t="s">
        <v>21</v>
      </c>
      <c r="W39" s="774">
        <f t="shared" si="14"/>
        <v>100</v>
      </c>
      <c r="X39" s="1815"/>
      <c r="Y39" s="3274"/>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72"/>
      <c r="Q40" s="1812" t="str">
        <f t="shared" si="11"/>
        <v>房型</v>
      </c>
      <c r="R40" s="773" t="s">
        <v>21</v>
      </c>
      <c r="S40" s="774">
        <f t="shared" si="12"/>
        <v>100</v>
      </c>
      <c r="T40" s="773" t="s">
        <v>21</v>
      </c>
      <c r="U40" s="774">
        <f t="shared" si="13"/>
        <v>100</v>
      </c>
      <c r="V40" s="773" t="s">
        <v>21</v>
      </c>
      <c r="W40" s="774">
        <f t="shared" si="14"/>
        <v>100</v>
      </c>
      <c r="X40" s="1815"/>
      <c r="Y40" s="3274"/>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72"/>
      <c r="Q41" s="775" t="str">
        <f t="shared" si="11"/>
        <v>单套/主力户型建筑面积</v>
      </c>
      <c r="R41" s="776" t="s">
        <v>21</v>
      </c>
      <c r="S41" s="777">
        <f t="shared" si="12"/>
        <v>100</v>
      </c>
      <c r="T41" s="776" t="s">
        <v>21</v>
      </c>
      <c r="U41" s="777">
        <f t="shared" si="13"/>
        <v>100</v>
      </c>
      <c r="V41" s="776" t="s">
        <v>21</v>
      </c>
      <c r="W41" s="777">
        <f t="shared" si="14"/>
        <v>100</v>
      </c>
      <c r="X41" s="778"/>
      <c r="Y41" s="3274"/>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72"/>
      <c r="Q42" s="1812" t="str">
        <f t="shared" si="11"/>
        <v>内部装修</v>
      </c>
      <c r="R42" s="773" t="s">
        <v>21</v>
      </c>
      <c r="S42" s="774">
        <f t="shared" si="12"/>
        <v>100</v>
      </c>
      <c r="T42" s="773" t="s">
        <v>21</v>
      </c>
      <c r="U42" s="774">
        <f t="shared" si="13"/>
        <v>100</v>
      </c>
      <c r="V42" s="773" t="s">
        <v>21</v>
      </c>
      <c r="W42" s="774">
        <f t="shared" si="14"/>
        <v>100</v>
      </c>
      <c r="X42" s="1815"/>
      <c r="Y42" s="3274"/>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72"/>
      <c r="Q43" s="1812" t="str">
        <f t="shared" si="11"/>
        <v>内部装修维护情况</v>
      </c>
      <c r="R43" s="773" t="s">
        <v>21</v>
      </c>
      <c r="S43" s="774">
        <f t="shared" si="12"/>
        <v>100</v>
      </c>
      <c r="T43" s="773" t="s">
        <v>21</v>
      </c>
      <c r="U43" s="774">
        <f t="shared" si="13"/>
        <v>100</v>
      </c>
      <c r="V43" s="773" t="s">
        <v>21</v>
      </c>
      <c r="W43" s="774">
        <f t="shared" si="14"/>
        <v>100</v>
      </c>
      <c r="X43" s="1815"/>
      <c r="Y43" s="3274"/>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72"/>
      <c r="Q44" s="1797">
        <f t="shared" si="11"/>
        <v>111</v>
      </c>
      <c r="R44" s="769" t="s">
        <v>21</v>
      </c>
      <c r="S44" s="770">
        <f t="shared" si="12"/>
        <v>100</v>
      </c>
      <c r="T44" s="769" t="s">
        <v>21</v>
      </c>
      <c r="U44" s="770">
        <f t="shared" si="13"/>
        <v>100</v>
      </c>
      <c r="V44" s="769" t="s">
        <v>21</v>
      </c>
      <c r="W44" s="770">
        <f t="shared" si="14"/>
        <v>100</v>
      </c>
      <c r="X44" s="771"/>
      <c r="Y44" s="3274"/>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72"/>
      <c r="Q45" s="1812">
        <f t="shared" si="11"/>
        <v>111</v>
      </c>
      <c r="R45" s="773" t="s">
        <v>21</v>
      </c>
      <c r="S45" s="774">
        <f t="shared" si="12"/>
        <v>100</v>
      </c>
      <c r="T45" s="773" t="s">
        <v>21</v>
      </c>
      <c r="U45" s="774">
        <f t="shared" si="13"/>
        <v>100</v>
      </c>
      <c r="V45" s="773" t="s">
        <v>21</v>
      </c>
      <c r="W45" s="774">
        <f t="shared" si="14"/>
        <v>100</v>
      </c>
      <c r="X45" s="1815"/>
      <c r="Y45" s="3274"/>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73"/>
      <c r="Q46" s="1812">
        <f t="shared" si="11"/>
        <v>111</v>
      </c>
      <c r="R46" s="773" t="s">
        <v>20</v>
      </c>
      <c r="S46" s="774">
        <f t="shared" si="12"/>
        <v>100</v>
      </c>
      <c r="T46" s="773" t="s">
        <v>20</v>
      </c>
      <c r="U46" s="774">
        <f t="shared" si="13"/>
        <v>100</v>
      </c>
      <c r="V46" s="773" t="s">
        <v>20</v>
      </c>
      <c r="W46" s="774">
        <f t="shared" si="14"/>
        <v>100</v>
      </c>
      <c r="X46" s="1815"/>
      <c r="Y46" s="3275"/>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276" t="str">
        <f>A47</f>
        <v>成交单价（元/平方米）</v>
      </c>
      <c r="Q47" s="3276"/>
      <c r="R47" s="3277">
        <f>E47</f>
        <v>0</v>
      </c>
      <c r="S47" s="3277"/>
      <c r="T47" s="3277">
        <f>G47</f>
        <v>0</v>
      </c>
      <c r="U47" s="3277"/>
      <c r="V47" s="3277">
        <f>I47</f>
        <v>0</v>
      </c>
      <c r="W47" s="3277"/>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276" t="str">
        <f>A48</f>
        <v>比较价值（元/平方米）</v>
      </c>
      <c r="Q48" s="3276"/>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278" t="str">
        <f>A49</f>
        <v>估价对象XX用房的比较价值（楼面单价，元/平方米）</v>
      </c>
      <c r="Q49" s="3279"/>
      <c r="R49" s="3280" t="e">
        <f>IF(F1="售价",ROUND(AVERAGE(R48:V48),0),ROUND(AVERAGE(R48:V48),1))</f>
        <v>#DIV/0!</v>
      </c>
      <c r="S49" s="3280"/>
      <c r="T49" s="3280"/>
      <c r="U49" s="3280"/>
      <c r="V49" s="3280"/>
      <c r="W49" s="328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4833.9999999999973</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54" t="s">
        <v>2644</v>
      </c>
      <c r="D4" s="3255"/>
      <c r="E4" s="3256" t="s">
        <v>2645</v>
      </c>
      <c r="F4" s="3257"/>
      <c r="G4" s="3254" t="s">
        <v>2646</v>
      </c>
      <c r="H4" s="3255"/>
      <c r="I4" s="3254" t="s">
        <v>2647</v>
      </c>
      <c r="J4" s="3255"/>
      <c r="K4" s="610" t="s">
        <v>2648</v>
      </c>
      <c r="L4" s="1132"/>
      <c r="M4" s="1133"/>
      <c r="N4" s="1133"/>
      <c r="O4" s="1133"/>
      <c r="P4" s="3312" t="s">
        <v>2649</v>
      </c>
      <c r="Q4" s="3313"/>
      <c r="R4" s="3307" t="s">
        <v>2645</v>
      </c>
      <c r="S4" s="3308"/>
      <c r="T4" s="3307" t="s">
        <v>2646</v>
      </c>
      <c r="U4" s="3308"/>
      <c r="V4" s="3316" t="s">
        <v>2647</v>
      </c>
      <c r="W4" s="3316"/>
      <c r="X4" s="2670"/>
      <c r="Y4" s="3307" t="s">
        <v>2649</v>
      </c>
      <c r="Z4" s="3308"/>
      <c r="AA4" s="3306" t="s">
        <v>2645</v>
      </c>
      <c r="AB4" s="3306" t="s">
        <v>2646</v>
      </c>
      <c r="AC4" s="3309" t="s">
        <v>2647</v>
      </c>
    </row>
    <row r="5" spans="1:29" ht="15">
      <c r="A5" s="404"/>
      <c r="B5" s="405"/>
      <c r="C5" s="3304" t="s">
        <v>2540</v>
      </c>
      <c r="D5" s="3247"/>
      <c r="E5" s="3303" t="s">
        <v>2541</v>
      </c>
      <c r="F5" s="3245"/>
      <c r="G5" s="3304" t="s">
        <v>2542</v>
      </c>
      <c r="H5" s="3247"/>
      <c r="I5" s="3304" t="s">
        <v>2543</v>
      </c>
      <c r="J5" s="3247"/>
      <c r="K5" s="610"/>
      <c r="L5" s="1132"/>
      <c r="M5" s="1133"/>
      <c r="N5" s="1133"/>
      <c r="O5" s="1133"/>
      <c r="P5" s="3314"/>
      <c r="Q5" s="3261"/>
      <c r="R5" s="3242"/>
      <c r="S5" s="3243"/>
      <c r="T5" s="3242"/>
      <c r="U5" s="3243"/>
      <c r="V5" s="3237"/>
      <c r="W5" s="3237"/>
      <c r="X5" s="1815"/>
      <c r="Y5" s="3242"/>
      <c r="Z5" s="3243"/>
      <c r="AA5" s="3235"/>
      <c r="AB5" s="3235"/>
      <c r="AC5" s="3310"/>
    </row>
    <row r="6" spans="1:29" ht="15.75" thickBot="1">
      <c r="A6" s="406"/>
      <c r="B6" s="407"/>
      <c r="C6" s="3248" t="s">
        <v>2544</v>
      </c>
      <c r="D6" s="3249"/>
      <c r="E6" s="3305" t="s">
        <v>2544</v>
      </c>
      <c r="F6" s="3251"/>
      <c r="G6" s="3248" t="s">
        <v>2544</v>
      </c>
      <c r="H6" s="3249"/>
      <c r="I6" s="3248" t="s">
        <v>2544</v>
      </c>
      <c r="J6" s="3249"/>
      <c r="K6" s="610" t="s">
        <v>2545</v>
      </c>
      <c r="L6" s="1132"/>
      <c r="M6" s="1133"/>
      <c r="N6" s="1133"/>
      <c r="O6" s="1133"/>
      <c r="P6" s="3315"/>
      <c r="Q6" s="3263"/>
      <c r="R6" s="3242"/>
      <c r="S6" s="3243"/>
      <c r="T6" s="3264"/>
      <c r="U6" s="3265"/>
      <c r="V6" s="3237"/>
      <c r="W6" s="3237"/>
      <c r="X6" s="1815"/>
      <c r="Y6" s="3264"/>
      <c r="Z6" s="3265"/>
      <c r="AA6" s="3236"/>
      <c r="AB6" s="3236"/>
      <c r="AC6" s="3311"/>
    </row>
    <row r="7" spans="1:29" s="117" customFormat="1" ht="15.75" thickBot="1">
      <c r="A7" s="408" t="s">
        <v>2546</v>
      </c>
      <c r="B7" s="409"/>
      <c r="C7" s="410">
        <f>'数据-取费表'!B2</f>
        <v>43202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17"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17" t="s">
        <v>2550</v>
      </c>
      <c r="Q8" s="3239"/>
      <c r="R8" s="769" t="s">
        <v>17</v>
      </c>
      <c r="S8" s="770">
        <f t="shared" si="0"/>
        <v>0</v>
      </c>
      <c r="T8" s="769" t="s">
        <v>17</v>
      </c>
      <c r="U8" s="770">
        <f t="shared" si="1"/>
        <v>0</v>
      </c>
      <c r="V8" s="769" t="s">
        <v>17</v>
      </c>
      <c r="W8" s="770">
        <f t="shared" si="2"/>
        <v>0</v>
      </c>
      <c r="X8" s="771"/>
      <c r="Y8" s="3238" t="s">
        <v>2550</v>
      </c>
      <c r="Z8" s="3239"/>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53" t="s">
        <v>2553</v>
      </c>
      <c r="Q9" s="1797" t="str">
        <f t="shared" ref="Q9:Q15" si="6">B9</f>
        <v>用途</v>
      </c>
      <c r="R9" s="769" t="s">
        <v>17</v>
      </c>
      <c r="S9" s="770">
        <f t="shared" si="0"/>
        <v>100</v>
      </c>
      <c r="T9" s="769" t="s">
        <v>17</v>
      </c>
      <c r="U9" s="770">
        <f t="shared" si="1"/>
        <v>100</v>
      </c>
      <c r="V9" s="769" t="s">
        <v>17</v>
      </c>
      <c r="W9" s="770">
        <f t="shared" si="2"/>
        <v>100</v>
      </c>
      <c r="X9" s="771"/>
      <c r="Y9" s="3106"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53"/>
      <c r="Q10" s="1797" t="str">
        <f t="shared" si="6"/>
        <v>土地使用年限（年）</v>
      </c>
      <c r="R10" s="769" t="s">
        <v>17</v>
      </c>
      <c r="S10" s="770">
        <f t="shared" si="0"/>
        <v>100</v>
      </c>
      <c r="T10" s="769" t="s">
        <v>17</v>
      </c>
      <c r="U10" s="770">
        <f t="shared" si="1"/>
        <v>100</v>
      </c>
      <c r="V10" s="769" t="s">
        <v>17</v>
      </c>
      <c r="W10" s="770">
        <f t="shared" si="2"/>
        <v>100</v>
      </c>
      <c r="X10" s="771"/>
      <c r="Y10" s="3106"/>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53"/>
      <c r="Q11" s="1797" t="str">
        <f t="shared" si="6"/>
        <v>容积率</v>
      </c>
      <c r="R11" s="769" t="s">
        <v>17</v>
      </c>
      <c r="S11" s="770" t="e">
        <f t="shared" si="0"/>
        <v>#N/A</v>
      </c>
      <c r="T11" s="769" t="s">
        <v>17</v>
      </c>
      <c r="U11" s="770" t="e">
        <f t="shared" si="1"/>
        <v>#N/A</v>
      </c>
      <c r="V11" s="769" t="s">
        <v>17</v>
      </c>
      <c r="W11" s="770" t="e">
        <f t="shared" si="2"/>
        <v>#N/A</v>
      </c>
      <c r="X11" s="771"/>
      <c r="Y11" s="3106"/>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53"/>
      <c r="Q12" s="1797">
        <f t="shared" si="6"/>
        <v>111</v>
      </c>
      <c r="R12" s="769" t="s">
        <v>17</v>
      </c>
      <c r="S12" s="770">
        <f t="shared" si="0"/>
        <v>100</v>
      </c>
      <c r="T12" s="769" t="s">
        <v>17</v>
      </c>
      <c r="U12" s="770">
        <f t="shared" si="1"/>
        <v>100</v>
      </c>
      <c r="V12" s="769" t="s">
        <v>17</v>
      </c>
      <c r="W12" s="770">
        <f t="shared" si="2"/>
        <v>100</v>
      </c>
      <c r="X12" s="771"/>
      <c r="Y12" s="3106"/>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53"/>
      <c r="Q13" s="1797">
        <f t="shared" si="6"/>
        <v>111</v>
      </c>
      <c r="R13" s="769" t="s">
        <v>17</v>
      </c>
      <c r="S13" s="770">
        <f t="shared" si="0"/>
        <v>100</v>
      </c>
      <c r="T13" s="769" t="s">
        <v>17</v>
      </c>
      <c r="U13" s="770">
        <f t="shared" si="1"/>
        <v>100</v>
      </c>
      <c r="V13" s="769" t="s">
        <v>17</v>
      </c>
      <c r="W13" s="770">
        <f t="shared" si="2"/>
        <v>100</v>
      </c>
      <c r="X13" s="771"/>
      <c r="Y13" s="3106"/>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53"/>
      <c r="Q14" s="1797">
        <f t="shared" si="6"/>
        <v>111</v>
      </c>
      <c r="R14" s="769" t="s">
        <v>17</v>
      </c>
      <c r="S14" s="770">
        <f t="shared" si="0"/>
        <v>100</v>
      </c>
      <c r="T14" s="769" t="s">
        <v>17</v>
      </c>
      <c r="U14" s="770">
        <f t="shared" si="1"/>
        <v>100</v>
      </c>
      <c r="V14" s="769" t="s">
        <v>17</v>
      </c>
      <c r="W14" s="770">
        <f t="shared" si="2"/>
        <v>100</v>
      </c>
      <c r="X14" s="771"/>
      <c r="Y14" s="3106"/>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67" t="s">
        <v>2558</v>
      </c>
      <c r="Q15" s="1812" t="str">
        <f t="shared" si="6"/>
        <v>办公集聚程度</v>
      </c>
      <c r="R15" s="773" t="s">
        <v>17</v>
      </c>
      <c r="S15" s="774">
        <f t="shared" si="0"/>
        <v>100</v>
      </c>
      <c r="T15" s="773" t="s">
        <v>17</v>
      </c>
      <c r="U15" s="774">
        <f t="shared" si="1"/>
        <v>100</v>
      </c>
      <c r="V15" s="773" t="s">
        <v>17</v>
      </c>
      <c r="W15" s="774">
        <f t="shared" si="2"/>
        <v>100</v>
      </c>
      <c r="X15" s="1815"/>
      <c r="Y15" s="3269"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268"/>
      <c r="Q16" s="1812"/>
      <c r="R16" s="773"/>
      <c r="S16" s="774"/>
      <c r="T16" s="773"/>
      <c r="U16" s="774"/>
      <c r="V16" s="773"/>
      <c r="W16" s="774"/>
      <c r="X16" s="1815"/>
      <c r="Y16" s="3270"/>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68"/>
      <c r="Q17" s="1812" t="str">
        <f>B17</f>
        <v>交通便捷度</v>
      </c>
      <c r="R17" s="773" t="s">
        <v>17</v>
      </c>
      <c r="S17" s="774">
        <f>F17</f>
        <v>100</v>
      </c>
      <c r="T17" s="773" t="s">
        <v>17</v>
      </c>
      <c r="U17" s="774">
        <f>H17</f>
        <v>100</v>
      </c>
      <c r="V17" s="773" t="s">
        <v>17</v>
      </c>
      <c r="W17" s="774">
        <f>J17</f>
        <v>100</v>
      </c>
      <c r="X17" s="1815"/>
      <c r="Y17" s="3270"/>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268"/>
      <c r="Q18" s="1812"/>
      <c r="R18" s="773"/>
      <c r="S18" s="774"/>
      <c r="T18" s="773"/>
      <c r="U18" s="774"/>
      <c r="V18" s="773"/>
      <c r="W18" s="774"/>
      <c r="X18" s="1815"/>
      <c r="Y18" s="3270"/>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68"/>
      <c r="Q19" s="1812" t="str">
        <f>B19</f>
        <v>公共配套设施</v>
      </c>
      <c r="R19" s="773" t="s">
        <v>17</v>
      </c>
      <c r="S19" s="774">
        <f>F19</f>
        <v>100</v>
      </c>
      <c r="T19" s="773" t="s">
        <v>17</v>
      </c>
      <c r="U19" s="774">
        <f>H19</f>
        <v>100</v>
      </c>
      <c r="V19" s="773" t="s">
        <v>17</v>
      </c>
      <c r="W19" s="774">
        <f>J19</f>
        <v>100</v>
      </c>
      <c r="X19" s="1815"/>
      <c r="Y19" s="3270"/>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268"/>
      <c r="Q20" s="1812"/>
      <c r="R20" s="773"/>
      <c r="S20" s="774"/>
      <c r="T20" s="773"/>
      <c r="U20" s="774"/>
      <c r="V20" s="773"/>
      <c r="W20" s="774"/>
      <c r="X20" s="1815"/>
      <c r="Y20" s="3270"/>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68"/>
      <c r="Q21" s="1812" t="str">
        <f>B21</f>
        <v>基础设施水平</v>
      </c>
      <c r="R21" s="773" t="s">
        <v>17</v>
      </c>
      <c r="S21" s="774">
        <f>F21</f>
        <v>100</v>
      </c>
      <c r="T21" s="773" t="s">
        <v>17</v>
      </c>
      <c r="U21" s="774">
        <f>H21</f>
        <v>100</v>
      </c>
      <c r="V21" s="773" t="s">
        <v>17</v>
      </c>
      <c r="W21" s="774">
        <f>J21</f>
        <v>100</v>
      </c>
      <c r="X21" s="1815"/>
      <c r="Y21" s="3270"/>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268"/>
      <c r="Q22" s="1812"/>
      <c r="R22" s="773"/>
      <c r="S22" s="774"/>
      <c r="T22" s="773"/>
      <c r="U22" s="774"/>
      <c r="V22" s="773"/>
      <c r="W22" s="774"/>
      <c r="X22" s="1815"/>
      <c r="Y22" s="3270"/>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68"/>
      <c r="Q23" s="1812" t="str">
        <f>B23</f>
        <v>环境质量</v>
      </c>
      <c r="R23" s="773" t="s">
        <v>17</v>
      </c>
      <c r="S23" s="774">
        <f>F23</f>
        <v>100</v>
      </c>
      <c r="T23" s="773" t="s">
        <v>17</v>
      </c>
      <c r="U23" s="774">
        <f>H23</f>
        <v>100</v>
      </c>
      <c r="V23" s="773" t="s">
        <v>17</v>
      </c>
      <c r="W23" s="774">
        <f>J23</f>
        <v>100</v>
      </c>
      <c r="X23" s="1815"/>
      <c r="Y23" s="3270"/>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268"/>
      <c r="Q24" s="1812"/>
      <c r="R24" s="773"/>
      <c r="S24" s="774"/>
      <c r="T24" s="773"/>
      <c r="U24" s="774"/>
      <c r="V24" s="773"/>
      <c r="W24" s="774"/>
      <c r="X24" s="1815"/>
      <c r="Y24" s="3270"/>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68"/>
      <c r="Q25" s="1812" t="str">
        <f>B25</f>
        <v>毗邻道路的类型与等级</v>
      </c>
      <c r="R25" s="773" t="s">
        <v>17</v>
      </c>
      <c r="S25" s="774">
        <f>F25</f>
        <v>100</v>
      </c>
      <c r="T25" s="773" t="s">
        <v>17</v>
      </c>
      <c r="U25" s="774">
        <f>H25</f>
        <v>100</v>
      </c>
      <c r="V25" s="773" t="s">
        <v>17</v>
      </c>
      <c r="W25" s="774">
        <f>J25</f>
        <v>100</v>
      </c>
      <c r="X25" s="1815"/>
      <c r="Y25" s="3270"/>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268"/>
      <c r="Q26" s="1812"/>
      <c r="R26" s="773"/>
      <c r="S26" s="774"/>
      <c r="T26" s="773"/>
      <c r="U26" s="774"/>
      <c r="V26" s="773"/>
      <c r="W26" s="774"/>
      <c r="X26" s="1815"/>
      <c r="Y26" s="3270"/>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68"/>
      <c r="Q27" s="1812" t="str">
        <f t="shared" ref="Q27:Q47" si="11">B27</f>
        <v>楼层</v>
      </c>
      <c r="R27" s="773" t="s">
        <v>17</v>
      </c>
      <c r="S27" s="774">
        <f>F27</f>
        <v>100</v>
      </c>
      <c r="T27" s="773" t="s">
        <v>17</v>
      </c>
      <c r="U27" s="774">
        <f>H27</f>
        <v>100</v>
      </c>
      <c r="V27" s="773" t="s">
        <v>17</v>
      </c>
      <c r="W27" s="774">
        <f>J27</f>
        <v>100</v>
      </c>
      <c r="X27" s="1815"/>
      <c r="Y27" s="3270"/>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68"/>
      <c r="Q28" s="1797" t="str">
        <f t="shared" si="11"/>
        <v>朝向</v>
      </c>
      <c r="R28" s="769" t="s">
        <v>17</v>
      </c>
      <c r="S28" s="770">
        <f>F28</f>
        <v>100</v>
      </c>
      <c r="T28" s="769" t="s">
        <v>17</v>
      </c>
      <c r="U28" s="770">
        <f>H28</f>
        <v>100</v>
      </c>
      <c r="V28" s="769" t="s">
        <v>17</v>
      </c>
      <c r="W28" s="770">
        <f>J28</f>
        <v>100</v>
      </c>
      <c r="X28" s="771"/>
      <c r="Y28" s="3270"/>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68"/>
      <c r="Q29" s="1812">
        <f t="shared" si="11"/>
        <v>111</v>
      </c>
      <c r="R29" s="773" t="s">
        <v>17</v>
      </c>
      <c r="S29" s="774">
        <f t="shared" ref="S29:S47" si="12">F29</f>
        <v>100</v>
      </c>
      <c r="T29" s="773" t="s">
        <v>17</v>
      </c>
      <c r="U29" s="774">
        <f t="shared" ref="U29:U47" si="13">H29</f>
        <v>100</v>
      </c>
      <c r="V29" s="773" t="s">
        <v>17</v>
      </c>
      <c r="W29" s="774">
        <f t="shared" ref="W29:W47" si="14">J29</f>
        <v>100</v>
      </c>
      <c r="X29" s="1815"/>
      <c r="Y29" s="3270"/>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68"/>
      <c r="Q30" s="1812">
        <f t="shared" si="11"/>
        <v>111</v>
      </c>
      <c r="R30" s="773" t="s">
        <v>17</v>
      </c>
      <c r="S30" s="774">
        <f t="shared" si="12"/>
        <v>100</v>
      </c>
      <c r="T30" s="773" t="s">
        <v>17</v>
      </c>
      <c r="U30" s="774">
        <f t="shared" si="13"/>
        <v>100</v>
      </c>
      <c r="V30" s="773" t="s">
        <v>17</v>
      </c>
      <c r="W30" s="774">
        <f t="shared" si="14"/>
        <v>100</v>
      </c>
      <c r="X30" s="1815"/>
      <c r="Y30" s="3270"/>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68"/>
      <c r="Q31" s="1812">
        <f t="shared" si="11"/>
        <v>111</v>
      </c>
      <c r="R31" s="773" t="s">
        <v>17</v>
      </c>
      <c r="S31" s="774">
        <f t="shared" si="12"/>
        <v>100</v>
      </c>
      <c r="T31" s="773" t="s">
        <v>17</v>
      </c>
      <c r="U31" s="774">
        <f t="shared" si="13"/>
        <v>100</v>
      </c>
      <c r="V31" s="773" t="s">
        <v>17</v>
      </c>
      <c r="W31" s="774">
        <f t="shared" si="14"/>
        <v>100</v>
      </c>
      <c r="X31" s="1815"/>
      <c r="Y31" s="3270"/>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68"/>
      <c r="Q32" s="1812">
        <f t="shared" si="11"/>
        <v>111</v>
      </c>
      <c r="R32" s="773" t="s">
        <v>17</v>
      </c>
      <c r="S32" s="774">
        <f t="shared" si="12"/>
        <v>100</v>
      </c>
      <c r="T32" s="773" t="s">
        <v>17</v>
      </c>
      <c r="U32" s="774">
        <f t="shared" si="13"/>
        <v>100</v>
      </c>
      <c r="V32" s="773" t="s">
        <v>17</v>
      </c>
      <c r="W32" s="774">
        <f t="shared" si="14"/>
        <v>100</v>
      </c>
      <c r="X32" s="1815"/>
      <c r="Y32" s="3270"/>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71" t="s">
        <v>2563</v>
      </c>
      <c r="Q33" s="1812" t="str">
        <f t="shared" si="11"/>
        <v>建筑类型</v>
      </c>
      <c r="R33" s="773" t="s">
        <v>17</v>
      </c>
      <c r="S33" s="774">
        <f t="shared" si="12"/>
        <v>100</v>
      </c>
      <c r="T33" s="773" t="s">
        <v>17</v>
      </c>
      <c r="U33" s="774">
        <f t="shared" si="13"/>
        <v>100</v>
      </c>
      <c r="V33" s="773" t="s">
        <v>17</v>
      </c>
      <c r="W33" s="774">
        <f t="shared" si="14"/>
        <v>100</v>
      </c>
      <c r="X33" s="1815"/>
      <c r="Y33" s="3274"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72"/>
      <c r="Q34" s="775" t="str">
        <f t="shared" si="11"/>
        <v>项目建筑规模</v>
      </c>
      <c r="R34" s="776" t="s">
        <v>17</v>
      </c>
      <c r="S34" s="777" t="e">
        <f t="shared" si="12"/>
        <v>#N/A</v>
      </c>
      <c r="T34" s="776" t="s">
        <v>17</v>
      </c>
      <c r="U34" s="777" t="e">
        <f t="shared" si="13"/>
        <v>#N/A</v>
      </c>
      <c r="V34" s="776" t="s">
        <v>17</v>
      </c>
      <c r="W34" s="777" t="e">
        <f t="shared" si="14"/>
        <v>#N/A</v>
      </c>
      <c r="X34" s="778"/>
      <c r="Y34" s="3274"/>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72"/>
      <c r="Q35" s="1812" t="str">
        <f t="shared" si="11"/>
        <v>建筑结构</v>
      </c>
      <c r="R35" s="773" t="s">
        <v>17</v>
      </c>
      <c r="S35" s="774">
        <f t="shared" si="12"/>
        <v>100</v>
      </c>
      <c r="T35" s="773" t="s">
        <v>17</v>
      </c>
      <c r="U35" s="774">
        <f t="shared" si="13"/>
        <v>100</v>
      </c>
      <c r="V35" s="773" t="s">
        <v>17</v>
      </c>
      <c r="W35" s="774">
        <f t="shared" si="14"/>
        <v>100</v>
      </c>
      <c r="X35" s="1815"/>
      <c r="Y35" s="3274"/>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72"/>
      <c r="Q36" s="1812" t="str">
        <f t="shared" si="11"/>
        <v>公共部分装修</v>
      </c>
      <c r="R36" s="773" t="s">
        <v>17</v>
      </c>
      <c r="S36" s="774">
        <f t="shared" si="12"/>
        <v>100</v>
      </c>
      <c r="T36" s="773" t="s">
        <v>17</v>
      </c>
      <c r="U36" s="774">
        <f t="shared" si="13"/>
        <v>100</v>
      </c>
      <c r="V36" s="773" t="s">
        <v>17</v>
      </c>
      <c r="W36" s="774">
        <f t="shared" si="14"/>
        <v>100</v>
      </c>
      <c r="X36" s="1815"/>
      <c r="Y36" s="3274"/>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72"/>
      <c r="Q37" s="1812" t="str">
        <f t="shared" si="11"/>
        <v>成新度</v>
      </c>
      <c r="R37" s="773" t="s">
        <v>17</v>
      </c>
      <c r="S37" s="774" t="e">
        <f t="shared" si="12"/>
        <v>#N/A</v>
      </c>
      <c r="T37" s="773" t="s">
        <v>17</v>
      </c>
      <c r="U37" s="774" t="e">
        <f t="shared" si="13"/>
        <v>#N/A</v>
      </c>
      <c r="V37" s="773" t="s">
        <v>17</v>
      </c>
      <c r="W37" s="774" t="e">
        <f t="shared" si="14"/>
        <v>#N/A</v>
      </c>
      <c r="X37" s="1815"/>
      <c r="Y37" s="3274"/>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72"/>
      <c r="Q38" s="1797" t="str">
        <f t="shared" si="11"/>
        <v>写字楼等级</v>
      </c>
      <c r="R38" s="769" t="s">
        <v>17</v>
      </c>
      <c r="S38" s="770">
        <f t="shared" si="12"/>
        <v>100</v>
      </c>
      <c r="T38" s="769" t="s">
        <v>17</v>
      </c>
      <c r="U38" s="770">
        <f t="shared" si="13"/>
        <v>100</v>
      </c>
      <c r="V38" s="769" t="s">
        <v>17</v>
      </c>
      <c r="W38" s="770">
        <f t="shared" si="14"/>
        <v>100</v>
      </c>
      <c r="X38" s="771"/>
      <c r="Y38" s="3274"/>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72" t="s">
        <v>2563</v>
      </c>
      <c r="Q39" s="1812" t="str">
        <f t="shared" si="11"/>
        <v>物业管理</v>
      </c>
      <c r="R39" s="773" t="s">
        <v>17</v>
      </c>
      <c r="S39" s="774">
        <f t="shared" si="12"/>
        <v>100</v>
      </c>
      <c r="T39" s="773" t="s">
        <v>17</v>
      </c>
      <c r="U39" s="774">
        <f t="shared" si="13"/>
        <v>100</v>
      </c>
      <c r="V39" s="773" t="s">
        <v>17</v>
      </c>
      <c r="W39" s="774">
        <f t="shared" si="14"/>
        <v>100</v>
      </c>
      <c r="X39" s="1815"/>
      <c r="Y39" s="3274"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72"/>
      <c r="Q40" s="1812" t="str">
        <f t="shared" si="11"/>
        <v>市政基础设施</v>
      </c>
      <c r="R40" s="773" t="s">
        <v>17</v>
      </c>
      <c r="S40" s="774">
        <f t="shared" si="12"/>
        <v>100</v>
      </c>
      <c r="T40" s="773" t="s">
        <v>17</v>
      </c>
      <c r="U40" s="774">
        <f t="shared" si="13"/>
        <v>100</v>
      </c>
      <c r="V40" s="773" t="s">
        <v>17</v>
      </c>
      <c r="W40" s="774">
        <f t="shared" si="14"/>
        <v>100</v>
      </c>
      <c r="X40" s="1815"/>
      <c r="Y40" s="3274"/>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72"/>
      <c r="Q41" s="1812" t="str">
        <f t="shared" si="11"/>
        <v>层高</v>
      </c>
      <c r="R41" s="773" t="s">
        <v>17</v>
      </c>
      <c r="S41" s="774">
        <f t="shared" si="12"/>
        <v>100</v>
      </c>
      <c r="T41" s="773" t="s">
        <v>17</v>
      </c>
      <c r="U41" s="774">
        <f t="shared" si="13"/>
        <v>100</v>
      </c>
      <c r="V41" s="773" t="s">
        <v>17</v>
      </c>
      <c r="W41" s="774">
        <f t="shared" si="14"/>
        <v>100</v>
      </c>
      <c r="X41" s="1815"/>
      <c r="Y41" s="3274"/>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72"/>
      <c r="Q42" s="775" t="str">
        <f t="shared" si="11"/>
        <v>单套建筑面积</v>
      </c>
      <c r="R42" s="776" t="s">
        <v>17</v>
      </c>
      <c r="S42" s="777">
        <f t="shared" si="12"/>
        <v>100</v>
      </c>
      <c r="T42" s="776" t="s">
        <v>17</v>
      </c>
      <c r="U42" s="777">
        <f t="shared" si="13"/>
        <v>100</v>
      </c>
      <c r="V42" s="776" t="s">
        <v>17</v>
      </c>
      <c r="W42" s="777">
        <f t="shared" si="14"/>
        <v>100</v>
      </c>
      <c r="X42" s="778"/>
      <c r="Y42" s="3274"/>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72"/>
      <c r="Q43" s="1812" t="str">
        <f t="shared" si="11"/>
        <v>内部装修</v>
      </c>
      <c r="R43" s="773" t="s">
        <v>17</v>
      </c>
      <c r="S43" s="774">
        <f t="shared" si="12"/>
        <v>100</v>
      </c>
      <c r="T43" s="773" t="s">
        <v>17</v>
      </c>
      <c r="U43" s="774">
        <f t="shared" si="13"/>
        <v>100</v>
      </c>
      <c r="V43" s="773" t="s">
        <v>17</v>
      </c>
      <c r="W43" s="774">
        <f t="shared" si="14"/>
        <v>100</v>
      </c>
      <c r="X43" s="1815"/>
      <c r="Y43" s="3274"/>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72"/>
      <c r="Q44" s="1812" t="str">
        <f t="shared" si="11"/>
        <v>内部装修维护情况</v>
      </c>
      <c r="R44" s="773" t="s">
        <v>17</v>
      </c>
      <c r="S44" s="774">
        <f t="shared" si="12"/>
        <v>100</v>
      </c>
      <c r="T44" s="773" t="s">
        <v>17</v>
      </c>
      <c r="U44" s="774">
        <f t="shared" si="13"/>
        <v>100</v>
      </c>
      <c r="V44" s="773" t="s">
        <v>17</v>
      </c>
      <c r="W44" s="774">
        <f t="shared" si="14"/>
        <v>100</v>
      </c>
      <c r="X44" s="1815"/>
      <c r="Y44" s="3274"/>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72"/>
      <c r="Q45" s="1797">
        <f t="shared" si="11"/>
        <v>111</v>
      </c>
      <c r="R45" s="769" t="s">
        <v>17</v>
      </c>
      <c r="S45" s="770">
        <f t="shared" si="12"/>
        <v>100</v>
      </c>
      <c r="T45" s="769" t="s">
        <v>17</v>
      </c>
      <c r="U45" s="770">
        <f t="shared" si="13"/>
        <v>100</v>
      </c>
      <c r="V45" s="769" t="s">
        <v>17</v>
      </c>
      <c r="W45" s="770">
        <f t="shared" si="14"/>
        <v>100</v>
      </c>
      <c r="X45" s="771"/>
      <c r="Y45" s="3274"/>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72"/>
      <c r="Q46" s="1812">
        <f t="shared" si="11"/>
        <v>111</v>
      </c>
      <c r="R46" s="773" t="s">
        <v>17</v>
      </c>
      <c r="S46" s="774">
        <f t="shared" si="12"/>
        <v>100</v>
      </c>
      <c r="T46" s="773" t="s">
        <v>17</v>
      </c>
      <c r="U46" s="774">
        <f t="shared" si="13"/>
        <v>100</v>
      </c>
      <c r="V46" s="773" t="s">
        <v>17</v>
      </c>
      <c r="W46" s="774">
        <f t="shared" si="14"/>
        <v>100</v>
      </c>
      <c r="X46" s="1815"/>
      <c r="Y46" s="3274"/>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73"/>
      <c r="Q47" s="1812">
        <f t="shared" si="11"/>
        <v>111</v>
      </c>
      <c r="R47" s="773" t="s">
        <v>17</v>
      </c>
      <c r="S47" s="774">
        <f t="shared" si="12"/>
        <v>100</v>
      </c>
      <c r="T47" s="773" t="s">
        <v>17</v>
      </c>
      <c r="U47" s="774">
        <f t="shared" si="13"/>
        <v>100</v>
      </c>
      <c r="V47" s="773" t="s">
        <v>17</v>
      </c>
      <c r="W47" s="774">
        <f t="shared" si="14"/>
        <v>100</v>
      </c>
      <c r="X47" s="1815"/>
      <c r="Y47" s="3275"/>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53" t="str">
        <f>A48</f>
        <v>成交单价（元/平方米）</v>
      </c>
      <c r="Q48" s="3276"/>
      <c r="R48" s="3277">
        <f>E48</f>
        <v>0</v>
      </c>
      <c r="S48" s="3277"/>
      <c r="T48" s="3277">
        <f>G48</f>
        <v>0</v>
      </c>
      <c r="U48" s="3277"/>
      <c r="V48" s="3277">
        <f>I48</f>
        <v>0</v>
      </c>
      <c r="W48" s="3277"/>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53" t="str">
        <f>A49</f>
        <v>比较价值（元/平方米）</v>
      </c>
      <c r="Q49" s="3276"/>
      <c r="R49" s="3277" t="e">
        <f>IF(F1="售价",ROUND(PRODUCT(R48,AA7:AA47),0),ROUND(PRODUCT(R48,AA7:AA47),1))</f>
        <v>#DIV/0!</v>
      </c>
      <c r="S49" s="3277"/>
      <c r="T49" s="3277" t="e">
        <f>IF(F1="售价",ROUND(PRODUCT(T48,AB7:AB47),0),ROUND(PRODUCT(T48,AB7:AB47),1))</f>
        <v>#DIV/0!</v>
      </c>
      <c r="U49" s="3277"/>
      <c r="V49" s="3277" t="e">
        <f>IF(F1="售价",ROUND(PRODUCT(V48,AC7:AC47),0),ROUND(PRODUCT(V48,AC7:AC47),1))</f>
        <v>#DIV/0!</v>
      </c>
      <c r="W49" s="3277"/>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318" t="str">
        <f>A50</f>
        <v>估价对象XX用房的比较价值（楼面单价，元/平方米）</v>
      </c>
      <c r="Q50" s="3319"/>
      <c r="R50" s="3320" t="e">
        <f>IF(F1="售价",ROUND(AVERAGE(R49:V49),0),ROUND(AVERAGE(R49:V49),1))</f>
        <v>#DIV/0!</v>
      </c>
      <c r="S50" s="3320"/>
      <c r="T50" s="3320"/>
      <c r="U50" s="3320"/>
      <c r="V50" s="3320"/>
      <c r="W50" s="3320"/>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4833.9999999999973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54" t="s">
        <v>2644</v>
      </c>
      <c r="D4" s="3255"/>
      <c r="E4" s="3256" t="s">
        <v>2645</v>
      </c>
      <c r="F4" s="3257"/>
      <c r="G4" s="3254" t="s">
        <v>2646</v>
      </c>
      <c r="H4" s="3255"/>
      <c r="I4" s="3254" t="s">
        <v>2647</v>
      </c>
      <c r="J4" s="3255"/>
      <c r="K4" s="610" t="s">
        <v>2648</v>
      </c>
      <c r="L4" s="1132"/>
      <c r="M4" s="1133"/>
      <c r="N4" s="1133"/>
      <c r="O4" s="1133"/>
      <c r="P4" s="3258" t="s">
        <v>2649</v>
      </c>
      <c r="Q4" s="3259"/>
      <c r="R4" s="3240" t="s">
        <v>2645</v>
      </c>
      <c r="S4" s="3241"/>
      <c r="T4" s="3240" t="s">
        <v>2646</v>
      </c>
      <c r="U4" s="3241"/>
      <c r="V4" s="3237" t="s">
        <v>2647</v>
      </c>
      <c r="W4" s="3237"/>
      <c r="X4" s="1815"/>
      <c r="Y4" s="3240" t="s">
        <v>2649</v>
      </c>
      <c r="Z4" s="3241"/>
      <c r="AA4" s="3234" t="s">
        <v>2645</v>
      </c>
      <c r="AB4" s="3235" t="s">
        <v>2646</v>
      </c>
      <c r="AC4" s="3234" t="s">
        <v>2647</v>
      </c>
    </row>
    <row r="5" spans="1:29" ht="15">
      <c r="A5" s="404"/>
      <c r="B5" s="405"/>
      <c r="C5" s="3304" t="s">
        <v>2540</v>
      </c>
      <c r="D5" s="3247"/>
      <c r="E5" s="3303" t="s">
        <v>2541</v>
      </c>
      <c r="F5" s="3245"/>
      <c r="G5" s="3304" t="s">
        <v>2542</v>
      </c>
      <c r="H5" s="3247"/>
      <c r="I5" s="3304" t="s">
        <v>2543</v>
      </c>
      <c r="J5" s="3247"/>
      <c r="K5" s="610"/>
      <c r="L5" s="1132"/>
      <c r="M5" s="1133"/>
      <c r="N5" s="1133"/>
      <c r="O5" s="1133"/>
      <c r="P5" s="3260"/>
      <c r="Q5" s="3261"/>
      <c r="R5" s="3242"/>
      <c r="S5" s="3243"/>
      <c r="T5" s="3242"/>
      <c r="U5" s="3243"/>
      <c r="V5" s="3237"/>
      <c r="W5" s="3237"/>
      <c r="X5" s="1815"/>
      <c r="Y5" s="3242"/>
      <c r="Z5" s="3243"/>
      <c r="AA5" s="3235"/>
      <c r="AB5" s="3235"/>
      <c r="AC5" s="3235"/>
    </row>
    <row r="6" spans="1:29" ht="15.75" thickBot="1">
      <c r="A6" s="406"/>
      <c r="B6" s="407"/>
      <c r="C6" s="3248" t="s">
        <v>2544</v>
      </c>
      <c r="D6" s="3249"/>
      <c r="E6" s="3305" t="s">
        <v>2544</v>
      </c>
      <c r="F6" s="3251"/>
      <c r="G6" s="3248" t="s">
        <v>2544</v>
      </c>
      <c r="H6" s="3249"/>
      <c r="I6" s="3248" t="s">
        <v>2544</v>
      </c>
      <c r="J6" s="3249"/>
      <c r="K6" s="610" t="s">
        <v>2545</v>
      </c>
      <c r="L6" s="1132"/>
      <c r="M6" s="1133"/>
      <c r="N6" s="1133"/>
      <c r="O6" s="1133"/>
      <c r="P6" s="3262"/>
      <c r="Q6" s="3263"/>
      <c r="R6" s="3242"/>
      <c r="S6" s="3243"/>
      <c r="T6" s="3264"/>
      <c r="U6" s="3265"/>
      <c r="V6" s="3237"/>
      <c r="W6" s="3237"/>
      <c r="X6" s="1815"/>
      <c r="Y6" s="3264"/>
      <c r="Z6" s="3265"/>
      <c r="AA6" s="3236"/>
      <c r="AB6" s="3236"/>
      <c r="AC6" s="3236"/>
    </row>
    <row r="7" spans="1:29" s="117" customFormat="1" ht="15.75" thickBot="1">
      <c r="A7" s="408" t="s">
        <v>2546</v>
      </c>
      <c r="B7" s="409"/>
      <c r="C7" s="410">
        <f>'数据-取费表'!B2</f>
        <v>43202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38"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76" t="s">
        <v>2553</v>
      </c>
      <c r="Q9" s="1797" t="str">
        <f t="shared" ref="Q9:Q15" si="6">B9</f>
        <v>用途</v>
      </c>
      <c r="R9" s="769" t="s">
        <v>17</v>
      </c>
      <c r="S9" s="770">
        <f t="shared" si="0"/>
        <v>100</v>
      </c>
      <c r="T9" s="769" t="s">
        <v>17</v>
      </c>
      <c r="U9" s="770">
        <f t="shared" si="1"/>
        <v>100</v>
      </c>
      <c r="V9" s="769" t="s">
        <v>17</v>
      </c>
      <c r="W9" s="770">
        <f t="shared" si="2"/>
        <v>100</v>
      </c>
      <c r="X9" s="771"/>
      <c r="Y9" s="3106"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76"/>
      <c r="Q10" s="1797" t="str">
        <f t="shared" si="6"/>
        <v>土地使用年限（年）</v>
      </c>
      <c r="R10" s="769" t="s">
        <v>17</v>
      </c>
      <c r="S10" s="770">
        <f t="shared" si="0"/>
        <v>100</v>
      </c>
      <c r="T10" s="769" t="s">
        <v>17</v>
      </c>
      <c r="U10" s="770">
        <f t="shared" si="1"/>
        <v>100</v>
      </c>
      <c r="V10" s="769" t="s">
        <v>17</v>
      </c>
      <c r="W10" s="770">
        <f t="shared" si="2"/>
        <v>100</v>
      </c>
      <c r="X10" s="771"/>
      <c r="Y10" s="3106"/>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76"/>
      <c r="Q11" s="1797" t="str">
        <f t="shared" si="6"/>
        <v>容积率</v>
      </c>
      <c r="R11" s="769" t="s">
        <v>17</v>
      </c>
      <c r="S11" s="770" t="e">
        <f t="shared" si="0"/>
        <v>#N/A</v>
      </c>
      <c r="T11" s="769" t="s">
        <v>17</v>
      </c>
      <c r="U11" s="770" t="e">
        <f t="shared" si="1"/>
        <v>#N/A</v>
      </c>
      <c r="V11" s="769" t="s">
        <v>17</v>
      </c>
      <c r="W11" s="770" t="e">
        <f t="shared" si="2"/>
        <v>#N/A</v>
      </c>
      <c r="X11" s="771"/>
      <c r="Y11" s="3106"/>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76"/>
      <c r="Q12" s="1797">
        <f t="shared" si="6"/>
        <v>111</v>
      </c>
      <c r="R12" s="769" t="s">
        <v>17</v>
      </c>
      <c r="S12" s="770">
        <f t="shared" si="0"/>
        <v>100</v>
      </c>
      <c r="T12" s="769" t="s">
        <v>17</v>
      </c>
      <c r="U12" s="770">
        <f t="shared" si="1"/>
        <v>100</v>
      </c>
      <c r="V12" s="769" t="s">
        <v>17</v>
      </c>
      <c r="W12" s="770">
        <f t="shared" si="2"/>
        <v>100</v>
      </c>
      <c r="X12" s="771"/>
      <c r="Y12" s="3106"/>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76"/>
      <c r="Q13" s="1797">
        <f t="shared" si="6"/>
        <v>111</v>
      </c>
      <c r="R13" s="769" t="s">
        <v>17</v>
      </c>
      <c r="S13" s="770">
        <f t="shared" si="0"/>
        <v>100</v>
      </c>
      <c r="T13" s="769" t="s">
        <v>17</v>
      </c>
      <c r="U13" s="770">
        <f t="shared" si="1"/>
        <v>100</v>
      </c>
      <c r="V13" s="769" t="s">
        <v>17</v>
      </c>
      <c r="W13" s="770">
        <f t="shared" si="2"/>
        <v>100</v>
      </c>
      <c r="X13" s="771"/>
      <c r="Y13" s="3106"/>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76"/>
      <c r="Q14" s="1797">
        <f t="shared" si="6"/>
        <v>111</v>
      </c>
      <c r="R14" s="769" t="s">
        <v>17</v>
      </c>
      <c r="S14" s="770">
        <f t="shared" si="0"/>
        <v>100</v>
      </c>
      <c r="T14" s="769" t="s">
        <v>17</v>
      </c>
      <c r="U14" s="770">
        <f t="shared" si="1"/>
        <v>100</v>
      </c>
      <c r="V14" s="769" t="s">
        <v>17</v>
      </c>
      <c r="W14" s="770">
        <f t="shared" si="2"/>
        <v>100</v>
      </c>
      <c r="X14" s="771"/>
      <c r="Y14" s="3106"/>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69" t="s">
        <v>2558</v>
      </c>
      <c r="Q15" s="1812" t="str">
        <f t="shared" si="6"/>
        <v>产业集聚程度</v>
      </c>
      <c r="R15" s="773" t="s">
        <v>17</v>
      </c>
      <c r="S15" s="774">
        <f t="shared" si="0"/>
        <v>100</v>
      </c>
      <c r="T15" s="773" t="s">
        <v>17</v>
      </c>
      <c r="U15" s="774">
        <f t="shared" si="1"/>
        <v>100</v>
      </c>
      <c r="V15" s="773" t="s">
        <v>17</v>
      </c>
      <c r="W15" s="774">
        <f t="shared" si="2"/>
        <v>100</v>
      </c>
      <c r="X15" s="1815"/>
      <c r="Y15" s="3269"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70"/>
      <c r="Q16" s="1812"/>
      <c r="R16" s="773"/>
      <c r="S16" s="774"/>
      <c r="T16" s="773"/>
      <c r="U16" s="774"/>
      <c r="V16" s="773"/>
      <c r="W16" s="774"/>
      <c r="X16" s="1815"/>
      <c r="Y16" s="3270"/>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70"/>
      <c r="Q17" s="1812" t="str">
        <f>B17</f>
        <v>交通便捷度</v>
      </c>
      <c r="R17" s="773" t="s">
        <v>17</v>
      </c>
      <c r="S17" s="774">
        <f>F17</f>
        <v>100</v>
      </c>
      <c r="T17" s="773" t="s">
        <v>17</v>
      </c>
      <c r="U17" s="774">
        <f>H17</f>
        <v>100</v>
      </c>
      <c r="V17" s="773" t="s">
        <v>17</v>
      </c>
      <c r="W17" s="774">
        <f>J17</f>
        <v>100</v>
      </c>
      <c r="X17" s="1815"/>
      <c r="Y17" s="3270"/>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70"/>
      <c r="Q18" s="1812"/>
      <c r="R18" s="773"/>
      <c r="S18" s="774"/>
      <c r="T18" s="773"/>
      <c r="U18" s="774"/>
      <c r="V18" s="773"/>
      <c r="W18" s="774"/>
      <c r="X18" s="1815"/>
      <c r="Y18" s="3270"/>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70"/>
      <c r="Q19" s="1812" t="str">
        <f>B19</f>
        <v>公共配套设施</v>
      </c>
      <c r="R19" s="773" t="s">
        <v>17</v>
      </c>
      <c r="S19" s="774">
        <f>F19</f>
        <v>100</v>
      </c>
      <c r="T19" s="773" t="s">
        <v>17</v>
      </c>
      <c r="U19" s="774">
        <f>H19</f>
        <v>100</v>
      </c>
      <c r="V19" s="773" t="s">
        <v>17</v>
      </c>
      <c r="W19" s="774">
        <f>J19</f>
        <v>100</v>
      </c>
      <c r="X19" s="1815"/>
      <c r="Y19" s="3270"/>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70"/>
      <c r="Q20" s="1812"/>
      <c r="R20" s="773"/>
      <c r="S20" s="774"/>
      <c r="T20" s="773"/>
      <c r="U20" s="774"/>
      <c r="V20" s="773"/>
      <c r="W20" s="774"/>
      <c r="X20" s="1815"/>
      <c r="Y20" s="3270"/>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70"/>
      <c r="Q21" s="1812" t="str">
        <f>B21</f>
        <v>基础设施水平</v>
      </c>
      <c r="R21" s="773" t="s">
        <v>17</v>
      </c>
      <c r="S21" s="774">
        <f>F21</f>
        <v>100</v>
      </c>
      <c r="T21" s="773" t="s">
        <v>17</v>
      </c>
      <c r="U21" s="774">
        <f>H21</f>
        <v>100</v>
      </c>
      <c r="V21" s="773" t="s">
        <v>17</v>
      </c>
      <c r="W21" s="774">
        <f>J21</f>
        <v>100</v>
      </c>
      <c r="X21" s="1815"/>
      <c r="Y21" s="3270"/>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70"/>
      <c r="Q22" s="1812"/>
      <c r="R22" s="773"/>
      <c r="S22" s="774"/>
      <c r="T22" s="773"/>
      <c r="U22" s="774"/>
      <c r="V22" s="773"/>
      <c r="W22" s="774"/>
      <c r="X22" s="1815"/>
      <c r="Y22" s="3270"/>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70"/>
      <c r="Q23" s="1812" t="str">
        <f>B23</f>
        <v>环境质量</v>
      </c>
      <c r="R23" s="773" t="s">
        <v>17</v>
      </c>
      <c r="S23" s="774">
        <f>F23</f>
        <v>100</v>
      </c>
      <c r="T23" s="773" t="s">
        <v>17</v>
      </c>
      <c r="U23" s="774">
        <f>H23</f>
        <v>100</v>
      </c>
      <c r="V23" s="773" t="s">
        <v>17</v>
      </c>
      <c r="W23" s="774">
        <f>J23</f>
        <v>100</v>
      </c>
      <c r="X23" s="1815"/>
      <c r="Y23" s="3270"/>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70"/>
      <c r="Q24" s="1812"/>
      <c r="R24" s="773"/>
      <c r="S24" s="774"/>
      <c r="T24" s="773"/>
      <c r="U24" s="774"/>
      <c r="V24" s="773"/>
      <c r="W24" s="774"/>
      <c r="X24" s="1815"/>
      <c r="Y24" s="3270"/>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70"/>
      <c r="Q25" s="1812">
        <f>B25</f>
        <v>111</v>
      </c>
      <c r="R25" s="773" t="s">
        <v>17</v>
      </c>
      <c r="S25" s="774">
        <f>F25</f>
        <v>100</v>
      </c>
      <c r="T25" s="773" t="s">
        <v>17</v>
      </c>
      <c r="U25" s="774">
        <f>H25</f>
        <v>100</v>
      </c>
      <c r="V25" s="773" t="s">
        <v>17</v>
      </c>
      <c r="W25" s="774">
        <f>J25</f>
        <v>100</v>
      </c>
      <c r="X25" s="1815"/>
      <c r="Y25" s="3270"/>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70"/>
      <c r="Q26" s="1812">
        <f t="shared" ref="Q26:Q40" si="11">B26</f>
        <v>111</v>
      </c>
      <c r="R26" s="773" t="s">
        <v>17</v>
      </c>
      <c r="S26" s="774">
        <f>F26</f>
        <v>100</v>
      </c>
      <c r="T26" s="773" t="s">
        <v>17</v>
      </c>
      <c r="U26" s="774">
        <f>H26</f>
        <v>100</v>
      </c>
      <c r="V26" s="773" t="s">
        <v>17</v>
      </c>
      <c r="W26" s="774">
        <f>J26</f>
        <v>100</v>
      </c>
      <c r="X26" s="1815"/>
      <c r="Y26" s="3270"/>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70"/>
      <c r="Q27" s="1797">
        <f t="shared" si="11"/>
        <v>111</v>
      </c>
      <c r="R27" s="769" t="s">
        <v>17</v>
      </c>
      <c r="S27" s="770">
        <f>F27</f>
        <v>100</v>
      </c>
      <c r="T27" s="769" t="s">
        <v>17</v>
      </c>
      <c r="U27" s="770">
        <f>H27</f>
        <v>100</v>
      </c>
      <c r="V27" s="769" t="s">
        <v>17</v>
      </c>
      <c r="W27" s="770">
        <f>J27</f>
        <v>100</v>
      </c>
      <c r="X27" s="771"/>
      <c r="Y27" s="3270"/>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70"/>
      <c r="Q28" s="1812">
        <f t="shared" si="11"/>
        <v>111</v>
      </c>
      <c r="R28" s="773" t="s">
        <v>17</v>
      </c>
      <c r="S28" s="774">
        <f t="shared" ref="S28:S40" si="12">F28</f>
        <v>100</v>
      </c>
      <c r="T28" s="773" t="s">
        <v>17</v>
      </c>
      <c r="U28" s="774">
        <f t="shared" ref="U28:U40" si="13">H28</f>
        <v>100</v>
      </c>
      <c r="V28" s="773" t="s">
        <v>17</v>
      </c>
      <c r="W28" s="774">
        <f t="shared" ref="W28:W40" si="14">J28</f>
        <v>100</v>
      </c>
      <c r="X28" s="1815"/>
      <c r="Y28" s="3270"/>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21" t="s">
        <v>2563</v>
      </c>
      <c r="Q29" s="1812" t="str">
        <f t="shared" si="11"/>
        <v>建筑类型</v>
      </c>
      <c r="R29" s="773" t="s">
        <v>17</v>
      </c>
      <c r="S29" s="774">
        <f t="shared" si="12"/>
        <v>100</v>
      </c>
      <c r="T29" s="773" t="s">
        <v>17</v>
      </c>
      <c r="U29" s="774">
        <f t="shared" si="13"/>
        <v>100</v>
      </c>
      <c r="V29" s="773" t="s">
        <v>17</v>
      </c>
      <c r="W29" s="774">
        <f t="shared" si="14"/>
        <v>100</v>
      </c>
      <c r="X29" s="1815"/>
      <c r="Y29" s="3274"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74"/>
      <c r="Q30" s="775" t="str">
        <f t="shared" si="11"/>
        <v>项目建筑规模</v>
      </c>
      <c r="R30" s="776" t="s">
        <v>17</v>
      </c>
      <c r="S30" s="777" t="e">
        <f t="shared" si="12"/>
        <v>#N/A</v>
      </c>
      <c r="T30" s="776" t="s">
        <v>17</v>
      </c>
      <c r="U30" s="777" t="e">
        <f t="shared" si="13"/>
        <v>#N/A</v>
      </c>
      <c r="V30" s="776" t="s">
        <v>17</v>
      </c>
      <c r="W30" s="777" t="e">
        <f t="shared" si="14"/>
        <v>#N/A</v>
      </c>
      <c r="X30" s="778"/>
      <c r="Y30" s="3274"/>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74"/>
      <c r="Q31" s="1812" t="str">
        <f t="shared" si="11"/>
        <v>建筑结构</v>
      </c>
      <c r="R31" s="773" t="s">
        <v>17</v>
      </c>
      <c r="S31" s="774">
        <f t="shared" si="12"/>
        <v>100</v>
      </c>
      <c r="T31" s="773" t="s">
        <v>17</v>
      </c>
      <c r="U31" s="774">
        <f t="shared" si="13"/>
        <v>100</v>
      </c>
      <c r="V31" s="773" t="s">
        <v>17</v>
      </c>
      <c r="W31" s="774">
        <f t="shared" si="14"/>
        <v>100</v>
      </c>
      <c r="X31" s="1815"/>
      <c r="Y31" s="3274"/>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74"/>
      <c r="Q32" s="1812" t="str">
        <f t="shared" si="11"/>
        <v>公共部分装修</v>
      </c>
      <c r="R32" s="773" t="s">
        <v>17</v>
      </c>
      <c r="S32" s="774">
        <f t="shared" si="12"/>
        <v>100</v>
      </c>
      <c r="T32" s="773" t="s">
        <v>17</v>
      </c>
      <c r="U32" s="774">
        <f t="shared" si="13"/>
        <v>100</v>
      </c>
      <c r="V32" s="773" t="s">
        <v>17</v>
      </c>
      <c r="W32" s="774">
        <f t="shared" si="14"/>
        <v>100</v>
      </c>
      <c r="X32" s="1815"/>
      <c r="Y32" s="3274"/>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74"/>
      <c r="Q33" s="1812" t="str">
        <f t="shared" si="11"/>
        <v>成新度</v>
      </c>
      <c r="R33" s="773" t="s">
        <v>17</v>
      </c>
      <c r="S33" s="774" t="e">
        <f t="shared" si="12"/>
        <v>#N/A</v>
      </c>
      <c r="T33" s="773" t="s">
        <v>17</v>
      </c>
      <c r="U33" s="774" t="e">
        <f t="shared" si="13"/>
        <v>#N/A</v>
      </c>
      <c r="V33" s="773" t="s">
        <v>17</v>
      </c>
      <c r="W33" s="774" t="e">
        <f t="shared" si="14"/>
        <v>#N/A</v>
      </c>
      <c r="X33" s="1815"/>
      <c r="Y33" s="3274"/>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74"/>
      <c r="Q34" s="1797" t="str">
        <f t="shared" si="11"/>
        <v>物业管理</v>
      </c>
      <c r="R34" s="769" t="s">
        <v>17</v>
      </c>
      <c r="S34" s="770">
        <f t="shared" si="12"/>
        <v>100</v>
      </c>
      <c r="T34" s="769" t="s">
        <v>17</v>
      </c>
      <c r="U34" s="770">
        <f t="shared" si="13"/>
        <v>100</v>
      </c>
      <c r="V34" s="769" t="s">
        <v>17</v>
      </c>
      <c r="W34" s="770">
        <f t="shared" si="14"/>
        <v>100</v>
      </c>
      <c r="X34" s="771"/>
      <c r="Y34" s="3274"/>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74" t="s">
        <v>2563</v>
      </c>
      <c r="Q35" s="1812" t="str">
        <f t="shared" si="11"/>
        <v>市政基础设施</v>
      </c>
      <c r="R35" s="773" t="s">
        <v>17</v>
      </c>
      <c r="S35" s="774">
        <f t="shared" si="12"/>
        <v>100</v>
      </c>
      <c r="T35" s="773" t="s">
        <v>17</v>
      </c>
      <c r="U35" s="774">
        <f t="shared" si="13"/>
        <v>100</v>
      </c>
      <c r="V35" s="773" t="s">
        <v>17</v>
      </c>
      <c r="W35" s="774">
        <f t="shared" si="14"/>
        <v>100</v>
      </c>
      <c r="X35" s="1815"/>
      <c r="Y35" s="3274"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74"/>
      <c r="Q36" s="1812" t="str">
        <f t="shared" si="11"/>
        <v>内部装修</v>
      </c>
      <c r="R36" s="773" t="s">
        <v>17</v>
      </c>
      <c r="S36" s="774">
        <f t="shared" si="12"/>
        <v>100</v>
      </c>
      <c r="T36" s="773" t="s">
        <v>17</v>
      </c>
      <c r="U36" s="774">
        <f t="shared" si="13"/>
        <v>100</v>
      </c>
      <c r="V36" s="773" t="s">
        <v>17</v>
      </c>
      <c r="W36" s="774">
        <f t="shared" si="14"/>
        <v>100</v>
      </c>
      <c r="X36" s="1815"/>
      <c r="Y36" s="3274"/>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74"/>
      <c r="Q37" s="1812" t="str">
        <f t="shared" si="11"/>
        <v>内部装修状况</v>
      </c>
      <c r="R37" s="773" t="s">
        <v>17</v>
      </c>
      <c r="S37" s="774">
        <f t="shared" si="12"/>
        <v>100</v>
      </c>
      <c r="T37" s="773" t="s">
        <v>17</v>
      </c>
      <c r="U37" s="774">
        <f t="shared" si="13"/>
        <v>100</v>
      </c>
      <c r="V37" s="773" t="s">
        <v>17</v>
      </c>
      <c r="W37" s="774">
        <f t="shared" si="14"/>
        <v>100</v>
      </c>
      <c r="X37" s="1815"/>
      <c r="Y37" s="3274"/>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74"/>
      <c r="Q38" s="775">
        <f t="shared" si="11"/>
        <v>111</v>
      </c>
      <c r="R38" s="776" t="s">
        <v>17</v>
      </c>
      <c r="S38" s="777">
        <f t="shared" si="12"/>
        <v>100</v>
      </c>
      <c r="T38" s="776" t="s">
        <v>17</v>
      </c>
      <c r="U38" s="777">
        <f t="shared" si="13"/>
        <v>100</v>
      </c>
      <c r="V38" s="776" t="s">
        <v>17</v>
      </c>
      <c r="W38" s="777">
        <f t="shared" si="14"/>
        <v>100</v>
      </c>
      <c r="X38" s="778"/>
      <c r="Y38" s="3274"/>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74"/>
      <c r="Q39" s="1812">
        <f t="shared" si="11"/>
        <v>111</v>
      </c>
      <c r="R39" s="773" t="s">
        <v>17</v>
      </c>
      <c r="S39" s="774">
        <f t="shared" si="12"/>
        <v>100</v>
      </c>
      <c r="T39" s="773" t="s">
        <v>17</v>
      </c>
      <c r="U39" s="774">
        <f t="shared" si="13"/>
        <v>100</v>
      </c>
      <c r="V39" s="773" t="s">
        <v>17</v>
      </c>
      <c r="W39" s="774">
        <f t="shared" si="14"/>
        <v>100</v>
      </c>
      <c r="X39" s="1815"/>
      <c r="Y39" s="3274"/>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75"/>
      <c r="Q40" s="1812">
        <f t="shared" si="11"/>
        <v>111</v>
      </c>
      <c r="R40" s="773" t="s">
        <v>17</v>
      </c>
      <c r="S40" s="774">
        <f t="shared" si="12"/>
        <v>100</v>
      </c>
      <c r="T40" s="773" t="s">
        <v>17</v>
      </c>
      <c r="U40" s="774">
        <f t="shared" si="13"/>
        <v>100</v>
      </c>
      <c r="V40" s="773" t="s">
        <v>17</v>
      </c>
      <c r="W40" s="774">
        <f t="shared" si="14"/>
        <v>100</v>
      </c>
      <c r="X40" s="1815"/>
      <c r="Y40" s="3275"/>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276" t="str">
        <f>A41</f>
        <v>成交单价（元/平方米）</v>
      </c>
      <c r="Q41" s="3276"/>
      <c r="R41" s="3277">
        <f>E41</f>
        <v>0</v>
      </c>
      <c r="S41" s="3277"/>
      <c r="T41" s="3277">
        <f>G41</f>
        <v>0</v>
      </c>
      <c r="U41" s="3277"/>
      <c r="V41" s="3277">
        <f>I41</f>
        <v>0</v>
      </c>
      <c r="W41" s="3277"/>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76" t="str">
        <f>A42</f>
        <v>比较价值（元/平方米）</v>
      </c>
      <c r="Q42" s="3276"/>
      <c r="R42" s="3277" t="e">
        <f>IF(F1="售价",ROUND(PRODUCT(R41,AA7:AA40),0),ROUND(PRODUCT(R41,AA7:AA40),1))</f>
        <v>#DIV/0!</v>
      </c>
      <c r="S42" s="3277"/>
      <c r="T42" s="3277" t="e">
        <f>IF(F1="售价",ROUND(PRODUCT(T41,AB7:AB40),0),ROUND(PRODUCT(T41,AB7:AB40),1))</f>
        <v>#DIV/0!</v>
      </c>
      <c r="U42" s="3277"/>
      <c r="V42" s="3277" t="e">
        <f>IF(F1="售价",ROUND(PRODUCT(V41,AC7:AC40),0),ROUND(PRODUCT(V41,AC7:AC40),1))</f>
        <v>#DIV/0!</v>
      </c>
      <c r="W42" s="3277"/>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78" t="str">
        <f>A43</f>
        <v>估价对象XX用房的比较价值（楼面单价，元/平方米）</v>
      </c>
      <c r="Q43" s="3279"/>
      <c r="R43" s="3280" t="e">
        <f>IF(F1="售价",ROUND(AVERAGE(R42:V42),0),ROUND(AVERAGE(R42:V42),1))</f>
        <v>#DIV/0!</v>
      </c>
      <c r="S43" s="3280"/>
      <c r="T43" s="3280"/>
      <c r="U43" s="3280"/>
      <c r="V43" s="3280"/>
      <c r="W43" s="328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华融国际信托有限责任公司：</v>
      </c>
    </row>
    <row r="4" spans="1:1" ht="36">
      <c r="A4" s="1950" t="str">
        <f>"受贵公司委托，我公司对"&amp;项目基本情况!S1&amp;"进行了预评估。"</f>
        <v>受贵公司委托，我公司对江苏省宿迁市宿城区水韵城项目部分商业用途房地产抵押价值进行了预评估。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宿迁市宿城区水韵城项目部分商业用途房地产，为宿迁用世置业有限公司所有。根据《不动产权证书》[苏2016宿迁市不动产权第0028115号等41件]、《国有土地使用证》[宿国用2015第25472号等67件]，估价对象（分摊）出让国有建设用地使用权面积为909.82平方米，建筑面积为4834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宿迁市宿城区水韵城项目部分商业用途房地产,属宿迁用世置业有限公司开发建设的商业项目，该项目尚在开发建设中。根据《不动产权证书》[苏2016宿迁市不动产权第0028115号等41件]、《国有土地使用证》[宿国用2015第25472号等67件]，估价对象（分摊）出让国有建设用地使用权面积为909.82平方米，规划建筑面积为4834平方米。</v>
      </c>
    </row>
    <row r="11" spans="1:1" ht="76.5">
      <c r="A11" s="1953" t="s">
        <v>1615</v>
      </c>
    </row>
    <row r="12" spans="1:1" ht="18.75">
      <c r="A12" s="1951" t="s">
        <v>1616</v>
      </c>
    </row>
    <row r="13" spans="1:1" ht="38.25" customHeight="1">
      <c r="A13" s="1954" t="str">
        <f>IF(项目基本情况!B8="抵押",IF(项目基本情况!B5=项目基本情况!B6,定义!C51,定义!B51),定义!D51)</f>
        <v>中科建设开发总公司拟使用江苏省宿迁市宿城区水韵城项目部分商业用途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2018年4月12日（评估专业人员实地查勘之日）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商业，土地取得方式为出让，出让国有建设用地使用权剩余土地使用年限为商业34.26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商业34.26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54" t="s">
        <v>2644</v>
      </c>
      <c r="D4" s="3255"/>
      <c r="E4" s="3256" t="s">
        <v>2645</v>
      </c>
      <c r="F4" s="3257"/>
      <c r="G4" s="3254" t="s">
        <v>2646</v>
      </c>
      <c r="H4" s="3255"/>
      <c r="I4" s="3254" t="s">
        <v>2647</v>
      </c>
      <c r="J4" s="3255"/>
      <c r="K4" s="610" t="s">
        <v>2648</v>
      </c>
      <c r="L4" s="1132"/>
      <c r="M4" s="1133"/>
      <c r="N4" s="1133"/>
      <c r="O4" s="1133"/>
      <c r="P4" s="3258" t="s">
        <v>2649</v>
      </c>
      <c r="Q4" s="3259"/>
      <c r="R4" s="3240" t="s">
        <v>2645</v>
      </c>
      <c r="S4" s="3241"/>
      <c r="T4" s="3240" t="s">
        <v>2646</v>
      </c>
      <c r="U4" s="3241"/>
      <c r="V4" s="3237" t="s">
        <v>2647</v>
      </c>
      <c r="W4" s="3237"/>
      <c r="X4" s="1815"/>
      <c r="Y4" s="3240" t="s">
        <v>2649</v>
      </c>
      <c r="Z4" s="3241"/>
      <c r="AA4" s="3234" t="s">
        <v>2645</v>
      </c>
      <c r="AB4" s="3235" t="s">
        <v>2646</v>
      </c>
      <c r="AC4" s="3234" t="s">
        <v>2647</v>
      </c>
    </row>
    <row r="5" spans="1:29" ht="15">
      <c r="A5" s="404"/>
      <c r="B5" s="405"/>
      <c r="C5" s="3304" t="s">
        <v>2540</v>
      </c>
      <c r="D5" s="3247"/>
      <c r="E5" s="3303" t="s">
        <v>2541</v>
      </c>
      <c r="F5" s="3245"/>
      <c r="G5" s="3304" t="s">
        <v>2542</v>
      </c>
      <c r="H5" s="3247"/>
      <c r="I5" s="3304" t="s">
        <v>2543</v>
      </c>
      <c r="J5" s="3247"/>
      <c r="K5" s="610"/>
      <c r="L5" s="1132"/>
      <c r="M5" s="1133"/>
      <c r="N5" s="1133"/>
      <c r="O5" s="1133"/>
      <c r="P5" s="3260"/>
      <c r="Q5" s="3261"/>
      <c r="R5" s="3242"/>
      <c r="S5" s="3243"/>
      <c r="T5" s="3242"/>
      <c r="U5" s="3243"/>
      <c r="V5" s="3237"/>
      <c r="W5" s="3237"/>
      <c r="X5" s="1815"/>
      <c r="Y5" s="3242"/>
      <c r="Z5" s="3243"/>
      <c r="AA5" s="3235"/>
      <c r="AB5" s="3235"/>
      <c r="AC5" s="3235"/>
    </row>
    <row r="6" spans="1:29" ht="15.75" thickBot="1">
      <c r="A6" s="406"/>
      <c r="B6" s="407"/>
      <c r="C6" s="3248" t="s">
        <v>2544</v>
      </c>
      <c r="D6" s="3249"/>
      <c r="E6" s="3305" t="s">
        <v>2544</v>
      </c>
      <c r="F6" s="3251"/>
      <c r="G6" s="3248" t="s">
        <v>2544</v>
      </c>
      <c r="H6" s="3249"/>
      <c r="I6" s="3248" t="s">
        <v>2544</v>
      </c>
      <c r="J6" s="3249"/>
      <c r="K6" s="610" t="s">
        <v>2545</v>
      </c>
      <c r="L6" s="1132"/>
      <c r="M6" s="1133"/>
      <c r="N6" s="1133"/>
      <c r="O6" s="1133"/>
      <c r="P6" s="3262"/>
      <c r="Q6" s="3263"/>
      <c r="R6" s="3242"/>
      <c r="S6" s="3243"/>
      <c r="T6" s="3264"/>
      <c r="U6" s="3265"/>
      <c r="V6" s="3237"/>
      <c r="W6" s="3237"/>
      <c r="X6" s="1815"/>
      <c r="Y6" s="3264"/>
      <c r="Z6" s="3265"/>
      <c r="AA6" s="3236"/>
      <c r="AB6" s="3236"/>
      <c r="AC6" s="3236"/>
    </row>
    <row r="7" spans="1:29" s="117" customFormat="1" ht="15.75" thickBot="1">
      <c r="A7" s="408" t="s">
        <v>2546</v>
      </c>
      <c r="B7" s="409"/>
      <c r="C7" s="410">
        <f>'数据-取费表'!B2</f>
        <v>43202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38" t="s">
        <v>2547</v>
      </c>
      <c r="Q7" s="3266"/>
      <c r="R7" s="769" t="s">
        <v>17</v>
      </c>
      <c r="S7" s="770">
        <f t="shared" ref="S7:S14" si="0">F7</f>
        <v>0</v>
      </c>
      <c r="T7" s="769" t="s">
        <v>17</v>
      </c>
      <c r="U7" s="770">
        <f t="shared" ref="U7:U14" si="1">H7</f>
        <v>0</v>
      </c>
      <c r="V7" s="769" t="s">
        <v>17</v>
      </c>
      <c r="W7" s="770">
        <f t="shared" ref="W7:W14" si="2">J7</f>
        <v>0</v>
      </c>
      <c r="X7" s="771"/>
      <c r="Y7" s="3238" t="s">
        <v>2547</v>
      </c>
      <c r="Z7" s="3239"/>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76" t="s">
        <v>2553</v>
      </c>
      <c r="Q9" s="1797" t="str">
        <f t="shared" ref="Q9:Q14" si="6">B9</f>
        <v>用途</v>
      </c>
      <c r="R9" s="769" t="s">
        <v>17</v>
      </c>
      <c r="S9" s="770">
        <f t="shared" si="0"/>
        <v>100</v>
      </c>
      <c r="T9" s="769" t="s">
        <v>17</v>
      </c>
      <c r="U9" s="770">
        <f t="shared" si="1"/>
        <v>100</v>
      </c>
      <c r="V9" s="769" t="s">
        <v>17</v>
      </c>
      <c r="W9" s="770">
        <f t="shared" si="2"/>
        <v>100</v>
      </c>
      <c r="X9" s="771"/>
      <c r="Y9" s="3106"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76"/>
      <c r="Q10" s="1797" t="str">
        <f t="shared" si="6"/>
        <v>土地使用年限（年）</v>
      </c>
      <c r="R10" s="769" t="s">
        <v>17</v>
      </c>
      <c r="S10" s="770">
        <f t="shared" si="0"/>
        <v>100</v>
      </c>
      <c r="T10" s="769" t="s">
        <v>17</v>
      </c>
      <c r="U10" s="770">
        <f t="shared" si="1"/>
        <v>100</v>
      </c>
      <c r="V10" s="769" t="s">
        <v>17</v>
      </c>
      <c r="W10" s="770">
        <f t="shared" si="2"/>
        <v>100</v>
      </c>
      <c r="X10" s="771"/>
      <c r="Y10" s="3106"/>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76"/>
      <c r="Q11" s="1797">
        <f t="shared" si="6"/>
        <v>111</v>
      </c>
      <c r="R11" s="769" t="s">
        <v>17</v>
      </c>
      <c r="S11" s="770">
        <f t="shared" si="0"/>
        <v>100</v>
      </c>
      <c r="T11" s="769" t="s">
        <v>17</v>
      </c>
      <c r="U11" s="770">
        <f t="shared" si="1"/>
        <v>100</v>
      </c>
      <c r="V11" s="769" t="s">
        <v>17</v>
      </c>
      <c r="W11" s="770">
        <f t="shared" si="2"/>
        <v>100</v>
      </c>
      <c r="X11" s="771"/>
      <c r="Y11" s="3106"/>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76"/>
      <c r="Q12" s="1797">
        <f t="shared" si="6"/>
        <v>111</v>
      </c>
      <c r="R12" s="769" t="s">
        <v>17</v>
      </c>
      <c r="S12" s="770">
        <f t="shared" si="0"/>
        <v>100</v>
      </c>
      <c r="T12" s="769" t="s">
        <v>17</v>
      </c>
      <c r="U12" s="770">
        <f t="shared" si="1"/>
        <v>100</v>
      </c>
      <c r="V12" s="769" t="s">
        <v>17</v>
      </c>
      <c r="W12" s="770">
        <f t="shared" si="2"/>
        <v>100</v>
      </c>
      <c r="X12" s="771"/>
      <c r="Y12" s="3106"/>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76"/>
      <c r="Q13" s="1797">
        <f t="shared" si="6"/>
        <v>111</v>
      </c>
      <c r="R13" s="769" t="s">
        <v>17</v>
      </c>
      <c r="S13" s="770">
        <f t="shared" si="0"/>
        <v>100</v>
      </c>
      <c r="T13" s="769" t="s">
        <v>17</v>
      </c>
      <c r="U13" s="770">
        <f t="shared" si="1"/>
        <v>100</v>
      </c>
      <c r="V13" s="769" t="s">
        <v>17</v>
      </c>
      <c r="W13" s="770">
        <f t="shared" si="2"/>
        <v>100</v>
      </c>
      <c r="X13" s="771"/>
      <c r="Y13" s="3106"/>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69" t="s">
        <v>2558</v>
      </c>
      <c r="Q14" s="1812" t="str">
        <f t="shared" si="6"/>
        <v>交通便捷度</v>
      </c>
      <c r="R14" s="773" t="s">
        <v>17</v>
      </c>
      <c r="S14" s="774">
        <f t="shared" si="0"/>
        <v>100</v>
      </c>
      <c r="T14" s="773" t="s">
        <v>17</v>
      </c>
      <c r="U14" s="774">
        <f t="shared" si="1"/>
        <v>100</v>
      </c>
      <c r="V14" s="773" t="s">
        <v>17</v>
      </c>
      <c r="W14" s="774">
        <f t="shared" si="2"/>
        <v>100</v>
      </c>
      <c r="X14" s="1815"/>
      <c r="Y14" s="3269"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70"/>
      <c r="Q15" s="1812"/>
      <c r="R15" s="773"/>
      <c r="S15" s="774"/>
      <c r="T15" s="773"/>
      <c r="U15" s="774"/>
      <c r="V15" s="773"/>
      <c r="W15" s="774"/>
      <c r="X15" s="1815"/>
      <c r="Y15" s="3270"/>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70"/>
      <c r="Q16" s="1812" t="str">
        <f>B16</f>
        <v>公共配套设施</v>
      </c>
      <c r="R16" s="773" t="s">
        <v>17</v>
      </c>
      <c r="S16" s="774">
        <f>F16</f>
        <v>100</v>
      </c>
      <c r="T16" s="773" t="s">
        <v>17</v>
      </c>
      <c r="U16" s="774">
        <f>H16</f>
        <v>100</v>
      </c>
      <c r="V16" s="773" t="s">
        <v>17</v>
      </c>
      <c r="W16" s="774">
        <f>J16</f>
        <v>100</v>
      </c>
      <c r="X16" s="1815"/>
      <c r="Y16" s="3270"/>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270"/>
      <c r="Q17" s="1812"/>
      <c r="R17" s="773"/>
      <c r="S17" s="774"/>
      <c r="T17" s="773"/>
      <c r="U17" s="774"/>
      <c r="V17" s="773"/>
      <c r="W17" s="774"/>
      <c r="X17" s="1815"/>
      <c r="Y17" s="3270"/>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70"/>
      <c r="Q18" s="1812" t="str">
        <f>B18</f>
        <v>基础设施水平</v>
      </c>
      <c r="R18" s="773" t="s">
        <v>17</v>
      </c>
      <c r="S18" s="774">
        <f>F18</f>
        <v>100</v>
      </c>
      <c r="T18" s="773" t="s">
        <v>17</v>
      </c>
      <c r="U18" s="774">
        <f>H18</f>
        <v>100</v>
      </c>
      <c r="V18" s="773" t="s">
        <v>17</v>
      </c>
      <c r="W18" s="774">
        <f>J18</f>
        <v>100</v>
      </c>
      <c r="X18" s="1815"/>
      <c r="Y18" s="3270"/>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270"/>
      <c r="Q19" s="1812"/>
      <c r="R19" s="773"/>
      <c r="S19" s="774"/>
      <c r="T19" s="773"/>
      <c r="U19" s="774"/>
      <c r="V19" s="773"/>
      <c r="W19" s="774"/>
      <c r="X19" s="1815"/>
      <c r="Y19" s="3270"/>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70"/>
      <c r="Q20" s="1812" t="str">
        <f>B20</f>
        <v>自然及人文环境</v>
      </c>
      <c r="R20" s="773" t="s">
        <v>17</v>
      </c>
      <c r="S20" s="774">
        <f>F20</f>
        <v>100</v>
      </c>
      <c r="T20" s="773" t="s">
        <v>17</v>
      </c>
      <c r="U20" s="774">
        <f>H20</f>
        <v>100</v>
      </c>
      <c r="V20" s="773" t="s">
        <v>17</v>
      </c>
      <c r="W20" s="774">
        <f>J20</f>
        <v>100</v>
      </c>
      <c r="X20" s="1815"/>
      <c r="Y20" s="3270"/>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70"/>
      <c r="Q21" s="1812"/>
      <c r="R21" s="773"/>
      <c r="S21" s="774"/>
      <c r="T21" s="773"/>
      <c r="U21" s="774"/>
      <c r="V21" s="773"/>
      <c r="W21" s="774"/>
      <c r="X21" s="1815"/>
      <c r="Y21" s="3270"/>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70"/>
      <c r="Q22" s="1812" t="str">
        <f>B22</f>
        <v>楼层</v>
      </c>
      <c r="R22" s="773" t="s">
        <v>17</v>
      </c>
      <c r="S22" s="774">
        <f>F22</f>
        <v>100</v>
      </c>
      <c r="T22" s="773" t="s">
        <v>17</v>
      </c>
      <c r="U22" s="774">
        <f>H22</f>
        <v>100</v>
      </c>
      <c r="V22" s="773" t="s">
        <v>17</v>
      </c>
      <c r="W22" s="774">
        <f>J22</f>
        <v>100</v>
      </c>
      <c r="X22" s="1815"/>
      <c r="Y22" s="3270"/>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70"/>
      <c r="Q23" s="1812">
        <f>B23</f>
        <v>111</v>
      </c>
      <c r="R23" s="773" t="s">
        <v>17</v>
      </c>
      <c r="S23" s="774">
        <f>F23</f>
        <v>100</v>
      </c>
      <c r="T23" s="773" t="s">
        <v>17</v>
      </c>
      <c r="U23" s="774">
        <f>H23</f>
        <v>100</v>
      </c>
      <c r="V23" s="773" t="s">
        <v>17</v>
      </c>
      <c r="W23" s="774">
        <f>J23</f>
        <v>100</v>
      </c>
      <c r="X23" s="1815"/>
      <c r="Y23" s="3270"/>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70"/>
      <c r="Q24" s="1812">
        <f t="shared" ref="Q24:Q36" si="11">B24</f>
        <v>111</v>
      </c>
      <c r="R24" s="773" t="s">
        <v>17</v>
      </c>
      <c r="S24" s="774">
        <f>F24</f>
        <v>100</v>
      </c>
      <c r="T24" s="773" t="s">
        <v>17</v>
      </c>
      <c r="U24" s="774">
        <f>H24</f>
        <v>100</v>
      </c>
      <c r="V24" s="773" t="s">
        <v>17</v>
      </c>
      <c r="W24" s="774">
        <f>J24</f>
        <v>100</v>
      </c>
      <c r="X24" s="1815"/>
      <c r="Y24" s="3270"/>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70"/>
      <c r="Q25" s="1797">
        <f t="shared" si="11"/>
        <v>111</v>
      </c>
      <c r="R25" s="769" t="s">
        <v>17</v>
      </c>
      <c r="S25" s="770">
        <f>F25</f>
        <v>100</v>
      </c>
      <c r="T25" s="769" t="s">
        <v>17</v>
      </c>
      <c r="U25" s="770">
        <f>H25</f>
        <v>100</v>
      </c>
      <c r="V25" s="769" t="s">
        <v>17</v>
      </c>
      <c r="W25" s="770">
        <f>J25</f>
        <v>100</v>
      </c>
      <c r="X25" s="771"/>
      <c r="Y25" s="3270"/>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21"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74"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74"/>
      <c r="Q27" s="775" t="str">
        <f t="shared" si="11"/>
        <v>项目停车位配比</v>
      </c>
      <c r="R27" s="776" t="s">
        <v>17</v>
      </c>
      <c r="S27" s="777">
        <f t="shared" si="12"/>
        <v>100</v>
      </c>
      <c r="T27" s="776" t="s">
        <v>17</v>
      </c>
      <c r="U27" s="777">
        <f t="shared" si="13"/>
        <v>100</v>
      </c>
      <c r="V27" s="776" t="s">
        <v>17</v>
      </c>
      <c r="W27" s="777">
        <f t="shared" si="14"/>
        <v>100</v>
      </c>
      <c r="X27" s="778"/>
      <c r="Y27" s="3274"/>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74"/>
      <c r="Q28" s="1812" t="str">
        <f t="shared" si="11"/>
        <v>公共部分装修</v>
      </c>
      <c r="R28" s="773" t="s">
        <v>17</v>
      </c>
      <c r="S28" s="774">
        <f t="shared" si="12"/>
        <v>100</v>
      </c>
      <c r="T28" s="773" t="s">
        <v>17</v>
      </c>
      <c r="U28" s="774">
        <f t="shared" si="13"/>
        <v>100</v>
      </c>
      <c r="V28" s="773" t="s">
        <v>17</v>
      </c>
      <c r="W28" s="774">
        <f t="shared" si="14"/>
        <v>100</v>
      </c>
      <c r="X28" s="1815"/>
      <c r="Y28" s="3274"/>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74"/>
      <c r="Q29" s="1812" t="str">
        <f t="shared" si="11"/>
        <v>成新率</v>
      </c>
      <c r="R29" s="773" t="s">
        <v>17</v>
      </c>
      <c r="S29" s="774" t="e">
        <f t="shared" si="12"/>
        <v>#N/A</v>
      </c>
      <c r="T29" s="773" t="s">
        <v>17</v>
      </c>
      <c r="U29" s="774" t="e">
        <f t="shared" si="13"/>
        <v>#N/A</v>
      </c>
      <c r="V29" s="773" t="s">
        <v>17</v>
      </c>
      <c r="W29" s="774" t="e">
        <f t="shared" si="14"/>
        <v>#N/A</v>
      </c>
      <c r="X29" s="1815"/>
      <c r="Y29" s="3274"/>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74"/>
      <c r="Q30" s="1812" t="str">
        <f t="shared" si="11"/>
        <v>物业等级</v>
      </c>
      <c r="R30" s="773" t="s">
        <v>17</v>
      </c>
      <c r="S30" s="774">
        <f t="shared" si="12"/>
        <v>100</v>
      </c>
      <c r="T30" s="773" t="s">
        <v>17</v>
      </c>
      <c r="U30" s="774">
        <f t="shared" si="13"/>
        <v>100</v>
      </c>
      <c r="V30" s="773" t="s">
        <v>17</v>
      </c>
      <c r="W30" s="774">
        <f t="shared" si="14"/>
        <v>100</v>
      </c>
      <c r="X30" s="1815"/>
      <c r="Y30" s="3274"/>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74"/>
      <c r="Q31" s="1797" t="str">
        <f t="shared" si="11"/>
        <v>停车位面积</v>
      </c>
      <c r="R31" s="769" t="s">
        <v>17</v>
      </c>
      <c r="S31" s="770" t="e">
        <f t="shared" si="12"/>
        <v>#N/A</v>
      </c>
      <c r="T31" s="769" t="s">
        <v>17</v>
      </c>
      <c r="U31" s="770" t="e">
        <f t="shared" si="13"/>
        <v>#N/A</v>
      </c>
      <c r="V31" s="769" t="s">
        <v>17</v>
      </c>
      <c r="W31" s="770" t="e">
        <f t="shared" si="14"/>
        <v>#N/A</v>
      </c>
      <c r="X31" s="771"/>
      <c r="Y31" s="3274"/>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74" t="s">
        <v>2563</v>
      </c>
      <c r="Q32" s="1812" t="str">
        <f t="shared" si="11"/>
        <v>车位类型</v>
      </c>
      <c r="R32" s="773" t="s">
        <v>17</v>
      </c>
      <c r="S32" s="774">
        <f t="shared" si="12"/>
        <v>100</v>
      </c>
      <c r="T32" s="773" t="s">
        <v>17</v>
      </c>
      <c r="U32" s="774">
        <f t="shared" si="13"/>
        <v>100</v>
      </c>
      <c r="V32" s="773" t="s">
        <v>17</v>
      </c>
      <c r="W32" s="774">
        <f t="shared" si="14"/>
        <v>100</v>
      </c>
      <c r="X32" s="1815"/>
      <c r="Y32" s="3274"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74"/>
      <c r="Q33" s="1812" t="str">
        <f t="shared" si="11"/>
        <v>是否直接入户</v>
      </c>
      <c r="R33" s="773" t="s">
        <v>17</v>
      </c>
      <c r="S33" s="774">
        <f t="shared" si="12"/>
        <v>100</v>
      </c>
      <c r="T33" s="773" t="s">
        <v>17</v>
      </c>
      <c r="U33" s="774">
        <f t="shared" si="13"/>
        <v>100</v>
      </c>
      <c r="V33" s="773" t="s">
        <v>17</v>
      </c>
      <c r="W33" s="774">
        <f t="shared" si="14"/>
        <v>100</v>
      </c>
      <c r="X33" s="1815"/>
      <c r="Y33" s="3274"/>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74"/>
      <c r="Q34" s="1812">
        <f t="shared" si="11"/>
        <v>111</v>
      </c>
      <c r="R34" s="773" t="s">
        <v>17</v>
      </c>
      <c r="S34" s="774">
        <f t="shared" si="12"/>
        <v>100</v>
      </c>
      <c r="T34" s="773" t="s">
        <v>17</v>
      </c>
      <c r="U34" s="774">
        <f t="shared" si="13"/>
        <v>100</v>
      </c>
      <c r="V34" s="773" t="s">
        <v>17</v>
      </c>
      <c r="W34" s="774">
        <f t="shared" si="14"/>
        <v>100</v>
      </c>
      <c r="X34" s="1815"/>
      <c r="Y34" s="3274"/>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74"/>
      <c r="Q35" s="775">
        <f t="shared" si="11"/>
        <v>111</v>
      </c>
      <c r="R35" s="776" t="s">
        <v>17</v>
      </c>
      <c r="S35" s="777">
        <f t="shared" si="12"/>
        <v>100</v>
      </c>
      <c r="T35" s="776" t="s">
        <v>17</v>
      </c>
      <c r="U35" s="777">
        <f t="shared" si="13"/>
        <v>100</v>
      </c>
      <c r="V35" s="776" t="s">
        <v>17</v>
      </c>
      <c r="W35" s="777">
        <f t="shared" si="14"/>
        <v>100</v>
      </c>
      <c r="X35" s="778"/>
      <c r="Y35" s="3274"/>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74"/>
      <c r="Q36" s="1812">
        <f t="shared" si="11"/>
        <v>111</v>
      </c>
      <c r="R36" s="773" t="s">
        <v>17</v>
      </c>
      <c r="S36" s="774">
        <f t="shared" si="12"/>
        <v>100</v>
      </c>
      <c r="T36" s="773" t="s">
        <v>17</v>
      </c>
      <c r="U36" s="774">
        <f t="shared" si="13"/>
        <v>100</v>
      </c>
      <c r="V36" s="773" t="s">
        <v>17</v>
      </c>
      <c r="W36" s="774">
        <f t="shared" si="14"/>
        <v>100</v>
      </c>
      <c r="X36" s="1815"/>
      <c r="Y36" s="3274"/>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276" t="str">
        <f>A37</f>
        <v>成交单价</v>
      </c>
      <c r="Q37" s="3276"/>
      <c r="R37" s="3277">
        <f>E37</f>
        <v>0</v>
      </c>
      <c r="S37" s="3277"/>
      <c r="T37" s="3277">
        <f>G37</f>
        <v>0</v>
      </c>
      <c r="U37" s="3277"/>
      <c r="V37" s="3277">
        <f>I37</f>
        <v>0</v>
      </c>
      <c r="W37" s="3277"/>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76" t="str">
        <f>A38</f>
        <v>比较价值（元/平方米）</v>
      </c>
      <c r="Q38" s="3276"/>
      <c r="R38" s="3277" t="e">
        <f>IF(F1="售价",ROUND(PRODUCT(R37,AA7:AA36),0),ROUND(PRODUCT(R37,AA7:AA36),1))</f>
        <v>#DIV/0!</v>
      </c>
      <c r="S38" s="3277"/>
      <c r="T38" s="3277" t="e">
        <f>IF(F1="售价",ROUND(PRODUCT(T37,AB7:AB36),0),ROUND(PRODUCT(T37,AB7:AB36),1))</f>
        <v>#DIV/0!</v>
      </c>
      <c r="U38" s="3277"/>
      <c r="V38" s="3277" t="e">
        <f>IF(F1="售价",ROUND(PRODUCT(V37,AC7:AC36),0),ROUND(PRODUCT(V37,AC7:AC36),1))</f>
        <v>#DIV/0!</v>
      </c>
      <c r="W38" s="3277"/>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78" t="str">
        <f>A39</f>
        <v>估价对象XX用房的比较价值（楼面单价，元/平方米）</v>
      </c>
      <c r="Q39" s="3279"/>
      <c r="R39" s="3280" t="e">
        <f>IF(F1="售价",ROUND(AVERAGE(R38:V38),0),ROUND(AVERAGE(R38:V38),1))</f>
        <v>#DIV/0!</v>
      </c>
      <c r="S39" s="3280"/>
      <c r="T39" s="3280"/>
      <c r="U39" s="3280"/>
      <c r="V39" s="3280"/>
      <c r="W39" s="328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54" t="s">
        <v>2644</v>
      </c>
      <c r="D4" s="3255"/>
      <c r="E4" s="3256" t="s">
        <v>2645</v>
      </c>
      <c r="F4" s="3257"/>
      <c r="G4" s="3254" t="s">
        <v>2646</v>
      </c>
      <c r="H4" s="3255"/>
      <c r="I4" s="3254" t="s">
        <v>2647</v>
      </c>
      <c r="J4" s="3255"/>
      <c r="K4" s="610" t="s">
        <v>2648</v>
      </c>
      <c r="L4" s="1132"/>
      <c r="M4" s="1133"/>
      <c r="N4" s="1133"/>
      <c r="O4" s="1133"/>
      <c r="P4" s="3258" t="s">
        <v>2649</v>
      </c>
      <c r="Q4" s="3259"/>
      <c r="R4" s="3240" t="s">
        <v>2645</v>
      </c>
      <c r="S4" s="3241"/>
      <c r="T4" s="3240" t="s">
        <v>2646</v>
      </c>
      <c r="U4" s="3241"/>
      <c r="V4" s="3237" t="s">
        <v>2647</v>
      </c>
      <c r="W4" s="3237"/>
      <c r="X4" s="1815"/>
      <c r="Y4" s="3240" t="s">
        <v>2649</v>
      </c>
      <c r="Z4" s="3241"/>
      <c r="AA4" s="3234" t="s">
        <v>2645</v>
      </c>
      <c r="AB4" s="3235" t="s">
        <v>2646</v>
      </c>
      <c r="AC4" s="3234" t="s">
        <v>2647</v>
      </c>
    </row>
    <row r="5" spans="1:29" ht="15">
      <c r="A5" s="404"/>
      <c r="B5" s="405"/>
      <c r="C5" s="3304" t="s">
        <v>2540</v>
      </c>
      <c r="D5" s="3247"/>
      <c r="E5" s="3303" t="s">
        <v>2541</v>
      </c>
      <c r="F5" s="3245"/>
      <c r="G5" s="3304" t="s">
        <v>2542</v>
      </c>
      <c r="H5" s="3247"/>
      <c r="I5" s="3304" t="s">
        <v>2543</v>
      </c>
      <c r="J5" s="3247"/>
      <c r="K5" s="610"/>
      <c r="L5" s="1132"/>
      <c r="M5" s="1133"/>
      <c r="N5" s="1133"/>
      <c r="O5" s="1133"/>
      <c r="P5" s="3260"/>
      <c r="Q5" s="3261"/>
      <c r="R5" s="3242"/>
      <c r="S5" s="3243"/>
      <c r="T5" s="3242"/>
      <c r="U5" s="3243"/>
      <c r="V5" s="3237"/>
      <c r="W5" s="3237"/>
      <c r="X5" s="1815"/>
      <c r="Y5" s="3242"/>
      <c r="Z5" s="3243"/>
      <c r="AA5" s="3235"/>
      <c r="AB5" s="3235"/>
      <c r="AC5" s="3235"/>
    </row>
    <row r="6" spans="1:29" ht="15.75" thickBot="1">
      <c r="A6" s="406"/>
      <c r="B6" s="407"/>
      <c r="C6" s="3248" t="s">
        <v>2544</v>
      </c>
      <c r="D6" s="3249"/>
      <c r="E6" s="3305" t="s">
        <v>2544</v>
      </c>
      <c r="F6" s="3251"/>
      <c r="G6" s="3248" t="s">
        <v>2544</v>
      </c>
      <c r="H6" s="3249"/>
      <c r="I6" s="3248" t="s">
        <v>2544</v>
      </c>
      <c r="J6" s="3249"/>
      <c r="K6" s="610" t="s">
        <v>2545</v>
      </c>
      <c r="L6" s="1132"/>
      <c r="M6" s="1133"/>
      <c r="N6" s="1133"/>
      <c r="O6" s="1133"/>
      <c r="P6" s="3262"/>
      <c r="Q6" s="3263"/>
      <c r="R6" s="3242"/>
      <c r="S6" s="3243"/>
      <c r="T6" s="3264"/>
      <c r="U6" s="3265"/>
      <c r="V6" s="3237"/>
      <c r="W6" s="3237"/>
      <c r="X6" s="1815"/>
      <c r="Y6" s="3264"/>
      <c r="Z6" s="3265"/>
      <c r="AA6" s="3236"/>
      <c r="AB6" s="3236"/>
      <c r="AC6" s="3236"/>
    </row>
    <row r="7" spans="1:29" s="117" customFormat="1" ht="15.75" thickBot="1">
      <c r="A7" s="408" t="s">
        <v>2546</v>
      </c>
      <c r="B7" s="409"/>
      <c r="C7" s="410">
        <f>'数据-取费表'!B2</f>
        <v>43202</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38" t="s">
        <v>2547</v>
      </c>
      <c r="Q7" s="3266"/>
      <c r="R7" s="769" t="s">
        <v>17</v>
      </c>
      <c r="S7" s="770">
        <f t="shared" ref="S7:S14" si="0">F7</f>
        <v>0</v>
      </c>
      <c r="T7" s="769" t="s">
        <v>17</v>
      </c>
      <c r="U7" s="770">
        <f t="shared" ref="U7:U14" si="1">H7</f>
        <v>0</v>
      </c>
      <c r="V7" s="769" t="s">
        <v>17</v>
      </c>
      <c r="W7" s="770">
        <f t="shared" ref="W7:W14" si="2">J7</f>
        <v>0</v>
      </c>
      <c r="X7" s="771"/>
      <c r="Y7" s="3238" t="s">
        <v>2547</v>
      </c>
      <c r="Z7" s="3239"/>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76" t="s">
        <v>2553</v>
      </c>
      <c r="Q9" s="1797" t="str">
        <f t="shared" ref="Q9:Q14" si="6">B9</f>
        <v>用途</v>
      </c>
      <c r="R9" s="769" t="s">
        <v>17</v>
      </c>
      <c r="S9" s="770">
        <f t="shared" si="0"/>
        <v>100</v>
      </c>
      <c r="T9" s="769" t="s">
        <v>17</v>
      </c>
      <c r="U9" s="770">
        <f t="shared" si="1"/>
        <v>100</v>
      </c>
      <c r="V9" s="769" t="s">
        <v>17</v>
      </c>
      <c r="W9" s="770">
        <f t="shared" si="2"/>
        <v>100</v>
      </c>
      <c r="X9" s="771"/>
      <c r="Y9" s="3106"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76"/>
      <c r="Q10" s="1797" t="str">
        <f t="shared" si="6"/>
        <v>土地使用年限（年）</v>
      </c>
      <c r="R10" s="769" t="s">
        <v>17</v>
      </c>
      <c r="S10" s="770">
        <f t="shared" si="0"/>
        <v>100</v>
      </c>
      <c r="T10" s="769" t="s">
        <v>17</v>
      </c>
      <c r="U10" s="770">
        <f t="shared" si="1"/>
        <v>100</v>
      </c>
      <c r="V10" s="769" t="s">
        <v>17</v>
      </c>
      <c r="W10" s="770">
        <f t="shared" si="2"/>
        <v>100</v>
      </c>
      <c r="X10" s="771"/>
      <c r="Y10" s="3106"/>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76"/>
      <c r="Q11" s="1797">
        <f t="shared" si="6"/>
        <v>111</v>
      </c>
      <c r="R11" s="769" t="s">
        <v>17</v>
      </c>
      <c r="S11" s="770">
        <f t="shared" si="0"/>
        <v>100</v>
      </c>
      <c r="T11" s="769" t="s">
        <v>17</v>
      </c>
      <c r="U11" s="770">
        <f t="shared" si="1"/>
        <v>100</v>
      </c>
      <c r="V11" s="769" t="s">
        <v>17</v>
      </c>
      <c r="W11" s="770">
        <f t="shared" si="2"/>
        <v>100</v>
      </c>
      <c r="X11" s="771"/>
      <c r="Y11" s="3106"/>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76"/>
      <c r="Q12" s="1797">
        <f t="shared" si="6"/>
        <v>111</v>
      </c>
      <c r="R12" s="769" t="s">
        <v>17</v>
      </c>
      <c r="S12" s="770">
        <f t="shared" si="0"/>
        <v>100</v>
      </c>
      <c r="T12" s="769" t="s">
        <v>17</v>
      </c>
      <c r="U12" s="770">
        <f t="shared" si="1"/>
        <v>100</v>
      </c>
      <c r="V12" s="769" t="s">
        <v>17</v>
      </c>
      <c r="W12" s="770">
        <f t="shared" si="2"/>
        <v>100</v>
      </c>
      <c r="X12" s="771"/>
      <c r="Y12" s="3106"/>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76"/>
      <c r="Q13" s="1797">
        <f t="shared" si="6"/>
        <v>111</v>
      </c>
      <c r="R13" s="769" t="s">
        <v>17</v>
      </c>
      <c r="S13" s="770">
        <f t="shared" si="0"/>
        <v>100</v>
      </c>
      <c r="T13" s="769" t="s">
        <v>17</v>
      </c>
      <c r="U13" s="770">
        <f t="shared" si="1"/>
        <v>100</v>
      </c>
      <c r="V13" s="769" t="s">
        <v>17</v>
      </c>
      <c r="W13" s="770">
        <f t="shared" si="2"/>
        <v>100</v>
      </c>
      <c r="X13" s="771"/>
      <c r="Y13" s="3106"/>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69" t="s">
        <v>2558</v>
      </c>
      <c r="Q14" s="1812" t="str">
        <f t="shared" si="6"/>
        <v>交通便捷度</v>
      </c>
      <c r="R14" s="773" t="s">
        <v>17</v>
      </c>
      <c r="S14" s="774">
        <f t="shared" si="0"/>
        <v>100</v>
      </c>
      <c r="T14" s="773" t="s">
        <v>17</v>
      </c>
      <c r="U14" s="774">
        <f t="shared" si="1"/>
        <v>100</v>
      </c>
      <c r="V14" s="773" t="s">
        <v>17</v>
      </c>
      <c r="W14" s="774">
        <f t="shared" si="2"/>
        <v>100</v>
      </c>
      <c r="X14" s="1815"/>
      <c r="Y14" s="3269"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70"/>
      <c r="Q15" s="1812"/>
      <c r="R15" s="773"/>
      <c r="S15" s="774"/>
      <c r="T15" s="773"/>
      <c r="U15" s="774"/>
      <c r="V15" s="773"/>
      <c r="W15" s="774"/>
      <c r="X15" s="1815"/>
      <c r="Y15" s="3270"/>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70"/>
      <c r="Q16" s="1812" t="str">
        <f>B16</f>
        <v>公共配套设施</v>
      </c>
      <c r="R16" s="773" t="s">
        <v>17</v>
      </c>
      <c r="S16" s="774">
        <f>F16</f>
        <v>100</v>
      </c>
      <c r="T16" s="773" t="s">
        <v>17</v>
      </c>
      <c r="U16" s="774">
        <f>H16</f>
        <v>100</v>
      </c>
      <c r="V16" s="773" t="s">
        <v>17</v>
      </c>
      <c r="W16" s="774">
        <f>J16</f>
        <v>100</v>
      </c>
      <c r="X16" s="1815"/>
      <c r="Y16" s="3270"/>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70"/>
      <c r="Q17" s="1812"/>
      <c r="R17" s="773"/>
      <c r="S17" s="774"/>
      <c r="T17" s="773"/>
      <c r="U17" s="774"/>
      <c r="V17" s="773"/>
      <c r="W17" s="774"/>
      <c r="X17" s="1815"/>
      <c r="Y17" s="3270"/>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70"/>
      <c r="Q18" s="1812" t="str">
        <f>B18</f>
        <v>基础设施水平</v>
      </c>
      <c r="R18" s="773" t="s">
        <v>17</v>
      </c>
      <c r="S18" s="774">
        <f>F18</f>
        <v>100</v>
      </c>
      <c r="T18" s="773" t="s">
        <v>17</v>
      </c>
      <c r="U18" s="774">
        <f>H18</f>
        <v>100</v>
      </c>
      <c r="V18" s="773" t="s">
        <v>17</v>
      </c>
      <c r="W18" s="774">
        <f>J18</f>
        <v>100</v>
      </c>
      <c r="X18" s="1815"/>
      <c r="Y18" s="3270"/>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70"/>
      <c r="Q19" s="1812"/>
      <c r="R19" s="773"/>
      <c r="S19" s="774"/>
      <c r="T19" s="773"/>
      <c r="U19" s="774"/>
      <c r="V19" s="773"/>
      <c r="W19" s="774"/>
      <c r="X19" s="1815"/>
      <c r="Y19" s="3270"/>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70"/>
      <c r="Q20" s="1812" t="str">
        <f>B20</f>
        <v>自然及人文环境</v>
      </c>
      <c r="R20" s="773" t="s">
        <v>17</v>
      </c>
      <c r="S20" s="774">
        <f>F20</f>
        <v>100</v>
      </c>
      <c r="T20" s="773" t="s">
        <v>17</v>
      </c>
      <c r="U20" s="774">
        <f>H20</f>
        <v>100</v>
      </c>
      <c r="V20" s="773" t="s">
        <v>17</v>
      </c>
      <c r="W20" s="774">
        <f>J20</f>
        <v>100</v>
      </c>
      <c r="X20" s="1815"/>
      <c r="Y20" s="327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70"/>
      <c r="Q21" s="1812"/>
      <c r="R21" s="773"/>
      <c r="S21" s="774"/>
      <c r="T21" s="773"/>
      <c r="U21" s="774"/>
      <c r="V21" s="773"/>
      <c r="W21" s="774"/>
      <c r="X21" s="1815"/>
      <c r="Y21" s="3270"/>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70"/>
      <c r="Q22" s="1812" t="str">
        <f>B22</f>
        <v>楼层</v>
      </c>
      <c r="R22" s="773" t="s">
        <v>17</v>
      </c>
      <c r="S22" s="774">
        <f>F22</f>
        <v>100</v>
      </c>
      <c r="T22" s="773" t="s">
        <v>17</v>
      </c>
      <c r="U22" s="774">
        <f>H22</f>
        <v>100</v>
      </c>
      <c r="V22" s="773" t="s">
        <v>17</v>
      </c>
      <c r="W22" s="774">
        <f>J22</f>
        <v>100</v>
      </c>
      <c r="X22" s="1815"/>
      <c r="Y22" s="3270"/>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70"/>
      <c r="Q23" s="1812">
        <f>B23</f>
        <v>111</v>
      </c>
      <c r="R23" s="773" t="s">
        <v>17</v>
      </c>
      <c r="S23" s="774">
        <f>F23</f>
        <v>100</v>
      </c>
      <c r="T23" s="773" t="s">
        <v>17</v>
      </c>
      <c r="U23" s="774">
        <f>H23</f>
        <v>100</v>
      </c>
      <c r="V23" s="773" t="s">
        <v>17</v>
      </c>
      <c r="W23" s="774">
        <f>J23</f>
        <v>100</v>
      </c>
      <c r="X23" s="1815"/>
      <c r="Y23" s="3270"/>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70"/>
      <c r="Q24" s="1812">
        <f t="shared" ref="Q24:Q34" si="11">B24</f>
        <v>111</v>
      </c>
      <c r="R24" s="773" t="s">
        <v>17</v>
      </c>
      <c r="S24" s="774">
        <f>F24</f>
        <v>100</v>
      </c>
      <c r="T24" s="773" t="s">
        <v>17</v>
      </c>
      <c r="U24" s="774">
        <f>H24</f>
        <v>100</v>
      </c>
      <c r="V24" s="773" t="s">
        <v>17</v>
      </c>
      <c r="W24" s="774">
        <f>J24</f>
        <v>100</v>
      </c>
      <c r="X24" s="1815"/>
      <c r="Y24" s="3270"/>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270"/>
      <c r="Q25" s="1797">
        <f t="shared" si="11"/>
        <v>111</v>
      </c>
      <c r="R25" s="769" t="s">
        <v>17</v>
      </c>
      <c r="S25" s="770">
        <f>F25</f>
        <v>100</v>
      </c>
      <c r="T25" s="769" t="s">
        <v>17</v>
      </c>
      <c r="U25" s="770">
        <f>H25</f>
        <v>100</v>
      </c>
      <c r="V25" s="769" t="s">
        <v>17</v>
      </c>
      <c r="W25" s="770">
        <f>J25</f>
        <v>100</v>
      </c>
      <c r="X25" s="771"/>
      <c r="Y25" s="3270"/>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21"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74"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74"/>
      <c r="Q27" s="775" t="str">
        <f t="shared" si="11"/>
        <v>成新率</v>
      </c>
      <c r="R27" s="776" t="s">
        <v>17</v>
      </c>
      <c r="S27" s="777" t="e">
        <f t="shared" si="12"/>
        <v>#N/A</v>
      </c>
      <c r="T27" s="776" t="s">
        <v>17</v>
      </c>
      <c r="U27" s="777" t="e">
        <f t="shared" si="13"/>
        <v>#N/A</v>
      </c>
      <c r="V27" s="776" t="s">
        <v>17</v>
      </c>
      <c r="W27" s="777" t="e">
        <f t="shared" si="14"/>
        <v>#N/A</v>
      </c>
      <c r="X27" s="778"/>
      <c r="Y27" s="3274"/>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74"/>
      <c r="Q28" s="1812" t="str">
        <f t="shared" si="11"/>
        <v>物业等级</v>
      </c>
      <c r="R28" s="773" t="s">
        <v>17</v>
      </c>
      <c r="S28" s="774">
        <f t="shared" si="12"/>
        <v>100</v>
      </c>
      <c r="T28" s="773" t="s">
        <v>17</v>
      </c>
      <c r="U28" s="774">
        <f t="shared" si="13"/>
        <v>100</v>
      </c>
      <c r="V28" s="773" t="s">
        <v>17</v>
      </c>
      <c r="W28" s="774">
        <f t="shared" si="14"/>
        <v>100</v>
      </c>
      <c r="X28" s="1815"/>
      <c r="Y28" s="3274"/>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74"/>
      <c r="Q29" s="1812" t="str">
        <f t="shared" si="11"/>
        <v>有无电梯</v>
      </c>
      <c r="R29" s="773" t="s">
        <v>17</v>
      </c>
      <c r="S29" s="774">
        <f t="shared" si="12"/>
        <v>100</v>
      </c>
      <c r="T29" s="773" t="s">
        <v>17</v>
      </c>
      <c r="U29" s="774">
        <f t="shared" si="13"/>
        <v>100</v>
      </c>
      <c r="V29" s="773" t="s">
        <v>17</v>
      </c>
      <c r="W29" s="774">
        <f t="shared" si="14"/>
        <v>100</v>
      </c>
      <c r="X29" s="1815"/>
      <c r="Y29" s="3274"/>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74"/>
      <c r="Q30" s="1812" t="str">
        <f t="shared" si="11"/>
        <v>建筑面积</v>
      </c>
      <c r="R30" s="773" t="s">
        <v>17</v>
      </c>
      <c r="S30" s="774" t="e">
        <f t="shared" si="12"/>
        <v>#N/A</v>
      </c>
      <c r="T30" s="773" t="s">
        <v>17</v>
      </c>
      <c r="U30" s="774" t="e">
        <f t="shared" si="13"/>
        <v>#N/A</v>
      </c>
      <c r="V30" s="773" t="s">
        <v>17</v>
      </c>
      <c r="W30" s="774" t="e">
        <f t="shared" si="14"/>
        <v>#N/A</v>
      </c>
      <c r="X30" s="1815"/>
      <c r="Y30" s="3274"/>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74"/>
      <c r="Q31" s="1797" t="str">
        <f t="shared" si="11"/>
        <v>是否封闭</v>
      </c>
      <c r="R31" s="769" t="s">
        <v>17</v>
      </c>
      <c r="S31" s="770">
        <f t="shared" si="12"/>
        <v>100</v>
      </c>
      <c r="T31" s="769" t="s">
        <v>17</v>
      </c>
      <c r="U31" s="770">
        <f t="shared" si="13"/>
        <v>100</v>
      </c>
      <c r="V31" s="769" t="s">
        <v>17</v>
      </c>
      <c r="W31" s="770">
        <f t="shared" si="14"/>
        <v>100</v>
      </c>
      <c r="X31" s="771"/>
      <c r="Y31" s="3274"/>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74" t="s">
        <v>2563</v>
      </c>
      <c r="Q32" s="1812">
        <f t="shared" si="11"/>
        <v>111</v>
      </c>
      <c r="R32" s="773" t="s">
        <v>17</v>
      </c>
      <c r="S32" s="774">
        <f t="shared" si="12"/>
        <v>100</v>
      </c>
      <c r="T32" s="773" t="s">
        <v>17</v>
      </c>
      <c r="U32" s="774">
        <f t="shared" si="13"/>
        <v>100</v>
      </c>
      <c r="V32" s="773" t="s">
        <v>17</v>
      </c>
      <c r="W32" s="774">
        <f t="shared" si="14"/>
        <v>100</v>
      </c>
      <c r="X32" s="1815"/>
      <c r="Y32" s="3274"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74"/>
      <c r="Q33" s="1812">
        <f t="shared" si="11"/>
        <v>111</v>
      </c>
      <c r="R33" s="773" t="s">
        <v>17</v>
      </c>
      <c r="S33" s="774">
        <f t="shared" si="12"/>
        <v>100</v>
      </c>
      <c r="T33" s="773" t="s">
        <v>17</v>
      </c>
      <c r="U33" s="774">
        <f t="shared" si="13"/>
        <v>100</v>
      </c>
      <c r="V33" s="773" t="s">
        <v>17</v>
      </c>
      <c r="W33" s="774">
        <f t="shared" si="14"/>
        <v>100</v>
      </c>
      <c r="X33" s="1815"/>
      <c r="Y33" s="3274"/>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74"/>
      <c r="Q34" s="1812">
        <f t="shared" si="11"/>
        <v>111</v>
      </c>
      <c r="R34" s="773" t="s">
        <v>17</v>
      </c>
      <c r="S34" s="774">
        <f t="shared" si="12"/>
        <v>100</v>
      </c>
      <c r="T34" s="773" t="s">
        <v>17</v>
      </c>
      <c r="U34" s="774">
        <f t="shared" si="13"/>
        <v>100</v>
      </c>
      <c r="V34" s="773" t="s">
        <v>17</v>
      </c>
      <c r="W34" s="774">
        <f t="shared" si="14"/>
        <v>100</v>
      </c>
      <c r="X34" s="1815"/>
      <c r="Y34" s="3274"/>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276" t="str">
        <f>A35</f>
        <v>成交单价（元/平方米）</v>
      </c>
      <c r="Q35" s="3276"/>
      <c r="R35" s="3277">
        <f>E35</f>
        <v>0</v>
      </c>
      <c r="S35" s="3277"/>
      <c r="T35" s="3277">
        <f>G35</f>
        <v>0</v>
      </c>
      <c r="U35" s="3277"/>
      <c r="V35" s="3277">
        <f>I35</f>
        <v>0</v>
      </c>
      <c r="W35" s="3277"/>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76" t="str">
        <f>A36</f>
        <v>比较价值（元/平方米）</v>
      </c>
      <c r="Q36" s="3276"/>
      <c r="R36" s="3277" t="e">
        <f>IF(F1="售价",ROUND(PRODUCT(R35,AA7:AA34),0),ROUND(PRODUCT(R35,AA7:AA34),1))</f>
        <v>#DIV/0!</v>
      </c>
      <c r="S36" s="3277"/>
      <c r="T36" s="3277" t="e">
        <f>IF(F1="售价",ROUND(PRODUCT(T35,AB7:AB34),0),ROUND(PRODUCT(T35,AB7:AB34),1))</f>
        <v>#DIV/0!</v>
      </c>
      <c r="U36" s="3277"/>
      <c r="V36" s="3277" t="e">
        <f>IF(F1="售价",ROUND(PRODUCT(V35,AC7:AC34),0),ROUND(PRODUCT(V35,AC7:AC34),1))</f>
        <v>#DIV/0!</v>
      </c>
      <c r="W36" s="3277"/>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78" t="str">
        <f>A37</f>
        <v>估价对象XX用房的比较价值（楼面单价，元/平方米）</v>
      </c>
      <c r="Q37" s="3279"/>
      <c r="R37" s="3280" t="e">
        <f>IF(F1="售价",ROUND(AVERAGE(R36:V36),0),ROUND(AVERAGE(R36:V36),1))</f>
        <v>#DIV/0!</v>
      </c>
      <c r="S37" s="3280"/>
      <c r="T37" s="3280"/>
      <c r="U37" s="3280"/>
      <c r="V37" s="3280"/>
      <c r="W37" s="328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54" t="s">
        <v>2644</v>
      </c>
      <c r="D4" s="3255"/>
      <c r="E4" s="3256" t="s">
        <v>2645</v>
      </c>
      <c r="F4" s="3257"/>
      <c r="G4" s="3254" t="s">
        <v>2646</v>
      </c>
      <c r="H4" s="3255"/>
      <c r="I4" s="3254" t="s">
        <v>2647</v>
      </c>
      <c r="J4" s="3255"/>
      <c r="K4" s="610" t="s">
        <v>2648</v>
      </c>
      <c r="L4" s="1132"/>
      <c r="M4" s="1133"/>
      <c r="N4" s="1133"/>
      <c r="O4" s="1133"/>
      <c r="P4" s="3258" t="s">
        <v>2649</v>
      </c>
      <c r="Q4" s="3259"/>
      <c r="R4" s="3240" t="s">
        <v>2645</v>
      </c>
      <c r="S4" s="3241"/>
      <c r="T4" s="3240" t="s">
        <v>2646</v>
      </c>
      <c r="U4" s="3241"/>
      <c r="V4" s="3237" t="s">
        <v>2647</v>
      </c>
      <c r="W4" s="3237"/>
      <c r="X4" s="1815"/>
      <c r="Y4" s="3240" t="s">
        <v>2649</v>
      </c>
      <c r="Z4" s="3241"/>
      <c r="AA4" s="3234" t="s">
        <v>2645</v>
      </c>
      <c r="AB4" s="3235" t="s">
        <v>2646</v>
      </c>
      <c r="AC4" s="3234" t="s">
        <v>2647</v>
      </c>
    </row>
    <row r="5" spans="1:30" ht="15">
      <c r="A5" s="404"/>
      <c r="B5" s="405"/>
      <c r="C5" s="3304" t="s">
        <v>2540</v>
      </c>
      <c r="D5" s="3247"/>
      <c r="E5" s="3303" t="s">
        <v>2541</v>
      </c>
      <c r="F5" s="3245"/>
      <c r="G5" s="3304" t="s">
        <v>2542</v>
      </c>
      <c r="H5" s="3247"/>
      <c r="I5" s="3304" t="s">
        <v>2543</v>
      </c>
      <c r="J5" s="3247"/>
      <c r="K5" s="610"/>
      <c r="L5" s="1132"/>
      <c r="M5" s="1133"/>
      <c r="N5" s="1133"/>
      <c r="O5" s="1133"/>
      <c r="P5" s="3260"/>
      <c r="Q5" s="3261"/>
      <c r="R5" s="3242"/>
      <c r="S5" s="3243"/>
      <c r="T5" s="3242"/>
      <c r="U5" s="3243"/>
      <c r="V5" s="3237"/>
      <c r="W5" s="3237"/>
      <c r="X5" s="1815"/>
      <c r="Y5" s="3242"/>
      <c r="Z5" s="3243"/>
      <c r="AA5" s="3235"/>
      <c r="AB5" s="3235"/>
      <c r="AC5" s="3235"/>
    </row>
    <row r="6" spans="1:30" ht="15.75" thickBot="1">
      <c r="A6" s="406"/>
      <c r="B6" s="407"/>
      <c r="C6" s="3248" t="s">
        <v>2544</v>
      </c>
      <c r="D6" s="3249"/>
      <c r="E6" s="3305" t="s">
        <v>2544</v>
      </c>
      <c r="F6" s="3251"/>
      <c r="G6" s="3248" t="s">
        <v>2544</v>
      </c>
      <c r="H6" s="3249"/>
      <c r="I6" s="3248" t="s">
        <v>2544</v>
      </c>
      <c r="J6" s="3249"/>
      <c r="K6" s="610" t="s">
        <v>2545</v>
      </c>
      <c r="L6" s="1132"/>
      <c r="M6" s="1133"/>
      <c r="N6" s="1133"/>
      <c r="O6" s="1133"/>
      <c r="P6" s="3262"/>
      <c r="Q6" s="3263"/>
      <c r="R6" s="3242"/>
      <c r="S6" s="3243"/>
      <c r="T6" s="3264"/>
      <c r="U6" s="3265"/>
      <c r="V6" s="3237"/>
      <c r="W6" s="3237"/>
      <c r="X6" s="1815"/>
      <c r="Y6" s="3264"/>
      <c r="Z6" s="3265"/>
      <c r="AA6" s="3236"/>
      <c r="AB6" s="3236"/>
      <c r="AC6" s="3236"/>
    </row>
    <row r="7" spans="1:30" s="117" customFormat="1" ht="15.75" thickBot="1">
      <c r="A7" s="408" t="s">
        <v>2546</v>
      </c>
      <c r="B7" s="409"/>
      <c r="C7" s="410">
        <f>'数据-取费表'!B2</f>
        <v>43202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38"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76" t="s">
        <v>2553</v>
      </c>
      <c r="Q9" s="1797" t="str">
        <f t="shared" ref="Q9:Q15" si="6">B9</f>
        <v>用途</v>
      </c>
      <c r="R9" s="769" t="s">
        <v>17</v>
      </c>
      <c r="S9" s="770">
        <f t="shared" si="0"/>
        <v>100</v>
      </c>
      <c r="T9" s="769" t="s">
        <v>17</v>
      </c>
      <c r="U9" s="770">
        <f t="shared" si="1"/>
        <v>100</v>
      </c>
      <c r="V9" s="769" t="s">
        <v>17</v>
      </c>
      <c r="W9" s="770">
        <f t="shared" si="2"/>
        <v>100</v>
      </c>
      <c r="X9" s="771"/>
      <c r="Y9" s="3106"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106</v>
      </c>
      <c r="G10" s="463"/>
      <c r="H10" s="136">
        <f>ROUND(100/'数据-取费表'!G16,0)</f>
        <v>106</v>
      </c>
      <c r="I10" s="463"/>
      <c r="J10" s="136">
        <f>ROUND(100/'数据-取费表'!G16,0)</f>
        <v>106</v>
      </c>
      <c r="K10" s="671"/>
      <c r="L10" s="1137"/>
      <c r="M10" s="1138"/>
      <c r="N10" s="1138"/>
      <c r="O10" s="1139"/>
      <c r="P10" s="3276"/>
      <c r="Q10" s="1797" t="str">
        <f t="shared" si="6"/>
        <v>土地使用年限（年）</v>
      </c>
      <c r="R10" s="769" t="s">
        <v>17</v>
      </c>
      <c r="S10" s="770">
        <f t="shared" si="0"/>
        <v>106</v>
      </c>
      <c r="T10" s="769" t="s">
        <v>17</v>
      </c>
      <c r="U10" s="770">
        <f t="shared" si="1"/>
        <v>106</v>
      </c>
      <c r="V10" s="769" t="s">
        <v>17</v>
      </c>
      <c r="W10" s="770">
        <f t="shared" si="2"/>
        <v>106</v>
      </c>
      <c r="X10" s="771"/>
      <c r="Y10" s="3106"/>
      <c r="Z10" s="55" t="str">
        <f t="shared" si="7"/>
        <v>土地使用年限（年）</v>
      </c>
      <c r="AA10" s="772">
        <f t="shared" si="3"/>
        <v>0.94339622641509435</v>
      </c>
      <c r="AB10" s="772">
        <f t="shared" si="4"/>
        <v>0.94339622641509435</v>
      </c>
      <c r="AC10" s="772">
        <f t="shared" si="5"/>
        <v>0.94339622641509435</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76"/>
      <c r="Q11" s="1797" t="str">
        <f t="shared" si="6"/>
        <v>容积率</v>
      </c>
      <c r="R11" s="769" t="s">
        <v>17</v>
      </c>
      <c r="S11" s="770" t="e">
        <f t="shared" si="0"/>
        <v>#N/A</v>
      </c>
      <c r="T11" s="769" t="s">
        <v>17</v>
      </c>
      <c r="U11" s="770" t="e">
        <f t="shared" si="1"/>
        <v>#N/A</v>
      </c>
      <c r="V11" s="769" t="s">
        <v>17</v>
      </c>
      <c r="W11" s="770" t="e">
        <f t="shared" si="2"/>
        <v>#N/A</v>
      </c>
      <c r="X11" s="771"/>
      <c r="Y11" s="3106"/>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76"/>
      <c r="Q12" s="1797" t="str">
        <f t="shared" si="6"/>
        <v>配建</v>
      </c>
      <c r="R12" s="769" t="s">
        <v>17</v>
      </c>
      <c r="S12" s="770">
        <f t="shared" si="0"/>
        <v>100</v>
      </c>
      <c r="T12" s="769" t="s">
        <v>17</v>
      </c>
      <c r="U12" s="770">
        <f t="shared" si="1"/>
        <v>100</v>
      </c>
      <c r="V12" s="769" t="s">
        <v>17</v>
      </c>
      <c r="W12" s="770">
        <f t="shared" si="2"/>
        <v>100</v>
      </c>
      <c r="X12" s="771"/>
      <c r="Y12" s="3106"/>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76"/>
      <c r="Q13" s="1797">
        <f t="shared" si="6"/>
        <v>111</v>
      </c>
      <c r="R13" s="769" t="s">
        <v>17</v>
      </c>
      <c r="S13" s="770">
        <f t="shared" si="0"/>
        <v>100</v>
      </c>
      <c r="T13" s="769" t="s">
        <v>17</v>
      </c>
      <c r="U13" s="770">
        <f t="shared" si="1"/>
        <v>100</v>
      </c>
      <c r="V13" s="769" t="s">
        <v>17</v>
      </c>
      <c r="W13" s="770">
        <f t="shared" si="2"/>
        <v>100</v>
      </c>
      <c r="X13" s="771"/>
      <c r="Y13" s="3106"/>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76"/>
      <c r="Q14" s="1797">
        <f t="shared" si="6"/>
        <v>111</v>
      </c>
      <c r="R14" s="769" t="s">
        <v>17</v>
      </c>
      <c r="S14" s="770">
        <f t="shared" si="0"/>
        <v>100</v>
      </c>
      <c r="T14" s="769" t="s">
        <v>17</v>
      </c>
      <c r="U14" s="770">
        <f t="shared" si="1"/>
        <v>100</v>
      </c>
      <c r="V14" s="769" t="s">
        <v>17</v>
      </c>
      <c r="W14" s="770">
        <f t="shared" si="2"/>
        <v>100</v>
      </c>
      <c r="X14" s="771"/>
      <c r="Y14" s="3106"/>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69" t="s">
        <v>2558</v>
      </c>
      <c r="Q15" s="1812" t="str">
        <f t="shared" si="6"/>
        <v>居住社区成熟度</v>
      </c>
      <c r="R15" s="773" t="s">
        <v>17</v>
      </c>
      <c r="S15" s="774">
        <f t="shared" si="0"/>
        <v>100</v>
      </c>
      <c r="T15" s="773" t="s">
        <v>17</v>
      </c>
      <c r="U15" s="774">
        <f t="shared" si="1"/>
        <v>100</v>
      </c>
      <c r="V15" s="773" t="s">
        <v>17</v>
      </c>
      <c r="W15" s="774">
        <f t="shared" si="2"/>
        <v>100</v>
      </c>
      <c r="X15" s="1815"/>
      <c r="Y15" s="3269"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270"/>
      <c r="Q16" s="1812"/>
      <c r="R16" s="773"/>
      <c r="S16" s="774"/>
      <c r="T16" s="773"/>
      <c r="U16" s="774"/>
      <c r="V16" s="773"/>
      <c r="W16" s="774"/>
      <c r="X16" s="1815"/>
      <c r="Y16" s="3270"/>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70"/>
      <c r="Q17" s="1812" t="str">
        <f>B17</f>
        <v>商业繁华度</v>
      </c>
      <c r="R17" s="773" t="s">
        <v>17</v>
      </c>
      <c r="S17" s="774">
        <f>F17</f>
        <v>100</v>
      </c>
      <c r="T17" s="773" t="s">
        <v>17</v>
      </c>
      <c r="U17" s="774">
        <f>H17</f>
        <v>100</v>
      </c>
      <c r="V17" s="773" t="s">
        <v>17</v>
      </c>
      <c r="W17" s="774">
        <f>J17</f>
        <v>100</v>
      </c>
      <c r="X17" s="1815"/>
      <c r="Y17" s="3270"/>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270"/>
      <c r="Q18" s="1812"/>
      <c r="R18" s="773"/>
      <c r="S18" s="774"/>
      <c r="T18" s="773"/>
      <c r="U18" s="774"/>
      <c r="V18" s="773"/>
      <c r="W18" s="774"/>
      <c r="X18" s="1815"/>
      <c r="Y18" s="3270"/>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70"/>
      <c r="Q19" s="1812" t="str">
        <f>B19</f>
        <v>办公集聚程度</v>
      </c>
      <c r="R19" s="773" t="s">
        <v>17</v>
      </c>
      <c r="S19" s="774">
        <f>F19</f>
        <v>100</v>
      </c>
      <c r="T19" s="773" t="s">
        <v>17</v>
      </c>
      <c r="U19" s="774">
        <f>H19</f>
        <v>100</v>
      </c>
      <c r="V19" s="773" t="s">
        <v>17</v>
      </c>
      <c r="W19" s="774">
        <f>J19</f>
        <v>100</v>
      </c>
      <c r="X19" s="1815"/>
      <c r="Y19" s="3270"/>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270"/>
      <c r="Q20" s="1812"/>
      <c r="R20" s="773"/>
      <c r="S20" s="774"/>
      <c r="T20" s="773"/>
      <c r="U20" s="774"/>
      <c r="V20" s="773"/>
      <c r="W20" s="774"/>
      <c r="X20" s="1815"/>
      <c r="Y20" s="3270"/>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70"/>
      <c r="Q21" s="1812" t="str">
        <f>B21</f>
        <v>交通便捷度</v>
      </c>
      <c r="R21" s="773" t="s">
        <v>17</v>
      </c>
      <c r="S21" s="774">
        <f>F21</f>
        <v>100</v>
      </c>
      <c r="T21" s="773" t="s">
        <v>17</v>
      </c>
      <c r="U21" s="774">
        <f>H21</f>
        <v>100</v>
      </c>
      <c r="V21" s="773" t="s">
        <v>17</v>
      </c>
      <c r="W21" s="774">
        <f>J21</f>
        <v>100</v>
      </c>
      <c r="X21" s="1815"/>
      <c r="Y21" s="3270"/>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270"/>
      <c r="Q22" s="1812"/>
      <c r="R22" s="773"/>
      <c r="S22" s="774"/>
      <c r="T22" s="773"/>
      <c r="U22" s="774"/>
      <c r="V22" s="773"/>
      <c r="W22" s="774"/>
      <c r="X22" s="1815"/>
      <c r="Y22" s="3270"/>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70"/>
      <c r="Q23" s="1812" t="str">
        <f t="shared" ref="Q23:Q37" si="8">B23</f>
        <v>区域土地利用方向</v>
      </c>
      <c r="R23" s="773" t="s">
        <v>17</v>
      </c>
      <c r="S23" s="774">
        <f>F23</f>
        <v>100</v>
      </c>
      <c r="T23" s="773" t="s">
        <v>17</v>
      </c>
      <c r="U23" s="774">
        <f>H23</f>
        <v>100</v>
      </c>
      <c r="V23" s="773" t="s">
        <v>17</v>
      </c>
      <c r="W23" s="774">
        <f>J23</f>
        <v>100</v>
      </c>
      <c r="X23" s="1815"/>
      <c r="Y23" s="3270"/>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70"/>
      <c r="Q24" s="1812"/>
      <c r="R24" s="773"/>
      <c r="S24" s="774"/>
      <c r="T24" s="773"/>
      <c r="U24" s="774"/>
      <c r="V24" s="773"/>
      <c r="W24" s="774"/>
      <c r="X24" s="1815"/>
      <c r="Y24" s="3270"/>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70"/>
      <c r="Q25" s="1812" t="str">
        <f t="shared" si="8"/>
        <v>自然及人文环境状况</v>
      </c>
      <c r="R25" s="773" t="s">
        <v>17</v>
      </c>
      <c r="S25" s="774">
        <f>F25</f>
        <v>100</v>
      </c>
      <c r="T25" s="773" t="s">
        <v>17</v>
      </c>
      <c r="U25" s="774">
        <f>H25</f>
        <v>100</v>
      </c>
      <c r="V25" s="773" t="s">
        <v>17</v>
      </c>
      <c r="W25" s="774">
        <f>J25</f>
        <v>100</v>
      </c>
      <c r="X25" s="1815"/>
      <c r="Y25" s="3270"/>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270"/>
      <c r="Q26" s="1812"/>
      <c r="R26" s="773"/>
      <c r="S26" s="774"/>
      <c r="T26" s="773"/>
      <c r="U26" s="774"/>
      <c r="V26" s="773"/>
      <c r="W26" s="774"/>
      <c r="X26" s="1815"/>
      <c r="Y26" s="3270"/>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70"/>
      <c r="Q27" s="1797" t="str">
        <f t="shared" si="8"/>
        <v>公共配套设施</v>
      </c>
      <c r="R27" s="769" t="s">
        <v>17</v>
      </c>
      <c r="S27" s="770">
        <f>F27</f>
        <v>100</v>
      </c>
      <c r="T27" s="769" t="s">
        <v>17</v>
      </c>
      <c r="U27" s="770">
        <f>H27</f>
        <v>100</v>
      </c>
      <c r="V27" s="769" t="s">
        <v>17</v>
      </c>
      <c r="W27" s="770">
        <f>J27</f>
        <v>100</v>
      </c>
      <c r="X27" s="771"/>
      <c r="Y27" s="3270"/>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270"/>
      <c r="Q28" s="1797"/>
      <c r="R28" s="769"/>
      <c r="S28" s="770"/>
      <c r="T28" s="769"/>
      <c r="U28" s="770"/>
      <c r="V28" s="769"/>
      <c r="W28" s="770"/>
      <c r="X28" s="771"/>
      <c r="Y28" s="3270"/>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70"/>
      <c r="Q29" s="1797" t="str">
        <f t="shared" ref="Q29" si="9">B29</f>
        <v>基础设施水平</v>
      </c>
      <c r="R29" s="769" t="s">
        <v>17</v>
      </c>
      <c r="S29" s="770">
        <f>F29</f>
        <v>100</v>
      </c>
      <c r="T29" s="769" t="s">
        <v>17</v>
      </c>
      <c r="U29" s="770">
        <f>H29</f>
        <v>100</v>
      </c>
      <c r="V29" s="769" t="s">
        <v>17</v>
      </c>
      <c r="W29" s="770">
        <f>J29</f>
        <v>100</v>
      </c>
      <c r="X29" s="771"/>
      <c r="Y29" s="3270"/>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270"/>
      <c r="Q30" s="1797"/>
      <c r="R30" s="769"/>
      <c r="S30" s="770"/>
      <c r="T30" s="769"/>
      <c r="U30" s="770"/>
      <c r="V30" s="769"/>
      <c r="W30" s="770"/>
      <c r="X30" s="771"/>
      <c r="Y30" s="3270"/>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7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70"/>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70"/>
      <c r="Q32" s="1812" t="str">
        <f t="shared" si="8"/>
        <v>毗邻道路的类型与等级</v>
      </c>
      <c r="R32" s="773" t="s">
        <v>17</v>
      </c>
      <c r="S32" s="774">
        <f t="shared" si="10"/>
        <v>100</v>
      </c>
      <c r="T32" s="773" t="s">
        <v>17</v>
      </c>
      <c r="U32" s="774">
        <f t="shared" si="11"/>
        <v>100</v>
      </c>
      <c r="V32" s="773" t="s">
        <v>17</v>
      </c>
      <c r="W32" s="774">
        <f t="shared" si="12"/>
        <v>100</v>
      </c>
      <c r="X32" s="1815"/>
      <c r="Y32" s="3270"/>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70"/>
      <c r="Q33" s="1812"/>
      <c r="R33" s="773"/>
      <c r="S33" s="774"/>
      <c r="T33" s="773"/>
      <c r="U33" s="774"/>
      <c r="V33" s="773"/>
      <c r="W33" s="774"/>
      <c r="X33" s="1815"/>
      <c r="Y33" s="3270"/>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70"/>
      <c r="Q34" s="1812" t="str">
        <f t="shared" si="8"/>
        <v>土地级别</v>
      </c>
      <c r="R34" s="773" t="s">
        <v>17</v>
      </c>
      <c r="S34" s="774">
        <f t="shared" si="10"/>
        <v>100</v>
      </c>
      <c r="T34" s="773" t="s">
        <v>17</v>
      </c>
      <c r="U34" s="774">
        <f t="shared" si="11"/>
        <v>100</v>
      </c>
      <c r="V34" s="773" t="s">
        <v>17</v>
      </c>
      <c r="W34" s="774">
        <f t="shared" si="12"/>
        <v>100</v>
      </c>
      <c r="X34" s="1815"/>
      <c r="Y34" s="3270"/>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70"/>
      <c r="Q35" s="1812">
        <f t="shared" si="8"/>
        <v>111</v>
      </c>
      <c r="R35" s="773" t="s">
        <v>17</v>
      </c>
      <c r="S35" s="774">
        <f t="shared" si="10"/>
        <v>100</v>
      </c>
      <c r="T35" s="773" t="s">
        <v>17</v>
      </c>
      <c r="U35" s="774">
        <f t="shared" si="11"/>
        <v>100</v>
      </c>
      <c r="V35" s="773" t="s">
        <v>17</v>
      </c>
      <c r="W35" s="774">
        <f t="shared" si="12"/>
        <v>100</v>
      </c>
      <c r="X35" s="1815"/>
      <c r="Y35" s="3270"/>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21" t="s">
        <v>2563</v>
      </c>
      <c r="Q36" s="1812">
        <f t="shared" si="8"/>
        <v>111</v>
      </c>
      <c r="R36" s="773" t="s">
        <v>17</v>
      </c>
      <c r="S36" s="774">
        <f t="shared" si="10"/>
        <v>100</v>
      </c>
      <c r="T36" s="773" t="s">
        <v>17</v>
      </c>
      <c r="U36" s="774">
        <f t="shared" si="11"/>
        <v>100</v>
      </c>
      <c r="V36" s="773" t="s">
        <v>17</v>
      </c>
      <c r="W36" s="774">
        <f t="shared" si="12"/>
        <v>100</v>
      </c>
      <c r="X36" s="1815"/>
      <c r="Y36" s="3274"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74"/>
      <c r="Q37" s="1812">
        <f t="shared" si="8"/>
        <v>111</v>
      </c>
      <c r="R37" s="776" t="s">
        <v>17</v>
      </c>
      <c r="S37" s="777">
        <f t="shared" si="10"/>
        <v>100</v>
      </c>
      <c r="T37" s="776" t="s">
        <v>17</v>
      </c>
      <c r="U37" s="777">
        <f t="shared" si="11"/>
        <v>100</v>
      </c>
      <c r="V37" s="776" t="s">
        <v>17</v>
      </c>
      <c r="W37" s="777">
        <f t="shared" si="12"/>
        <v>100</v>
      </c>
      <c r="X37" s="778"/>
      <c r="Y37" s="3274"/>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74"/>
      <c r="Q38" s="1812" t="str">
        <f>B38</f>
        <v>宗地面积</v>
      </c>
      <c r="R38" s="773" t="s">
        <v>17</v>
      </c>
      <c r="S38" s="774" t="e">
        <f t="shared" si="10"/>
        <v>#N/A</v>
      </c>
      <c r="T38" s="773" t="s">
        <v>17</v>
      </c>
      <c r="U38" s="774" t="e">
        <f t="shared" si="11"/>
        <v>#N/A</v>
      </c>
      <c r="V38" s="773" t="s">
        <v>17</v>
      </c>
      <c r="W38" s="774" t="e">
        <f t="shared" si="12"/>
        <v>#N/A</v>
      </c>
      <c r="X38" s="1815"/>
      <c r="Y38" s="3274"/>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74"/>
      <c r="Q39" s="1812" t="str">
        <f t="shared" ref="Q39:Q45" si="14">B39</f>
        <v>宗地形状</v>
      </c>
      <c r="R39" s="773" t="s">
        <v>17</v>
      </c>
      <c r="S39" s="774">
        <f t="shared" si="10"/>
        <v>100</v>
      </c>
      <c r="T39" s="773" t="s">
        <v>17</v>
      </c>
      <c r="U39" s="774">
        <f t="shared" si="11"/>
        <v>100</v>
      </c>
      <c r="V39" s="773" t="s">
        <v>17</v>
      </c>
      <c r="W39" s="774">
        <f t="shared" si="12"/>
        <v>100</v>
      </c>
      <c r="X39" s="1815"/>
      <c r="Y39" s="3274"/>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74"/>
      <c r="Q40" s="1812" t="str">
        <f t="shared" si="14"/>
        <v>临街宽度及深度</v>
      </c>
      <c r="R40" s="773" t="s">
        <v>17</v>
      </c>
      <c r="S40" s="774">
        <f t="shared" si="10"/>
        <v>100</v>
      </c>
      <c r="T40" s="773" t="s">
        <v>17</v>
      </c>
      <c r="U40" s="774">
        <f t="shared" si="11"/>
        <v>100</v>
      </c>
      <c r="V40" s="773" t="s">
        <v>17</v>
      </c>
      <c r="W40" s="774">
        <f t="shared" si="12"/>
        <v>100</v>
      </c>
      <c r="X40" s="1815"/>
      <c r="Y40" s="3274"/>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74"/>
      <c r="Q41" s="1812" t="str">
        <f t="shared" si="14"/>
        <v>宗地开发程度</v>
      </c>
      <c r="R41" s="769" t="s">
        <v>17</v>
      </c>
      <c r="S41" s="770">
        <f t="shared" si="10"/>
        <v>100</v>
      </c>
      <c r="T41" s="769" t="s">
        <v>17</v>
      </c>
      <c r="U41" s="770">
        <f t="shared" si="11"/>
        <v>100</v>
      </c>
      <c r="V41" s="769" t="s">
        <v>17</v>
      </c>
      <c r="W41" s="770">
        <f t="shared" si="12"/>
        <v>100</v>
      </c>
      <c r="X41" s="771"/>
      <c r="Y41" s="3274"/>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74" t="s">
        <v>2563</v>
      </c>
      <c r="Q42" s="1812" t="str">
        <f t="shared" si="14"/>
        <v>工程地质条件</v>
      </c>
      <c r="R42" s="773" t="s">
        <v>17</v>
      </c>
      <c r="S42" s="774">
        <f t="shared" si="10"/>
        <v>100</v>
      </c>
      <c r="T42" s="773" t="s">
        <v>17</v>
      </c>
      <c r="U42" s="774">
        <f t="shared" si="11"/>
        <v>100</v>
      </c>
      <c r="V42" s="773" t="s">
        <v>17</v>
      </c>
      <c r="W42" s="774">
        <f t="shared" si="12"/>
        <v>100</v>
      </c>
      <c r="X42" s="1815"/>
      <c r="Y42" s="3274"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74"/>
      <c r="Q43" s="1812">
        <f t="shared" si="14"/>
        <v>111</v>
      </c>
      <c r="R43" s="773" t="s">
        <v>17</v>
      </c>
      <c r="S43" s="774">
        <f t="shared" si="10"/>
        <v>100</v>
      </c>
      <c r="T43" s="773" t="s">
        <v>17</v>
      </c>
      <c r="U43" s="774">
        <f t="shared" si="11"/>
        <v>100</v>
      </c>
      <c r="V43" s="773" t="s">
        <v>17</v>
      </c>
      <c r="W43" s="774">
        <f t="shared" si="12"/>
        <v>100</v>
      </c>
      <c r="X43" s="1815"/>
      <c r="Y43" s="3274"/>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74"/>
      <c r="Q44" s="1812">
        <f t="shared" si="14"/>
        <v>111</v>
      </c>
      <c r="R44" s="773" t="s">
        <v>17</v>
      </c>
      <c r="S44" s="774">
        <f t="shared" si="10"/>
        <v>100</v>
      </c>
      <c r="T44" s="773" t="s">
        <v>17</v>
      </c>
      <c r="U44" s="774">
        <f t="shared" si="11"/>
        <v>100</v>
      </c>
      <c r="V44" s="773" t="s">
        <v>17</v>
      </c>
      <c r="W44" s="774">
        <f t="shared" si="12"/>
        <v>100</v>
      </c>
      <c r="X44" s="1815"/>
      <c r="Y44" s="3274"/>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74"/>
      <c r="Q45" s="1812">
        <f t="shared" si="14"/>
        <v>111</v>
      </c>
      <c r="R45" s="776" t="s">
        <v>17</v>
      </c>
      <c r="S45" s="777">
        <f t="shared" si="10"/>
        <v>100</v>
      </c>
      <c r="T45" s="776" t="s">
        <v>17</v>
      </c>
      <c r="U45" s="777">
        <f t="shared" si="11"/>
        <v>100</v>
      </c>
      <c r="V45" s="776" t="s">
        <v>17</v>
      </c>
      <c r="W45" s="777">
        <f t="shared" si="12"/>
        <v>100</v>
      </c>
      <c r="X45" s="778"/>
      <c r="Y45" s="3274"/>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276" t="str">
        <f>A46</f>
        <v>成交单价</v>
      </c>
      <c r="Q46" s="3276"/>
      <c r="R46" s="3237">
        <f>E46</f>
        <v>0</v>
      </c>
      <c r="S46" s="3237"/>
      <c r="T46" s="3237">
        <f>G46</f>
        <v>0</v>
      </c>
      <c r="U46" s="3237"/>
      <c r="V46" s="3237">
        <f>I46</f>
        <v>0</v>
      </c>
      <c r="W46" s="3237"/>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76" t="str">
        <f>A47</f>
        <v>比较价值（元/平方米）</v>
      </c>
      <c r="Q47" s="3276"/>
      <c r="R47" s="3322" t="e">
        <f>ROUND(PRODUCT(R46,AA7:AA45),0)</f>
        <v>#DIV/0!</v>
      </c>
      <c r="S47" s="3322"/>
      <c r="T47" s="3322" t="e">
        <f>ROUND(PRODUCT(T46,AB7:AB45),0)</f>
        <v>#DIV/0!</v>
      </c>
      <c r="U47" s="3322"/>
      <c r="V47" s="3322" t="e">
        <f>ROUND(PRODUCT(V46,AC7:AC45),0)</f>
        <v>#DIV/0!</v>
      </c>
      <c r="W47" s="3322"/>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78" t="str">
        <f>A48</f>
        <v>估价对象XX用房的比较价值（楼面单价，元/平方米）</v>
      </c>
      <c r="Q48" s="3279"/>
      <c r="R48" s="3323" t="e">
        <f>ROUND(AVERAGE(R47:V47),0)</f>
        <v>#DIV/0!</v>
      </c>
      <c r="S48" s="3323"/>
      <c r="T48" s="3323"/>
      <c r="U48" s="3323"/>
      <c r="V48" s="3323"/>
      <c r="W48" s="332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54" t="s">
        <v>2762</v>
      </c>
      <c r="H55" s="3324"/>
      <c r="I55" s="144" t="s">
        <v>2763</v>
      </c>
      <c r="J55" s="2707" t="str">
        <f>项目基本情况!F35</f>
        <v>江苏省宿迁市</v>
      </c>
      <c r="K55" s="2708" t="s">
        <v>2764</v>
      </c>
      <c r="L55" s="1108"/>
      <c r="M55" s="1146"/>
      <c r="N55" s="1146"/>
      <c r="O55" s="1146"/>
    </row>
    <row r="56" spans="1:15" s="691" customFormat="1">
      <c r="A56" s="687" t="s">
        <v>2765</v>
      </c>
      <c r="B56" s="688" t="e">
        <f>C48</f>
        <v>#DIV/0!</v>
      </c>
      <c r="C56" s="689">
        <v>1</v>
      </c>
      <c r="D56" s="1165">
        <v>1</v>
      </c>
      <c r="E56" s="689">
        <f>'数据-汇总表'!E8+'数据-汇总表'!E9</f>
        <v>4833.9999999999973</v>
      </c>
      <c r="F56" s="1105" t="e">
        <f t="shared" ref="F56:F65" si="15">ROUND(B56*E56/10000,0)</f>
        <v>#DIV/0!</v>
      </c>
      <c r="G56" s="3253"/>
      <c r="H56" s="3276"/>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25"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25"/>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25"/>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25"/>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4833.9999999999973</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54" t="s">
        <v>2644</v>
      </c>
      <c r="D4" s="3255"/>
      <c r="E4" s="3256" t="s">
        <v>2645</v>
      </c>
      <c r="F4" s="3257"/>
      <c r="G4" s="3254" t="s">
        <v>2646</v>
      </c>
      <c r="H4" s="3255"/>
      <c r="I4" s="3254" t="s">
        <v>2647</v>
      </c>
      <c r="J4" s="3255"/>
      <c r="K4" s="610" t="s">
        <v>2648</v>
      </c>
      <c r="L4" s="1132"/>
      <c r="M4" s="1133"/>
      <c r="N4" s="1133"/>
      <c r="O4" s="1133"/>
      <c r="P4" s="3258" t="s">
        <v>2649</v>
      </c>
      <c r="Q4" s="3259"/>
      <c r="R4" s="3240" t="s">
        <v>2645</v>
      </c>
      <c r="S4" s="3241"/>
      <c r="T4" s="3240" t="s">
        <v>2646</v>
      </c>
      <c r="U4" s="3241"/>
      <c r="V4" s="3237" t="s">
        <v>2647</v>
      </c>
      <c r="W4" s="3237"/>
      <c r="X4" s="1815"/>
      <c r="Y4" s="3240" t="s">
        <v>2649</v>
      </c>
      <c r="Z4" s="3241"/>
      <c r="AA4" s="3234" t="s">
        <v>2645</v>
      </c>
      <c r="AB4" s="3235" t="s">
        <v>2646</v>
      </c>
      <c r="AC4" s="3234" t="s">
        <v>2647</v>
      </c>
    </row>
    <row r="5" spans="1:29" ht="15">
      <c r="A5" s="404"/>
      <c r="B5" s="405"/>
      <c r="C5" s="3304" t="s">
        <v>2540</v>
      </c>
      <c r="D5" s="3247"/>
      <c r="E5" s="3303" t="s">
        <v>2541</v>
      </c>
      <c r="F5" s="3245"/>
      <c r="G5" s="3304" t="s">
        <v>2542</v>
      </c>
      <c r="H5" s="3247"/>
      <c r="I5" s="3304" t="s">
        <v>2543</v>
      </c>
      <c r="J5" s="3247"/>
      <c r="K5" s="610"/>
      <c r="L5" s="1132"/>
      <c r="M5" s="1133"/>
      <c r="N5" s="1133"/>
      <c r="O5" s="1133"/>
      <c r="P5" s="3260"/>
      <c r="Q5" s="3261"/>
      <c r="R5" s="3242"/>
      <c r="S5" s="3243"/>
      <c r="T5" s="3242"/>
      <c r="U5" s="3243"/>
      <c r="V5" s="3237"/>
      <c r="W5" s="3237"/>
      <c r="X5" s="1815"/>
      <c r="Y5" s="3242"/>
      <c r="Z5" s="3243"/>
      <c r="AA5" s="3235"/>
      <c r="AB5" s="3235"/>
      <c r="AC5" s="3235"/>
    </row>
    <row r="6" spans="1:29" ht="15.75" thickBot="1">
      <c r="A6" s="406"/>
      <c r="B6" s="407"/>
      <c r="C6" s="3326" t="s">
        <v>2795</v>
      </c>
      <c r="D6" s="3327"/>
      <c r="E6" s="3328" t="s">
        <v>2795</v>
      </c>
      <c r="F6" s="3329"/>
      <c r="G6" s="3326" t="s">
        <v>2795</v>
      </c>
      <c r="H6" s="3327"/>
      <c r="I6" s="3326" t="s">
        <v>2795</v>
      </c>
      <c r="J6" s="3327"/>
      <c r="K6" s="610" t="s">
        <v>2545</v>
      </c>
      <c r="L6" s="1132"/>
      <c r="M6" s="1133"/>
      <c r="N6" s="1133"/>
      <c r="O6" s="1133"/>
      <c r="P6" s="3262"/>
      <c r="Q6" s="3263"/>
      <c r="R6" s="3242"/>
      <c r="S6" s="3243"/>
      <c r="T6" s="3264"/>
      <c r="U6" s="3265"/>
      <c r="V6" s="3237"/>
      <c r="W6" s="3237"/>
      <c r="X6" s="1815"/>
      <c r="Y6" s="3264"/>
      <c r="Z6" s="3265"/>
      <c r="AA6" s="3236"/>
      <c r="AB6" s="3236"/>
      <c r="AC6" s="3236"/>
    </row>
    <row r="7" spans="1:29" s="117" customFormat="1" ht="15.75" thickBot="1">
      <c r="A7" s="408" t="s">
        <v>2546</v>
      </c>
      <c r="B7" s="409"/>
      <c r="C7" s="410">
        <f>'数据-取费表'!B2</f>
        <v>43202</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38"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76" t="s">
        <v>2553</v>
      </c>
      <c r="Q9" s="1797" t="str">
        <f t="shared" ref="Q9:Q15" si="6">B9</f>
        <v>用途</v>
      </c>
      <c r="R9" s="769" t="s">
        <v>17</v>
      </c>
      <c r="S9" s="770">
        <f t="shared" si="0"/>
        <v>100</v>
      </c>
      <c r="T9" s="769" t="s">
        <v>17</v>
      </c>
      <c r="U9" s="770">
        <f t="shared" si="1"/>
        <v>100</v>
      </c>
      <c r="V9" s="769" t="s">
        <v>17</v>
      </c>
      <c r="W9" s="770">
        <f t="shared" si="2"/>
        <v>100</v>
      </c>
      <c r="X9" s="771"/>
      <c r="Y9" s="3106"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106</v>
      </c>
      <c r="G10" s="432"/>
      <c r="H10" s="136">
        <f>ROUND(100/'数据-取费表'!G16,0)</f>
        <v>106</v>
      </c>
      <c r="I10" s="432"/>
      <c r="J10" s="136">
        <f>ROUND(100/'数据-取费表'!G16,0)</f>
        <v>106</v>
      </c>
      <c r="K10" s="671"/>
      <c r="L10" s="1137"/>
      <c r="M10" s="1138"/>
      <c r="N10" s="1138"/>
      <c r="O10" s="1139"/>
      <c r="P10" s="3276"/>
      <c r="Q10" s="1797" t="str">
        <f t="shared" si="6"/>
        <v>土地使用年限（年）</v>
      </c>
      <c r="R10" s="769" t="s">
        <v>17</v>
      </c>
      <c r="S10" s="770">
        <f t="shared" si="0"/>
        <v>106</v>
      </c>
      <c r="T10" s="769" t="s">
        <v>17</v>
      </c>
      <c r="U10" s="770">
        <f t="shared" si="1"/>
        <v>106</v>
      </c>
      <c r="V10" s="769" t="s">
        <v>17</v>
      </c>
      <c r="W10" s="770">
        <f t="shared" si="2"/>
        <v>106</v>
      </c>
      <c r="X10" s="771"/>
      <c r="Y10" s="3106"/>
      <c r="Z10" s="55" t="str">
        <f t="shared" si="7"/>
        <v>土地使用年限（年）</v>
      </c>
      <c r="AA10" s="772">
        <f t="shared" si="3"/>
        <v>0.94339622641509435</v>
      </c>
      <c r="AB10" s="772">
        <f t="shared" si="4"/>
        <v>0.94339622641509435</v>
      </c>
      <c r="AC10" s="772">
        <f t="shared" si="5"/>
        <v>0.94339622641509435</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76"/>
      <c r="Q11" s="1797" t="str">
        <f t="shared" si="6"/>
        <v>容积率</v>
      </c>
      <c r="R11" s="769" t="s">
        <v>17</v>
      </c>
      <c r="S11" s="770" t="e">
        <f t="shared" si="0"/>
        <v>#N/A</v>
      </c>
      <c r="T11" s="769" t="s">
        <v>17</v>
      </c>
      <c r="U11" s="770" t="e">
        <f t="shared" si="1"/>
        <v>#N/A</v>
      </c>
      <c r="V11" s="769" t="s">
        <v>17</v>
      </c>
      <c r="W11" s="770" t="e">
        <f t="shared" si="2"/>
        <v>#N/A</v>
      </c>
      <c r="X11" s="771"/>
      <c r="Y11" s="3106"/>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76"/>
      <c r="Q12" s="1797">
        <f t="shared" si="6"/>
        <v>111</v>
      </c>
      <c r="R12" s="769" t="s">
        <v>17</v>
      </c>
      <c r="S12" s="770">
        <f t="shared" si="0"/>
        <v>100</v>
      </c>
      <c r="T12" s="769" t="s">
        <v>17</v>
      </c>
      <c r="U12" s="770">
        <f t="shared" si="1"/>
        <v>100</v>
      </c>
      <c r="V12" s="769" t="s">
        <v>17</v>
      </c>
      <c r="W12" s="770">
        <f t="shared" si="2"/>
        <v>100</v>
      </c>
      <c r="X12" s="771"/>
      <c r="Y12" s="3106"/>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76"/>
      <c r="Q13" s="1797">
        <f t="shared" si="6"/>
        <v>111</v>
      </c>
      <c r="R13" s="769" t="s">
        <v>17</v>
      </c>
      <c r="S13" s="770">
        <f t="shared" si="0"/>
        <v>100</v>
      </c>
      <c r="T13" s="769" t="s">
        <v>17</v>
      </c>
      <c r="U13" s="770">
        <f t="shared" si="1"/>
        <v>100</v>
      </c>
      <c r="V13" s="769" t="s">
        <v>17</v>
      </c>
      <c r="W13" s="770">
        <f t="shared" si="2"/>
        <v>100</v>
      </c>
      <c r="X13" s="771"/>
      <c r="Y13" s="3106"/>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76"/>
      <c r="Q14" s="1797">
        <f t="shared" si="6"/>
        <v>111</v>
      </c>
      <c r="R14" s="769" t="s">
        <v>17</v>
      </c>
      <c r="S14" s="770">
        <f t="shared" si="0"/>
        <v>100</v>
      </c>
      <c r="T14" s="769" t="s">
        <v>17</v>
      </c>
      <c r="U14" s="770">
        <f t="shared" si="1"/>
        <v>100</v>
      </c>
      <c r="V14" s="769" t="s">
        <v>17</v>
      </c>
      <c r="W14" s="770">
        <f t="shared" si="2"/>
        <v>100</v>
      </c>
      <c r="X14" s="771"/>
      <c r="Y14" s="3106"/>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69" t="s">
        <v>2558</v>
      </c>
      <c r="Q15" s="1812" t="str">
        <f t="shared" si="6"/>
        <v>产业集聚程度</v>
      </c>
      <c r="R15" s="773" t="s">
        <v>17</v>
      </c>
      <c r="S15" s="774">
        <f t="shared" si="0"/>
        <v>100</v>
      </c>
      <c r="T15" s="773" t="s">
        <v>17</v>
      </c>
      <c r="U15" s="774">
        <f t="shared" si="1"/>
        <v>100</v>
      </c>
      <c r="V15" s="773" t="s">
        <v>17</v>
      </c>
      <c r="W15" s="774">
        <f t="shared" si="2"/>
        <v>100</v>
      </c>
      <c r="X15" s="1815"/>
      <c r="Y15" s="3269"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270"/>
      <c r="Q16" s="1812"/>
      <c r="R16" s="773"/>
      <c r="S16" s="774"/>
      <c r="T16" s="773"/>
      <c r="U16" s="774"/>
      <c r="V16" s="773"/>
      <c r="W16" s="774"/>
      <c r="X16" s="1815"/>
      <c r="Y16" s="3270"/>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70"/>
      <c r="Q17" s="1812" t="str">
        <f>B17</f>
        <v>交通便捷度</v>
      </c>
      <c r="R17" s="773" t="s">
        <v>17</v>
      </c>
      <c r="S17" s="774">
        <f>F17</f>
        <v>100</v>
      </c>
      <c r="T17" s="773" t="s">
        <v>17</v>
      </c>
      <c r="U17" s="774">
        <f>H17</f>
        <v>100</v>
      </c>
      <c r="V17" s="773" t="s">
        <v>17</v>
      </c>
      <c r="W17" s="774">
        <f>J17</f>
        <v>100</v>
      </c>
      <c r="X17" s="1815"/>
      <c r="Y17" s="3270"/>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270"/>
      <c r="Q18" s="1812"/>
      <c r="R18" s="773"/>
      <c r="S18" s="774"/>
      <c r="T18" s="773"/>
      <c r="U18" s="774"/>
      <c r="V18" s="773"/>
      <c r="W18" s="774"/>
      <c r="X18" s="1815"/>
      <c r="Y18" s="3270"/>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70"/>
      <c r="Q19" s="1812" t="str">
        <f t="shared" ref="Q19:Q33" si="8">B19</f>
        <v>区域土地利用方向</v>
      </c>
      <c r="R19" s="773" t="s">
        <v>17</v>
      </c>
      <c r="S19" s="774">
        <f>F19</f>
        <v>100</v>
      </c>
      <c r="T19" s="773" t="s">
        <v>17</v>
      </c>
      <c r="U19" s="774">
        <f>H19</f>
        <v>100</v>
      </c>
      <c r="V19" s="773" t="s">
        <v>17</v>
      </c>
      <c r="W19" s="774">
        <f>J19</f>
        <v>100</v>
      </c>
      <c r="X19" s="1815"/>
      <c r="Y19" s="3270"/>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270"/>
      <c r="Q20" s="1812"/>
      <c r="R20" s="773"/>
      <c r="S20" s="774"/>
      <c r="T20" s="773"/>
      <c r="U20" s="774"/>
      <c r="V20" s="773"/>
      <c r="W20" s="774"/>
      <c r="X20" s="1815"/>
      <c r="Y20" s="3270"/>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70"/>
      <c r="Q21" s="1812" t="str">
        <f t="shared" si="8"/>
        <v>环境状况</v>
      </c>
      <c r="R21" s="773" t="s">
        <v>17</v>
      </c>
      <c r="S21" s="774">
        <f>F21</f>
        <v>100</v>
      </c>
      <c r="T21" s="773" t="s">
        <v>17</v>
      </c>
      <c r="U21" s="774">
        <f>H21</f>
        <v>100</v>
      </c>
      <c r="V21" s="773" t="s">
        <v>17</v>
      </c>
      <c r="W21" s="774">
        <f>J21</f>
        <v>100</v>
      </c>
      <c r="X21" s="1815"/>
      <c r="Y21" s="3270"/>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270"/>
      <c r="Q22" s="1812"/>
      <c r="R22" s="773"/>
      <c r="S22" s="774"/>
      <c r="T22" s="773"/>
      <c r="U22" s="774"/>
      <c r="V22" s="773"/>
      <c r="W22" s="774"/>
      <c r="X22" s="1815"/>
      <c r="Y22" s="3270"/>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70"/>
      <c r="Q23" s="1797" t="str">
        <f t="shared" si="8"/>
        <v>公共配套设施</v>
      </c>
      <c r="R23" s="769" t="s">
        <v>17</v>
      </c>
      <c r="S23" s="770">
        <f>F23</f>
        <v>100</v>
      </c>
      <c r="T23" s="769" t="s">
        <v>17</v>
      </c>
      <c r="U23" s="770">
        <f>H23</f>
        <v>100</v>
      </c>
      <c r="V23" s="769" t="s">
        <v>17</v>
      </c>
      <c r="W23" s="770">
        <f>J23</f>
        <v>100</v>
      </c>
      <c r="X23" s="771"/>
      <c r="Y23" s="3270"/>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270"/>
      <c r="Q24" s="1797"/>
      <c r="R24" s="769"/>
      <c r="S24" s="770"/>
      <c r="T24" s="769"/>
      <c r="U24" s="770"/>
      <c r="V24" s="769"/>
      <c r="W24" s="770"/>
      <c r="X24" s="771"/>
      <c r="Y24" s="3270"/>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70"/>
      <c r="Q25" s="1797" t="str">
        <f t="shared" ref="Q25" si="9">B25</f>
        <v>基础设施水平</v>
      </c>
      <c r="R25" s="769" t="s">
        <v>17</v>
      </c>
      <c r="S25" s="770">
        <f>F25</f>
        <v>100</v>
      </c>
      <c r="T25" s="769" t="s">
        <v>17</v>
      </c>
      <c r="U25" s="770">
        <f>H25</f>
        <v>100</v>
      </c>
      <c r="V25" s="769" t="s">
        <v>17</v>
      </c>
      <c r="W25" s="770">
        <f>J25</f>
        <v>100</v>
      </c>
      <c r="X25" s="771"/>
      <c r="Y25" s="3270"/>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270"/>
      <c r="Q26" s="1797"/>
      <c r="R26" s="769"/>
      <c r="S26" s="770"/>
      <c r="T26" s="769"/>
      <c r="U26" s="770"/>
      <c r="V26" s="769"/>
      <c r="W26" s="770"/>
      <c r="X26" s="771"/>
      <c r="Y26" s="3270"/>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70"/>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70"/>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70"/>
      <c r="Q28" s="1812" t="str">
        <f t="shared" si="8"/>
        <v>毗邻道路的类型与等级</v>
      </c>
      <c r="R28" s="773" t="s">
        <v>17</v>
      </c>
      <c r="S28" s="774">
        <f t="shared" si="10"/>
        <v>100</v>
      </c>
      <c r="T28" s="773" t="s">
        <v>17</v>
      </c>
      <c r="U28" s="774">
        <f t="shared" si="11"/>
        <v>100</v>
      </c>
      <c r="V28" s="773" t="s">
        <v>17</v>
      </c>
      <c r="W28" s="774">
        <f t="shared" si="12"/>
        <v>100</v>
      </c>
      <c r="X28" s="1815"/>
      <c r="Y28" s="3270"/>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270"/>
      <c r="Q29" s="1812"/>
      <c r="R29" s="773"/>
      <c r="S29" s="774"/>
      <c r="T29" s="773"/>
      <c r="U29" s="774"/>
      <c r="V29" s="773"/>
      <c r="W29" s="774"/>
      <c r="X29" s="1815"/>
      <c r="Y29" s="3270"/>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70"/>
      <c r="Q30" s="1812" t="str">
        <f t="shared" si="8"/>
        <v>土地级别</v>
      </c>
      <c r="R30" s="773" t="s">
        <v>17</v>
      </c>
      <c r="S30" s="774">
        <f t="shared" si="10"/>
        <v>100</v>
      </c>
      <c r="T30" s="773" t="s">
        <v>17</v>
      </c>
      <c r="U30" s="774">
        <f t="shared" si="11"/>
        <v>100</v>
      </c>
      <c r="V30" s="773" t="s">
        <v>17</v>
      </c>
      <c r="W30" s="774">
        <f t="shared" si="12"/>
        <v>100</v>
      </c>
      <c r="X30" s="1815"/>
      <c r="Y30" s="3270"/>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70"/>
      <c r="Q31" s="1812">
        <f t="shared" si="8"/>
        <v>111</v>
      </c>
      <c r="R31" s="773" t="s">
        <v>17</v>
      </c>
      <c r="S31" s="774">
        <f t="shared" si="10"/>
        <v>100</v>
      </c>
      <c r="T31" s="773" t="s">
        <v>17</v>
      </c>
      <c r="U31" s="774">
        <f t="shared" si="11"/>
        <v>100</v>
      </c>
      <c r="V31" s="773" t="s">
        <v>17</v>
      </c>
      <c r="W31" s="774">
        <f t="shared" si="12"/>
        <v>100</v>
      </c>
      <c r="X31" s="1815"/>
      <c r="Y31" s="3270"/>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21" t="s">
        <v>2563</v>
      </c>
      <c r="Q32" s="1812">
        <f t="shared" si="8"/>
        <v>111</v>
      </c>
      <c r="R32" s="773" t="s">
        <v>17</v>
      </c>
      <c r="S32" s="774">
        <f t="shared" si="10"/>
        <v>100</v>
      </c>
      <c r="T32" s="773" t="s">
        <v>17</v>
      </c>
      <c r="U32" s="774">
        <f t="shared" si="11"/>
        <v>100</v>
      </c>
      <c r="V32" s="773" t="s">
        <v>17</v>
      </c>
      <c r="W32" s="774">
        <f t="shared" si="12"/>
        <v>100</v>
      </c>
      <c r="X32" s="1815"/>
      <c r="Y32" s="3274"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74"/>
      <c r="Q33" s="1812">
        <f t="shared" si="8"/>
        <v>111</v>
      </c>
      <c r="R33" s="776" t="s">
        <v>17</v>
      </c>
      <c r="S33" s="777">
        <f t="shared" si="10"/>
        <v>100</v>
      </c>
      <c r="T33" s="776" t="s">
        <v>17</v>
      </c>
      <c r="U33" s="777">
        <f t="shared" si="11"/>
        <v>100</v>
      </c>
      <c r="V33" s="776" t="s">
        <v>17</v>
      </c>
      <c r="W33" s="777">
        <f t="shared" si="12"/>
        <v>100</v>
      </c>
      <c r="X33" s="778"/>
      <c r="Y33" s="3274"/>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74"/>
      <c r="Q34" s="1812" t="str">
        <f>B34</f>
        <v>宗地面积</v>
      </c>
      <c r="R34" s="773" t="s">
        <v>17</v>
      </c>
      <c r="S34" s="774" t="e">
        <f t="shared" si="10"/>
        <v>#N/A</v>
      </c>
      <c r="T34" s="773" t="s">
        <v>17</v>
      </c>
      <c r="U34" s="774" t="e">
        <f t="shared" si="11"/>
        <v>#N/A</v>
      </c>
      <c r="V34" s="773" t="s">
        <v>17</v>
      </c>
      <c r="W34" s="774" t="e">
        <f t="shared" si="12"/>
        <v>#N/A</v>
      </c>
      <c r="X34" s="1815"/>
      <c r="Y34" s="3274"/>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74"/>
      <c r="Q35" s="1812" t="str">
        <f t="shared" ref="Q35:Q40" si="14">B35</f>
        <v>宗地形状</v>
      </c>
      <c r="R35" s="773" t="s">
        <v>17</v>
      </c>
      <c r="S35" s="774">
        <f t="shared" si="10"/>
        <v>100</v>
      </c>
      <c r="T35" s="773" t="s">
        <v>17</v>
      </c>
      <c r="U35" s="774">
        <f t="shared" si="11"/>
        <v>100</v>
      </c>
      <c r="V35" s="773" t="s">
        <v>17</v>
      </c>
      <c r="W35" s="774">
        <f t="shared" si="12"/>
        <v>100</v>
      </c>
      <c r="X35" s="1815"/>
      <c r="Y35" s="3274"/>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74"/>
      <c r="Q36" s="1812" t="str">
        <f t="shared" si="14"/>
        <v>宗地开发程度</v>
      </c>
      <c r="R36" s="769" t="s">
        <v>17</v>
      </c>
      <c r="S36" s="770">
        <f t="shared" si="10"/>
        <v>100</v>
      </c>
      <c r="T36" s="769" t="s">
        <v>17</v>
      </c>
      <c r="U36" s="770">
        <f t="shared" si="11"/>
        <v>100</v>
      </c>
      <c r="V36" s="769" t="s">
        <v>17</v>
      </c>
      <c r="W36" s="770">
        <f t="shared" si="12"/>
        <v>100</v>
      </c>
      <c r="X36" s="771"/>
      <c r="Y36" s="3274"/>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74" t="s">
        <v>2563</v>
      </c>
      <c r="Q37" s="1812" t="str">
        <f t="shared" si="14"/>
        <v>工程地质条件</v>
      </c>
      <c r="R37" s="773" t="s">
        <v>17</v>
      </c>
      <c r="S37" s="774">
        <f t="shared" si="10"/>
        <v>100</v>
      </c>
      <c r="T37" s="773" t="s">
        <v>17</v>
      </c>
      <c r="U37" s="774">
        <f t="shared" si="11"/>
        <v>100</v>
      </c>
      <c r="V37" s="773" t="s">
        <v>17</v>
      </c>
      <c r="W37" s="774">
        <f t="shared" si="12"/>
        <v>100</v>
      </c>
      <c r="X37" s="1815"/>
      <c r="Y37" s="3274"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74"/>
      <c r="Q38" s="1812">
        <f t="shared" si="14"/>
        <v>111</v>
      </c>
      <c r="R38" s="773" t="s">
        <v>17</v>
      </c>
      <c r="S38" s="774">
        <f t="shared" si="10"/>
        <v>100</v>
      </c>
      <c r="T38" s="773" t="s">
        <v>17</v>
      </c>
      <c r="U38" s="774">
        <f t="shared" si="11"/>
        <v>100</v>
      </c>
      <c r="V38" s="773" t="s">
        <v>17</v>
      </c>
      <c r="W38" s="774">
        <f t="shared" si="12"/>
        <v>100</v>
      </c>
      <c r="X38" s="1815"/>
      <c r="Y38" s="3274"/>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74"/>
      <c r="Q39" s="1812">
        <f t="shared" si="14"/>
        <v>111</v>
      </c>
      <c r="R39" s="773" t="s">
        <v>17</v>
      </c>
      <c r="S39" s="774">
        <f t="shared" si="10"/>
        <v>100</v>
      </c>
      <c r="T39" s="773" t="s">
        <v>17</v>
      </c>
      <c r="U39" s="774">
        <f t="shared" si="11"/>
        <v>100</v>
      </c>
      <c r="V39" s="773" t="s">
        <v>17</v>
      </c>
      <c r="W39" s="774">
        <f t="shared" si="12"/>
        <v>100</v>
      </c>
      <c r="X39" s="1815"/>
      <c r="Y39" s="3274"/>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74"/>
      <c r="Q40" s="1812">
        <f t="shared" si="14"/>
        <v>111</v>
      </c>
      <c r="R40" s="776" t="s">
        <v>17</v>
      </c>
      <c r="S40" s="777">
        <f t="shared" si="10"/>
        <v>100</v>
      </c>
      <c r="T40" s="776" t="s">
        <v>17</v>
      </c>
      <c r="U40" s="777">
        <f t="shared" si="11"/>
        <v>100</v>
      </c>
      <c r="V40" s="776" t="s">
        <v>17</v>
      </c>
      <c r="W40" s="777">
        <f t="shared" si="12"/>
        <v>100</v>
      </c>
      <c r="X40" s="778"/>
      <c r="Y40" s="3274"/>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276" t="str">
        <f>A41</f>
        <v>成交单价</v>
      </c>
      <c r="Q41" s="3276"/>
      <c r="R41" s="3237">
        <f>E41</f>
        <v>0</v>
      </c>
      <c r="S41" s="3237"/>
      <c r="T41" s="3237">
        <f>G41</f>
        <v>0</v>
      </c>
      <c r="U41" s="3237"/>
      <c r="V41" s="3237">
        <f>I41</f>
        <v>0</v>
      </c>
      <c r="W41" s="3237"/>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76" t="str">
        <f>A42</f>
        <v>比较价值（元/平方米）</v>
      </c>
      <c r="Q42" s="3276"/>
      <c r="R42" s="3322" t="e">
        <f>ROUND(PRODUCT(R41,AA7:AA40),0)</f>
        <v>#DIV/0!</v>
      </c>
      <c r="S42" s="3322"/>
      <c r="T42" s="3322" t="e">
        <f>ROUND(PRODUCT(T41,AB7:AB40),0)</f>
        <v>#DIV/0!</v>
      </c>
      <c r="U42" s="3322"/>
      <c r="V42" s="3322" t="e">
        <f>ROUND(PRODUCT(V41,AC7:AC40),0)</f>
        <v>#DIV/0!</v>
      </c>
      <c r="W42" s="3322"/>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78" t="str">
        <f>A43</f>
        <v>估价对象XX用房的比较价值（楼面单价，元/平方米）</v>
      </c>
      <c r="Q43" s="3279"/>
      <c r="R43" s="3323" t="e">
        <f>ROUND(AVERAGE(R42:V42),0)</f>
        <v>#DIV/0!</v>
      </c>
      <c r="S43" s="3323"/>
      <c r="T43" s="3323"/>
      <c r="U43" s="3323"/>
      <c r="V43" s="3323"/>
      <c r="W43" s="332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54" t="s">
        <v>2762</v>
      </c>
      <c r="H50" s="3324"/>
      <c r="I50" s="1816" t="s">
        <v>2799</v>
      </c>
      <c r="J50" s="1816" t="str">
        <f>项目基本情况!F35</f>
        <v>江苏省宿迁市</v>
      </c>
      <c r="K50" s="2708" t="s">
        <v>2764</v>
      </c>
      <c r="L50" s="1108"/>
      <c r="M50" s="1146"/>
      <c r="N50" s="1146"/>
      <c r="O50" s="1146"/>
    </row>
    <row r="51" spans="1:17" s="691" customFormat="1">
      <c r="A51" s="687" t="s">
        <v>2765</v>
      </c>
      <c r="B51" s="688" t="e">
        <f>C43</f>
        <v>#DIV/0!</v>
      </c>
      <c r="C51" s="689">
        <v>1</v>
      </c>
      <c r="D51" s="1165">
        <v>1</v>
      </c>
      <c r="E51" s="689">
        <f>'数据-汇总表'!E8+'数据-汇总表'!E9</f>
        <v>4833.9999999999973</v>
      </c>
      <c r="F51" s="690" t="e">
        <f t="shared" ref="F51:F60" si="15">ROUND(B51*E51/10000,0)</f>
        <v>#DIV/0!</v>
      </c>
      <c r="G51" s="3253"/>
      <c r="H51" s="3276"/>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25"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25"/>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25"/>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25"/>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909.82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5.31</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44"/>
      <c r="B4" s="3345"/>
      <c r="C4" s="3345"/>
      <c r="D4" s="3346"/>
      <c r="E4" s="3346"/>
      <c r="F4" s="3346"/>
      <c r="G4" s="3346"/>
      <c r="H4" s="3346"/>
      <c r="I4" s="3346"/>
      <c r="J4" s="3347"/>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30"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5.31</v>
      </c>
      <c r="AA7" s="1608"/>
      <c r="AB7" s="1608"/>
      <c r="AC7" s="1609"/>
      <c r="AD7" s="1610"/>
      <c r="AE7" s="1610"/>
      <c r="AF7" s="1610"/>
      <c r="AG7" s="1610"/>
      <c r="AH7" s="1610"/>
      <c r="AI7" s="1610"/>
      <c r="AJ7" s="1611"/>
    </row>
    <row r="8" spans="1:36" ht="15">
      <c r="A8" s="3331"/>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41" t="s">
        <v>2838</v>
      </c>
      <c r="X8" s="3342"/>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31"/>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43"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31"/>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4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31"/>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43" t="s">
        <v>2862</v>
      </c>
      <c r="X11" s="1616" t="s">
        <v>2863</v>
      </c>
      <c r="Y11" s="1617">
        <f>$G$3</f>
        <v>5.31</v>
      </c>
      <c r="Z11" s="1617">
        <f t="shared" ref="Z11:AJ11" si="3">$G$3</f>
        <v>5.31</v>
      </c>
      <c r="AA11" s="1617">
        <f t="shared" si="3"/>
        <v>5.31</v>
      </c>
      <c r="AB11" s="1617">
        <f t="shared" si="3"/>
        <v>5.31</v>
      </c>
      <c r="AC11" s="1617">
        <f t="shared" si="3"/>
        <v>5.31</v>
      </c>
      <c r="AD11" s="1617">
        <f t="shared" si="3"/>
        <v>5.31</v>
      </c>
      <c r="AE11" s="1617">
        <f t="shared" si="3"/>
        <v>5.31</v>
      </c>
      <c r="AF11" s="1617">
        <f t="shared" si="3"/>
        <v>5.31</v>
      </c>
      <c r="AG11" s="1617">
        <f t="shared" si="3"/>
        <v>5.31</v>
      </c>
      <c r="AH11" s="1617">
        <f t="shared" si="3"/>
        <v>5.31</v>
      </c>
      <c r="AI11" s="1617">
        <f t="shared" si="3"/>
        <v>5.31</v>
      </c>
      <c r="AJ11" s="1617">
        <f t="shared" si="3"/>
        <v>5.31</v>
      </c>
    </row>
    <row r="12" spans="1:36" ht="25.5" thickBot="1">
      <c r="A12" s="3330"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43"/>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48"/>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43"/>
      <c r="X13" s="1618"/>
      <c r="Y13" s="1615">
        <f>(-0.163*(Y12^2)-0.59*Y12+7617)*(10^(-4))/Y11</f>
        <v>0.14344632768361584</v>
      </c>
      <c r="Z13" s="1615">
        <f t="shared" ref="Z13:AJ13" si="5">(-0.163*(Z12^2)-0.59*Z12+7617)*(10^(-4))/Z11</f>
        <v>0.14344632768361584</v>
      </c>
      <c r="AA13" s="1615">
        <f t="shared" si="5"/>
        <v>0.14344632768361584</v>
      </c>
      <c r="AB13" s="1615">
        <f t="shared" si="5"/>
        <v>0.14344632768361584</v>
      </c>
      <c r="AC13" s="1615">
        <f t="shared" si="5"/>
        <v>0.14344632768361584</v>
      </c>
      <c r="AD13" s="1615">
        <f t="shared" si="5"/>
        <v>0.14344632768361584</v>
      </c>
      <c r="AE13" s="1615">
        <f t="shared" si="5"/>
        <v>0.14344632768361584</v>
      </c>
      <c r="AF13" s="1615">
        <f t="shared" si="5"/>
        <v>0.14344632768361584</v>
      </c>
      <c r="AG13" s="1615">
        <f t="shared" si="5"/>
        <v>0.14344632768361584</v>
      </c>
      <c r="AH13" s="1615">
        <f t="shared" si="5"/>
        <v>0.14344632768361584</v>
      </c>
      <c r="AI13" s="1615">
        <f t="shared" si="5"/>
        <v>0.14344632768361584</v>
      </c>
      <c r="AJ13" s="1615">
        <f t="shared" si="5"/>
        <v>0.14344632768361584</v>
      </c>
    </row>
    <row r="14" spans="1:36" ht="15">
      <c r="A14" s="3348"/>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49"/>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30"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31"/>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43202</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f>IF(E22=G22,F22,IF(G3&lt;=10,ROUND(F22+(H22-F22)*(G3-E22)/(G22-E22),4),"——"))</f>
        <v>0</v>
      </c>
      <c r="E22" s="915">
        <f>ROUNDDOWN(G3,1)</f>
        <v>5.3</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5.3999999999999995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38"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39"/>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39"/>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40"/>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32" t="s">
        <v>2972</v>
      </c>
      <c r="B90" s="3332"/>
      <c r="C90" s="3332"/>
      <c r="D90" s="3332"/>
      <c r="E90" s="3332"/>
      <c r="F90" s="3332"/>
      <c r="G90" s="3332"/>
      <c r="H90" s="3332"/>
      <c r="I90" s="3332"/>
      <c r="J90" s="3332"/>
      <c r="K90" s="2892"/>
      <c r="L90" s="2892"/>
      <c r="M90" s="2892"/>
      <c r="N90" s="2892"/>
    </row>
    <row r="91" spans="1:37">
      <c r="A91" s="3334" t="s">
        <v>2973</v>
      </c>
      <c r="B91" s="3334" t="s">
        <v>2974</v>
      </c>
      <c r="C91" s="2846" t="s">
        <v>2975</v>
      </c>
      <c r="D91" s="2847"/>
      <c r="E91" s="2847"/>
      <c r="F91" s="2847"/>
      <c r="G91" s="2847"/>
      <c r="H91" s="2847"/>
      <c r="I91" s="2847"/>
      <c r="J91" s="2893"/>
      <c r="K91" s="2894"/>
      <c r="L91" s="2894"/>
      <c r="M91" s="2894"/>
      <c r="N91" s="2894"/>
    </row>
    <row r="92" spans="1:37">
      <c r="A92" s="3334"/>
      <c r="B92" s="3334"/>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35"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6"/>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3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5" t="s">
        <v>2977</v>
      </c>
      <c r="B101" s="2899" t="s">
        <v>2978</v>
      </c>
      <c r="C101" s="2900">
        <f>$G$3</f>
        <v>5.31</v>
      </c>
      <c r="D101" s="2900">
        <f t="shared" ref="D101:N101" si="31">$G$3</f>
        <v>5.31</v>
      </c>
      <c r="E101" s="2900">
        <f t="shared" si="31"/>
        <v>5.31</v>
      </c>
      <c r="F101" s="2900">
        <f t="shared" si="31"/>
        <v>5.31</v>
      </c>
      <c r="G101" s="2900">
        <f t="shared" si="31"/>
        <v>5.31</v>
      </c>
      <c r="H101" s="2900">
        <f t="shared" si="31"/>
        <v>5.31</v>
      </c>
      <c r="I101" s="2900">
        <f t="shared" si="31"/>
        <v>5.31</v>
      </c>
      <c r="J101" s="2900">
        <f t="shared" si="31"/>
        <v>5.31</v>
      </c>
      <c r="K101" s="2900">
        <f t="shared" si="31"/>
        <v>5.31</v>
      </c>
      <c r="L101" s="2900">
        <f t="shared" si="31"/>
        <v>5.31</v>
      </c>
      <c r="M101" s="2900">
        <f t="shared" si="31"/>
        <v>5.31</v>
      </c>
      <c r="N101" s="2900">
        <f t="shared" si="31"/>
        <v>5.31</v>
      </c>
    </row>
    <row r="102" spans="1:14">
      <c r="A102" s="3336"/>
      <c r="B102" s="2895">
        <v>1</v>
      </c>
      <c r="C102" s="2896">
        <f>1.9362/C101</f>
        <v>0.36463276836158193</v>
      </c>
      <c r="D102" s="2896">
        <f>1.9362/D101</f>
        <v>0.36463276836158193</v>
      </c>
      <c r="E102" s="2896">
        <f>1.8629/E101</f>
        <v>0.35082862523540492</v>
      </c>
      <c r="F102" s="2896">
        <f>1.8629/F101</f>
        <v>0.35082862523540492</v>
      </c>
      <c r="G102" s="2896">
        <f>1.8629/G101</f>
        <v>0.35082862523540492</v>
      </c>
      <c r="H102" s="2896">
        <f>1.8629/H101</f>
        <v>0.35082862523540492</v>
      </c>
      <c r="I102" s="2896">
        <f>1.8629/I101</f>
        <v>0.35082862523540492</v>
      </c>
      <c r="J102" s="2896">
        <f>1.942/J101</f>
        <v>0.3657250470809793</v>
      </c>
      <c r="K102" s="2896">
        <f>1.942/K101</f>
        <v>0.3657250470809793</v>
      </c>
      <c r="L102" s="2896">
        <f>1.942/L101</f>
        <v>0.3657250470809793</v>
      </c>
      <c r="M102" s="2896">
        <f>1.942/M101</f>
        <v>0.3657250470809793</v>
      </c>
      <c r="N102" s="2896">
        <f>1.942/N101</f>
        <v>0.3657250470809793</v>
      </c>
    </row>
    <row r="103" spans="1:14">
      <c r="A103" s="3336"/>
      <c r="B103" s="2895">
        <v>2</v>
      </c>
      <c r="C103" s="2896">
        <f>1.4198/C101</f>
        <v>0.26738229755178911</v>
      </c>
      <c r="D103" s="2896">
        <f>1.4198/D101</f>
        <v>0.26738229755178911</v>
      </c>
      <c r="E103" s="2896">
        <f>1.3372/E101</f>
        <v>0.25182674199623351</v>
      </c>
      <c r="F103" s="2896">
        <f>1.3372/F101</f>
        <v>0.25182674199623351</v>
      </c>
      <c r="G103" s="2896">
        <f>1.3372/G101</f>
        <v>0.25182674199623351</v>
      </c>
      <c r="H103" s="2896">
        <f>1.3372/H101</f>
        <v>0.25182674199623351</v>
      </c>
      <c r="I103" s="2896">
        <f>1.3372/I101</f>
        <v>0.25182674199623351</v>
      </c>
      <c r="J103" s="2896">
        <f>1.2799/J101</f>
        <v>0.24103578154425614</v>
      </c>
      <c r="K103" s="2896">
        <f>1.2799/K101</f>
        <v>0.24103578154425614</v>
      </c>
      <c r="L103" s="2896">
        <f>1.2799/L101</f>
        <v>0.24103578154425614</v>
      </c>
      <c r="M103" s="2896">
        <f>1.2799/M101</f>
        <v>0.24103578154425614</v>
      </c>
      <c r="N103" s="2896">
        <f>1.2799/N101</f>
        <v>0.24103578154425614</v>
      </c>
    </row>
    <row r="104" spans="1:14">
      <c r="A104" s="3336"/>
      <c r="B104" s="2895">
        <v>3</v>
      </c>
      <c r="C104" s="2896">
        <f>1.1594/C101</f>
        <v>0.21834274952919022</v>
      </c>
      <c r="D104" s="2896">
        <f>1.1594/D101</f>
        <v>0.21834274952919022</v>
      </c>
      <c r="E104" s="2896">
        <f>1.0788/E101</f>
        <v>0.20316384180790961</v>
      </c>
      <c r="F104" s="2896">
        <f>1.0788/F101</f>
        <v>0.20316384180790961</v>
      </c>
      <c r="G104" s="2896">
        <f>1.0788/G101</f>
        <v>0.20316384180790961</v>
      </c>
      <c r="H104" s="2896">
        <f>1.0788/H101</f>
        <v>0.20316384180790961</v>
      </c>
      <c r="I104" s="2896">
        <f>1.0788/I101</f>
        <v>0.20316384180790961</v>
      </c>
      <c r="J104" s="2896">
        <f>1.0072/J101</f>
        <v>0.18967984934086632</v>
      </c>
      <c r="K104" s="2896">
        <f>1.0072/K101</f>
        <v>0.18967984934086632</v>
      </c>
      <c r="L104" s="2896">
        <f>1.0072/L101</f>
        <v>0.18967984934086632</v>
      </c>
      <c r="M104" s="2896">
        <f>1.0072/M101</f>
        <v>0.18967984934086632</v>
      </c>
      <c r="N104" s="2896">
        <f>1.0072/N101</f>
        <v>0.18967984934086632</v>
      </c>
    </row>
    <row r="105" spans="1:14">
      <c r="A105" s="3336"/>
      <c r="B105" s="2895">
        <v>4</v>
      </c>
      <c r="C105" s="2896">
        <f>0.9622/C101</f>
        <v>0.18120527306967987</v>
      </c>
      <c r="D105" s="2896">
        <f>0.9622/D101</f>
        <v>0.18120527306967987</v>
      </c>
      <c r="E105" s="2896">
        <f>0.8656/E101</f>
        <v>0.16301318267419965</v>
      </c>
      <c r="F105" s="2896">
        <f>0.8656/F101</f>
        <v>0.16301318267419965</v>
      </c>
      <c r="G105" s="2896">
        <f>0.8656/G101</f>
        <v>0.16301318267419965</v>
      </c>
      <c r="H105" s="2896">
        <f>0.8656/H101</f>
        <v>0.16301318267419965</v>
      </c>
      <c r="I105" s="2896">
        <f>0.8656/I101</f>
        <v>0.16301318267419965</v>
      </c>
      <c r="J105" s="2896">
        <f>0.7525/J101</f>
        <v>0.14171374764595104</v>
      </c>
      <c r="K105" s="2896">
        <f>0.7525/K101</f>
        <v>0.14171374764595104</v>
      </c>
      <c r="L105" s="2896">
        <f>0.7525/L101</f>
        <v>0.14171374764595104</v>
      </c>
      <c r="M105" s="2896">
        <f>0.7525/M101</f>
        <v>0.14171374764595104</v>
      </c>
      <c r="N105" s="2896">
        <f>0.7525/N101</f>
        <v>0.14171374764595104</v>
      </c>
    </row>
    <row r="106" spans="1:14">
      <c r="A106" s="3336"/>
      <c r="B106" s="2895">
        <v>5</v>
      </c>
      <c r="C106" s="2896">
        <f>0.8417/C101</f>
        <v>0.15851224105461395</v>
      </c>
      <c r="D106" s="2896">
        <f>0.8417/D101</f>
        <v>0.15851224105461395</v>
      </c>
      <c r="E106" s="2896">
        <f>0.7371/E101</f>
        <v>0.1388135593220339</v>
      </c>
      <c r="F106" s="2896">
        <f>0.7371/F101</f>
        <v>0.1388135593220339</v>
      </c>
      <c r="G106" s="2896">
        <f>0.7371/G101</f>
        <v>0.1388135593220339</v>
      </c>
      <c r="H106" s="2896">
        <f>0.7371/H101</f>
        <v>0.1388135593220339</v>
      </c>
      <c r="I106" s="2896">
        <f>0.7371/I101</f>
        <v>0.1388135593220339</v>
      </c>
      <c r="J106" s="2896">
        <f>0.5659/J101</f>
        <v>0.10657250470809793</v>
      </c>
      <c r="K106" s="2896">
        <f>0.5659/K101</f>
        <v>0.10657250470809793</v>
      </c>
      <c r="L106" s="2896">
        <f>0.5659/L101</f>
        <v>0.10657250470809793</v>
      </c>
      <c r="M106" s="2896">
        <f>0.5659/M101</f>
        <v>0.10657250470809793</v>
      </c>
      <c r="N106" s="2896">
        <f>0.5659/N101</f>
        <v>0.10657250470809793</v>
      </c>
    </row>
    <row r="107" spans="1:14">
      <c r="A107" s="3336"/>
      <c r="B107" s="2895">
        <v>6</v>
      </c>
      <c r="C107" s="2896">
        <f>0.7608/C101</f>
        <v>0.14327683615819212</v>
      </c>
      <c r="D107" s="2896">
        <f>0.7608/D101</f>
        <v>0.14327683615819212</v>
      </c>
      <c r="E107" s="2896">
        <f>0.6482/E101</f>
        <v>0.12207156308851225</v>
      </c>
      <c r="F107" s="2896">
        <f>0.6482/F101</f>
        <v>0.12207156308851225</v>
      </c>
      <c r="G107" s="2896">
        <f>0.6482/G101</f>
        <v>0.12207156308851225</v>
      </c>
      <c r="H107" s="2896">
        <f>0.6482/H101</f>
        <v>0.12207156308851225</v>
      </c>
      <c r="I107" s="2896">
        <f>0.6482/I101</f>
        <v>0.12207156308851225</v>
      </c>
      <c r="J107" s="2896">
        <f>0.4525/J101</f>
        <v>8.5216572504708113E-2</v>
      </c>
      <c r="K107" s="2896">
        <f>0.4525/K101</f>
        <v>8.5216572504708113E-2</v>
      </c>
      <c r="L107" s="2896">
        <f>0.4525/L101</f>
        <v>8.5216572504708113E-2</v>
      </c>
      <c r="M107" s="2896">
        <f>0.4525/M101</f>
        <v>8.5216572504708113E-2</v>
      </c>
      <c r="N107" s="2896">
        <f>0.4525/N101</f>
        <v>8.5216572504708113E-2</v>
      </c>
    </row>
    <row r="108" spans="1:14">
      <c r="A108" s="3336"/>
      <c r="B108" s="3160"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37"/>
      <c r="B109" s="3161"/>
      <c r="C109" s="2898">
        <f>(-0.163*(C108^2)-0.59*C108+7617)*(10^(-4))/C101</f>
        <v>0.14344632768361584</v>
      </c>
      <c r="D109" s="2898">
        <f>(-0.163*(D108^2)-0.59*D108+7617)*(10^(-4))/D101</f>
        <v>0.14344632768361584</v>
      </c>
      <c r="E109" s="2898">
        <f>(-0.161*(E108^2)-7.509*E108+6533)*(10^(-4))/E101</f>
        <v>0.12303201506591338</v>
      </c>
      <c r="F109" s="2898">
        <f>(-0.161*(F108^2)-7.509*F108+6533)*(10^(-4))/F101</f>
        <v>0.12303201506591338</v>
      </c>
      <c r="G109" s="2898">
        <f>(-0.161*(G108^2)-7.509*G108+6533)*(10^(-4))/G101</f>
        <v>0.12303201506591338</v>
      </c>
      <c r="H109" s="2898">
        <f>(-0.161*(H108^2)-7.509*H108+6533)*(10^(-4))/H101</f>
        <v>0.12303201506591338</v>
      </c>
      <c r="I109" s="2898">
        <f>(-0.161*(I108^2)-7.509*I108+6533)*(10^(-4))/I101</f>
        <v>0.12303201506591338</v>
      </c>
      <c r="J109" s="2898">
        <f>(-0.214*(J108^2)-21.991*J108+4665)*(10^(-4))/J101</f>
        <v>8.785310734463278E-2</v>
      </c>
      <c r="K109" s="2898">
        <f>(-0.214*(K108^2)-21.991*K108+4665)*(10^(-4))/K101</f>
        <v>8.785310734463278E-2</v>
      </c>
      <c r="L109" s="2898">
        <f>(-0.214*(L108^2)-21.991*L108+4665)*(10^(-4))/L101</f>
        <v>8.785310734463278E-2</v>
      </c>
      <c r="M109" s="2898">
        <f>(-0.214*(M108^2)-21.991*M108+4665)*(10^(-4))/M101</f>
        <v>8.785310734463278E-2</v>
      </c>
      <c r="N109" s="2898">
        <f>(-0.214*(N108^2)-21.991*N108+4665)*(10^(-4))/N101</f>
        <v>8.785310734463278E-2</v>
      </c>
    </row>
    <row r="110" spans="1:14">
      <c r="A110" s="3333" t="s">
        <v>2980</v>
      </c>
      <c r="B110" s="3333"/>
      <c r="C110" s="3333"/>
      <c r="D110" s="3333"/>
      <c r="E110" s="3333"/>
      <c r="F110" s="3333"/>
      <c r="G110" s="3333"/>
      <c r="H110" s="3333"/>
      <c r="I110" s="3333"/>
      <c r="J110" s="3333"/>
      <c r="K110" s="2901"/>
      <c r="L110" s="2901"/>
      <c r="M110" s="2901"/>
      <c r="N110" s="2901"/>
    </row>
    <row r="112" spans="1:14" ht="13.5" thickBot="1"/>
    <row r="113" spans="1:13" ht="25.5" thickBot="1">
      <c r="A113" s="902" t="s">
        <v>2981</v>
      </c>
      <c r="B113" s="1289">
        <f>G3</f>
        <v>5.31</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0.88360000000000005</v>
      </c>
      <c r="C115" s="909">
        <f>B115</f>
        <v>0.88360000000000005</v>
      </c>
      <c r="D115" s="909">
        <f>ROUND(0.8331-0.0109*B113,4)</f>
        <v>0.7752</v>
      </c>
      <c r="E115" s="909">
        <f>D115</f>
        <v>0.7752</v>
      </c>
      <c r="F115" s="909">
        <f>E115</f>
        <v>0.7752</v>
      </c>
      <c r="G115" s="909">
        <f>F115</f>
        <v>0.7752</v>
      </c>
      <c r="H115" s="909">
        <f>G115</f>
        <v>0.7752</v>
      </c>
      <c r="I115" s="909">
        <f>ROUND(0.689-0.0155*B113,4)</f>
        <v>0.60670000000000002</v>
      </c>
      <c r="J115" s="909">
        <f t="shared" ref="J115:M118" si="33">I115</f>
        <v>0.60670000000000002</v>
      </c>
      <c r="K115" s="909">
        <f t="shared" si="33"/>
        <v>0.60670000000000002</v>
      </c>
      <c r="L115" s="909">
        <f t="shared" si="33"/>
        <v>0.60670000000000002</v>
      </c>
      <c r="M115" s="910">
        <f t="shared" si="33"/>
        <v>0.60670000000000002</v>
      </c>
    </row>
    <row r="116" spans="1:13">
      <c r="A116" s="908" t="s">
        <v>2878</v>
      </c>
      <c r="B116" s="909">
        <f>ROUND(0.949-0.012*B113,4)</f>
        <v>0.88529999999999998</v>
      </c>
      <c r="C116" s="909">
        <f>B116</f>
        <v>0.88529999999999998</v>
      </c>
      <c r="D116" s="909">
        <f>ROUND(0.8567-0.013*B113,4)</f>
        <v>0.78769999999999996</v>
      </c>
      <c r="E116" s="909">
        <f t="shared" ref="E116:H117" si="34">D116</f>
        <v>0.78769999999999996</v>
      </c>
      <c r="F116" s="909">
        <f t="shared" si="34"/>
        <v>0.78769999999999996</v>
      </c>
      <c r="G116" s="909">
        <f t="shared" si="34"/>
        <v>0.78769999999999996</v>
      </c>
      <c r="H116" s="909">
        <f t="shared" si="34"/>
        <v>0.78769999999999996</v>
      </c>
      <c r="I116" s="909">
        <f>ROUND(0.7694-0.014*B113,4)</f>
        <v>0.69510000000000005</v>
      </c>
      <c r="J116" s="909">
        <f t="shared" si="33"/>
        <v>0.69510000000000005</v>
      </c>
      <c r="K116" s="909">
        <f t="shared" si="33"/>
        <v>0.69510000000000005</v>
      </c>
      <c r="L116" s="909">
        <f t="shared" si="33"/>
        <v>0.69510000000000005</v>
      </c>
      <c r="M116" s="910">
        <f t="shared" si="33"/>
        <v>0.69510000000000005</v>
      </c>
    </row>
    <row r="117" spans="1:13">
      <c r="A117" s="908" t="s">
        <v>2879</v>
      </c>
      <c r="B117" s="909">
        <f>ROUND(0.8808-0.006*B113,4)</f>
        <v>0.84889999999999999</v>
      </c>
      <c r="C117" s="909">
        <f>B117</f>
        <v>0.84889999999999999</v>
      </c>
      <c r="D117" s="909">
        <f>ROUND(0.8748-0.008*B113,4)</f>
        <v>0.83230000000000004</v>
      </c>
      <c r="E117" s="909">
        <f t="shared" si="34"/>
        <v>0.83230000000000004</v>
      </c>
      <c r="F117" s="909">
        <f t="shared" si="34"/>
        <v>0.83230000000000004</v>
      </c>
      <c r="G117" s="909">
        <f t="shared" si="34"/>
        <v>0.83230000000000004</v>
      </c>
      <c r="H117" s="909">
        <f t="shared" si="34"/>
        <v>0.83230000000000004</v>
      </c>
      <c r="I117" s="909">
        <f>ROUND(0.7412-0.0095*B113,4)</f>
        <v>0.69079999999999997</v>
      </c>
      <c r="J117" s="909">
        <f t="shared" si="33"/>
        <v>0.69079999999999997</v>
      </c>
      <c r="K117" s="909">
        <f t="shared" si="33"/>
        <v>0.69079999999999997</v>
      </c>
      <c r="L117" s="909">
        <f t="shared" si="33"/>
        <v>0.69079999999999997</v>
      </c>
      <c r="M117" s="910">
        <f t="shared" si="33"/>
        <v>0.69079999999999997</v>
      </c>
    </row>
    <row r="118" spans="1:13" ht="13.5" thickBot="1">
      <c r="A118" s="713" t="s">
        <v>2880</v>
      </c>
      <c r="B118" s="911">
        <f>ROUND(0.7275-0.01*B113,4)</f>
        <v>0.6744</v>
      </c>
      <c r="C118" s="911">
        <f>B118</f>
        <v>0.6744</v>
      </c>
      <c r="D118" s="911">
        <f>ROUND(0.7043-0.012*B113,4)</f>
        <v>0.64059999999999995</v>
      </c>
      <c r="E118" s="911">
        <f>D118</f>
        <v>0.64059999999999995</v>
      </c>
      <c r="F118" s="911">
        <f>E118</f>
        <v>0.64059999999999995</v>
      </c>
      <c r="G118" s="911">
        <f>ROUND(0.6299-0.0122*B113,4)</f>
        <v>0.56510000000000005</v>
      </c>
      <c r="H118" s="911">
        <f>G118</f>
        <v>0.56510000000000005</v>
      </c>
      <c r="I118" s="911">
        <f>ROUND(0.5667-0.0136*B113,4)</f>
        <v>0.4945</v>
      </c>
      <c r="J118" s="911">
        <f t="shared" si="33"/>
        <v>0.4945</v>
      </c>
      <c r="K118" s="911">
        <f t="shared" si="33"/>
        <v>0.4945</v>
      </c>
      <c r="L118" s="911">
        <f t="shared" si="33"/>
        <v>0.4945</v>
      </c>
      <c r="M118" s="912">
        <f t="shared" si="33"/>
        <v>0.4945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50" t="s">
        <v>183</v>
      </c>
      <c r="B18" s="881" t="s">
        <v>560</v>
      </c>
      <c r="C18" s="882" t="s">
        <v>561</v>
      </c>
      <c r="D18" s="883"/>
      <c r="E18" s="881">
        <v>1</v>
      </c>
      <c r="F18" s="884" t="s">
        <v>562</v>
      </c>
      <c r="G18" s="885"/>
      <c r="H18" s="877"/>
      <c r="I18" s="877"/>
    </row>
    <row r="19" spans="1:9" s="886" customFormat="1" ht="19.5" customHeight="1">
      <c r="A19" s="3350"/>
      <c r="B19" s="3350" t="s">
        <v>563</v>
      </c>
      <c r="C19" s="882" t="s">
        <v>564</v>
      </c>
      <c r="D19" s="883"/>
      <c r="E19" s="881">
        <v>0.9</v>
      </c>
      <c r="F19" s="884" t="s">
        <v>565</v>
      </c>
      <c r="G19" s="885"/>
      <c r="H19" s="877"/>
      <c r="I19" s="877"/>
    </row>
    <row r="20" spans="1:9" s="886" customFormat="1" ht="19.5" customHeight="1">
      <c r="A20" s="3350"/>
      <c r="B20" s="3350"/>
      <c r="C20" s="882" t="s">
        <v>566</v>
      </c>
      <c r="D20" s="883"/>
      <c r="E20" s="881">
        <v>1.1000000000000001</v>
      </c>
      <c r="F20" s="884" t="s">
        <v>567</v>
      </c>
      <c r="G20" s="885"/>
      <c r="H20" s="877"/>
      <c r="I20" s="877"/>
    </row>
    <row r="21" spans="1:9" s="886" customFormat="1" ht="19.5" customHeight="1">
      <c r="A21" s="3350"/>
      <c r="B21" s="3350"/>
      <c r="C21" s="882" t="s">
        <v>568</v>
      </c>
      <c r="D21" s="883"/>
      <c r="E21" s="881">
        <v>0.8</v>
      </c>
      <c r="F21" s="884" t="s">
        <v>569</v>
      </c>
      <c r="G21" s="885"/>
      <c r="H21" s="877"/>
      <c r="I21" s="877"/>
    </row>
    <row r="22" spans="1:9" s="886" customFormat="1" ht="19.5" customHeight="1">
      <c r="A22" s="3350"/>
      <c r="B22" s="3350"/>
      <c r="C22" s="882" t="s">
        <v>570</v>
      </c>
      <c r="D22" s="883"/>
      <c r="E22" s="881">
        <v>0.5</v>
      </c>
      <c r="F22" s="884"/>
      <c r="G22" s="885"/>
      <c r="H22" s="877"/>
      <c r="I22" s="877"/>
    </row>
    <row r="23" spans="1:9" s="886" customFormat="1" ht="19.5" customHeight="1">
      <c r="A23" s="3350" t="s">
        <v>184</v>
      </c>
      <c r="B23" s="881" t="s">
        <v>560</v>
      </c>
      <c r="C23" s="882" t="s">
        <v>571</v>
      </c>
      <c r="D23" s="883"/>
      <c r="E23" s="881">
        <v>1</v>
      </c>
      <c r="F23" s="884" t="s">
        <v>572</v>
      </c>
      <c r="G23" s="885"/>
      <c r="H23" s="877"/>
      <c r="I23" s="877"/>
    </row>
    <row r="24" spans="1:9" s="886" customFormat="1" ht="19.5" customHeight="1">
      <c r="A24" s="3350"/>
      <c r="B24" s="3350" t="s">
        <v>563</v>
      </c>
      <c r="C24" s="882" t="s">
        <v>573</v>
      </c>
      <c r="D24" s="883"/>
      <c r="E24" s="881">
        <v>0.5</v>
      </c>
      <c r="F24" s="884"/>
      <c r="G24" s="885"/>
      <c r="H24" s="877"/>
      <c r="I24" s="877"/>
    </row>
    <row r="25" spans="1:9" s="886" customFormat="1" ht="19.5" customHeight="1">
      <c r="A25" s="3350"/>
      <c r="B25" s="3350"/>
      <c r="C25" s="882" t="s">
        <v>574</v>
      </c>
      <c r="D25" s="883"/>
      <c r="E25" s="881">
        <v>1.1000000000000001</v>
      </c>
      <c r="F25" s="884"/>
      <c r="G25" s="885"/>
      <c r="H25" s="877"/>
      <c r="I25" s="877"/>
    </row>
    <row r="26" spans="1:9" s="886" customFormat="1" ht="19.5" customHeight="1">
      <c r="A26" s="3350"/>
      <c r="B26" s="3350"/>
      <c r="C26" s="882" t="s">
        <v>575</v>
      </c>
      <c r="D26" s="883"/>
      <c r="E26" s="881">
        <v>1.1000000000000001</v>
      </c>
      <c r="F26" s="884"/>
      <c r="G26" s="885"/>
      <c r="H26" s="877"/>
      <c r="I26" s="877"/>
    </row>
    <row r="27" spans="1:9" s="886" customFormat="1" ht="19.5" customHeight="1">
      <c r="A27" s="3350"/>
      <c r="B27" s="3350"/>
      <c r="C27" s="882" t="s">
        <v>576</v>
      </c>
      <c r="D27" s="883"/>
      <c r="E27" s="881">
        <v>0.9</v>
      </c>
      <c r="F27" s="884" t="s">
        <v>577</v>
      </c>
      <c r="G27" s="885"/>
      <c r="H27" s="877"/>
      <c r="I27" s="877"/>
    </row>
    <row r="28" spans="1:9" s="886" customFormat="1" ht="19.5" customHeight="1">
      <c r="A28" s="3350"/>
      <c r="B28" s="3350"/>
      <c r="C28" s="882" t="s">
        <v>578</v>
      </c>
      <c r="D28" s="883"/>
      <c r="E28" s="881">
        <v>0.9</v>
      </c>
      <c r="F28" s="884" t="s">
        <v>579</v>
      </c>
      <c r="G28" s="885"/>
      <c r="H28" s="877"/>
      <c r="I28" s="877"/>
    </row>
    <row r="29" spans="1:9" s="886" customFormat="1" ht="19.5" customHeight="1">
      <c r="A29" s="3350"/>
      <c r="B29" s="3350"/>
      <c r="C29" s="882" t="s">
        <v>580</v>
      </c>
      <c r="D29" s="883"/>
      <c r="E29" s="881">
        <v>0.9</v>
      </c>
      <c r="F29" s="884" t="s">
        <v>581</v>
      </c>
      <c r="G29" s="885"/>
      <c r="H29" s="877"/>
      <c r="I29" s="877"/>
    </row>
    <row r="30" spans="1:9" s="886" customFormat="1" ht="19.5" customHeight="1">
      <c r="A30" s="3350"/>
      <c r="B30" s="3350"/>
      <c r="C30" s="882" t="s">
        <v>582</v>
      </c>
      <c r="D30" s="883"/>
      <c r="E30" s="881">
        <v>0.9</v>
      </c>
      <c r="F30" s="884" t="s">
        <v>583</v>
      </c>
      <c r="G30" s="885"/>
      <c r="H30" s="877"/>
      <c r="I30" s="877"/>
    </row>
    <row r="31" spans="1:9" s="886" customFormat="1" ht="19.5" customHeight="1">
      <c r="A31" s="3350"/>
      <c r="B31" s="3350"/>
      <c r="C31" s="882" t="s">
        <v>584</v>
      </c>
      <c r="D31" s="883"/>
      <c r="E31" s="881">
        <v>0.8</v>
      </c>
      <c r="F31" s="884" t="s">
        <v>585</v>
      </c>
      <c r="G31" s="885"/>
      <c r="H31" s="877"/>
      <c r="I31" s="877"/>
    </row>
    <row r="32" spans="1:9" s="886" customFormat="1" ht="19.5" customHeight="1">
      <c r="A32" s="3350"/>
      <c r="B32" s="3350"/>
      <c r="C32" s="882" t="s">
        <v>586</v>
      </c>
      <c r="D32" s="883"/>
      <c r="E32" s="881">
        <v>0.8</v>
      </c>
      <c r="F32" s="884" t="s">
        <v>587</v>
      </c>
      <c r="G32" s="885"/>
      <c r="H32" s="877"/>
      <c r="I32" s="877"/>
    </row>
    <row r="33" spans="1:9" s="886" customFormat="1" ht="19.5" customHeight="1">
      <c r="A33" s="3350" t="s">
        <v>185</v>
      </c>
      <c r="B33" s="881" t="s">
        <v>560</v>
      </c>
      <c r="C33" s="882" t="s">
        <v>588</v>
      </c>
      <c r="D33" s="883"/>
      <c r="E33" s="881">
        <v>1</v>
      </c>
      <c r="F33" s="884" t="s">
        <v>589</v>
      </c>
      <c r="G33" s="885"/>
      <c r="H33" s="877"/>
      <c r="I33" s="877"/>
    </row>
    <row r="34" spans="1:9" s="886" customFormat="1" ht="19.5" customHeight="1">
      <c r="A34" s="3350"/>
      <c r="B34" s="881" t="s">
        <v>563</v>
      </c>
      <c r="C34" s="882" t="s">
        <v>590</v>
      </c>
      <c r="D34" s="883"/>
      <c r="E34" s="881">
        <v>1.5</v>
      </c>
      <c r="F34" s="884" t="s">
        <v>591</v>
      </c>
      <c r="G34" s="885"/>
      <c r="H34" s="877"/>
      <c r="I34" s="877"/>
    </row>
    <row r="35" spans="1:9" s="886" customFormat="1" ht="19.5" customHeight="1">
      <c r="A35" s="3350" t="s">
        <v>186</v>
      </c>
      <c r="B35" s="881" t="s">
        <v>560</v>
      </c>
      <c r="C35" s="882" t="s">
        <v>592</v>
      </c>
      <c r="D35" s="883"/>
      <c r="E35" s="881">
        <v>1</v>
      </c>
      <c r="F35" s="884" t="s">
        <v>593</v>
      </c>
      <c r="G35" s="885"/>
      <c r="H35" s="877"/>
      <c r="I35" s="877"/>
    </row>
    <row r="36" spans="1:9" s="886" customFormat="1" ht="19.5" customHeight="1">
      <c r="A36" s="3350"/>
      <c r="B36" s="3350" t="s">
        <v>563</v>
      </c>
      <c r="C36" s="882" t="s">
        <v>594</v>
      </c>
      <c r="D36" s="883"/>
      <c r="E36" s="881">
        <v>1</v>
      </c>
      <c r="F36" s="884" t="s">
        <v>595</v>
      </c>
      <c r="G36" s="885"/>
      <c r="H36" s="877"/>
      <c r="I36" s="877"/>
    </row>
    <row r="37" spans="1:9" s="886" customFormat="1" ht="19.5" customHeight="1">
      <c r="A37" s="3350"/>
      <c r="B37" s="3350"/>
      <c r="C37" s="882" t="s">
        <v>596</v>
      </c>
      <c r="D37" s="883"/>
      <c r="E37" s="881">
        <v>1.5</v>
      </c>
      <c r="F37" s="884" t="s">
        <v>597</v>
      </c>
      <c r="G37" s="885"/>
      <c r="H37" s="877"/>
      <c r="I37" s="877"/>
    </row>
    <row r="38" spans="1:9" s="886" customFormat="1" ht="19.5" customHeight="1">
      <c r="A38" s="3350"/>
      <c r="B38" s="3350"/>
      <c r="C38" s="882" t="s">
        <v>598</v>
      </c>
      <c r="D38" s="883"/>
      <c r="E38" s="881">
        <v>1</v>
      </c>
      <c r="F38" s="884" t="s">
        <v>599</v>
      </c>
      <c r="G38" s="885"/>
      <c r="H38" s="877"/>
      <c r="I38" s="877"/>
    </row>
    <row r="39" spans="1:9" s="886" customFormat="1" ht="19.5" customHeight="1">
      <c r="A39" s="3350"/>
      <c r="B39" s="335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50" t="s">
        <v>614</v>
      </c>
      <c r="C61" s="817" t="s">
        <v>615</v>
      </c>
      <c r="D61" s="817" t="s">
        <v>616</v>
      </c>
      <c r="E61" s="894">
        <v>0.5</v>
      </c>
      <c r="F61" s="881">
        <v>80</v>
      </c>
    </row>
    <row r="62" spans="1:8" s="877" customFormat="1" ht="24">
      <c r="A62" s="881">
        <v>2</v>
      </c>
      <c r="B62" s="3350"/>
      <c r="C62" s="817" t="s">
        <v>617</v>
      </c>
      <c r="D62" s="817" t="s">
        <v>618</v>
      </c>
      <c r="E62" s="894">
        <v>0.5</v>
      </c>
      <c r="F62" s="881">
        <v>80</v>
      </c>
    </row>
    <row r="63" spans="1:8" s="877" customFormat="1" ht="36">
      <c r="A63" s="881">
        <v>3</v>
      </c>
      <c r="B63" s="3350"/>
      <c r="C63" s="817" t="s">
        <v>619</v>
      </c>
      <c r="D63" s="817" t="s">
        <v>620</v>
      </c>
      <c r="E63" s="894">
        <v>0.5</v>
      </c>
      <c r="F63" s="881">
        <v>80</v>
      </c>
    </row>
    <row r="64" spans="1:8" s="877" customFormat="1" ht="36">
      <c r="A64" s="881">
        <v>4</v>
      </c>
      <c r="B64" s="3350"/>
      <c r="C64" s="817" t="s">
        <v>621</v>
      </c>
      <c r="D64" s="817" t="s">
        <v>622</v>
      </c>
      <c r="E64" s="894">
        <v>0.4</v>
      </c>
      <c r="F64" s="881">
        <v>60</v>
      </c>
    </row>
    <row r="65" spans="1:6" s="877" customFormat="1" ht="36">
      <c r="A65" s="881">
        <v>5</v>
      </c>
      <c r="B65" s="3350"/>
      <c r="C65" s="817" t="s">
        <v>623</v>
      </c>
      <c r="D65" s="817" t="s">
        <v>624</v>
      </c>
      <c r="E65" s="894">
        <v>0.2</v>
      </c>
      <c r="F65" s="881">
        <v>30</v>
      </c>
    </row>
    <row r="66" spans="1:6" s="877" customFormat="1" ht="36">
      <c r="A66" s="881">
        <v>6</v>
      </c>
      <c r="B66" s="3350"/>
      <c r="C66" s="817" t="s">
        <v>625</v>
      </c>
      <c r="D66" s="817" t="s">
        <v>626</v>
      </c>
      <c r="E66" s="894">
        <v>0.3</v>
      </c>
      <c r="F66" s="881">
        <v>50</v>
      </c>
    </row>
    <row r="67" spans="1:6" s="877" customFormat="1" ht="36">
      <c r="A67" s="881">
        <v>7</v>
      </c>
      <c r="B67" s="3350"/>
      <c r="C67" s="817" t="s">
        <v>627</v>
      </c>
      <c r="D67" s="817" t="s">
        <v>628</v>
      </c>
      <c r="E67" s="894">
        <v>0.2</v>
      </c>
      <c r="F67" s="881">
        <v>30</v>
      </c>
    </row>
    <row r="68" spans="1:6" s="877" customFormat="1" ht="36">
      <c r="A68" s="881">
        <v>8</v>
      </c>
      <c r="B68" s="3350"/>
      <c r="C68" s="817" t="s">
        <v>629</v>
      </c>
      <c r="D68" s="817" t="s">
        <v>630</v>
      </c>
      <c r="E68" s="894">
        <v>0.2</v>
      </c>
      <c r="F68" s="881">
        <v>30</v>
      </c>
    </row>
    <row r="69" spans="1:6" s="877" customFormat="1" ht="36">
      <c r="A69" s="881">
        <v>9</v>
      </c>
      <c r="B69" s="3350"/>
      <c r="C69" s="817" t="s">
        <v>631</v>
      </c>
      <c r="D69" s="817" t="s">
        <v>632</v>
      </c>
      <c r="E69" s="894">
        <v>0.2</v>
      </c>
      <c r="F69" s="881">
        <v>30</v>
      </c>
    </row>
    <row r="70" spans="1:6" s="877" customFormat="1" ht="48">
      <c r="A70" s="881">
        <v>10</v>
      </c>
      <c r="B70" s="3350"/>
      <c r="C70" s="817" t="s">
        <v>633</v>
      </c>
      <c r="D70" s="817" t="s">
        <v>634</v>
      </c>
      <c r="E70" s="894">
        <v>0.2</v>
      </c>
      <c r="F70" s="881">
        <v>30</v>
      </c>
    </row>
    <row r="71" spans="1:6" s="877" customFormat="1" ht="48">
      <c r="A71" s="881">
        <v>11</v>
      </c>
      <c r="B71" s="3350"/>
      <c r="C71" s="817" t="s">
        <v>635</v>
      </c>
      <c r="D71" s="817" t="s">
        <v>636</v>
      </c>
      <c r="E71" s="894">
        <v>0.2</v>
      </c>
      <c r="F71" s="881">
        <v>30</v>
      </c>
    </row>
    <row r="72" spans="1:6" s="877" customFormat="1" ht="36">
      <c r="A72" s="881">
        <v>12</v>
      </c>
      <c r="B72" s="3350"/>
      <c r="C72" s="817" t="s">
        <v>637</v>
      </c>
      <c r="D72" s="817" t="s">
        <v>638</v>
      </c>
      <c r="E72" s="894">
        <v>0.5</v>
      </c>
      <c r="F72" s="881">
        <v>80</v>
      </c>
    </row>
    <row r="73" spans="1:6" s="877" customFormat="1" ht="24">
      <c r="A73" s="881">
        <v>13</v>
      </c>
      <c r="B73" s="3350"/>
      <c r="C73" s="817" t="s">
        <v>639</v>
      </c>
      <c r="D73" s="817" t="s">
        <v>640</v>
      </c>
      <c r="E73" s="894">
        <v>0.4</v>
      </c>
      <c r="F73" s="881">
        <v>60</v>
      </c>
    </row>
    <row r="74" spans="1:6" s="877" customFormat="1" ht="24">
      <c r="A74" s="881">
        <v>14</v>
      </c>
      <c r="B74" s="3350"/>
      <c r="C74" s="817" t="s">
        <v>641</v>
      </c>
      <c r="D74" s="817" t="s">
        <v>642</v>
      </c>
      <c r="E74" s="894">
        <v>0.2</v>
      </c>
      <c r="F74" s="881">
        <v>30</v>
      </c>
    </row>
    <row r="75" spans="1:6" s="877" customFormat="1" ht="24">
      <c r="A75" s="881">
        <v>15</v>
      </c>
      <c r="B75" s="3350"/>
      <c r="C75" s="817" t="s">
        <v>643</v>
      </c>
      <c r="D75" s="817" t="s">
        <v>644</v>
      </c>
      <c r="E75" s="894">
        <v>0.2</v>
      </c>
      <c r="F75" s="881">
        <v>30</v>
      </c>
    </row>
    <row r="76" spans="1:6" s="877" customFormat="1" ht="24">
      <c r="A76" s="881">
        <v>16</v>
      </c>
      <c r="B76" s="3350" t="s">
        <v>645</v>
      </c>
      <c r="C76" s="817" t="s">
        <v>646</v>
      </c>
      <c r="D76" s="817" t="s">
        <v>647</v>
      </c>
      <c r="E76" s="894">
        <v>0.5</v>
      </c>
      <c r="F76" s="881">
        <v>80</v>
      </c>
    </row>
    <row r="77" spans="1:6" s="877" customFormat="1" ht="24">
      <c r="A77" s="881">
        <v>17</v>
      </c>
      <c r="B77" s="3350"/>
      <c r="C77" s="817" t="s">
        <v>648</v>
      </c>
      <c r="D77" s="817" t="s">
        <v>649</v>
      </c>
      <c r="E77" s="894">
        <v>0.5</v>
      </c>
      <c r="F77" s="881">
        <v>80</v>
      </c>
    </row>
    <row r="78" spans="1:6" s="877" customFormat="1" ht="24">
      <c r="A78" s="881">
        <v>18</v>
      </c>
      <c r="B78" s="3350"/>
      <c r="C78" s="817" t="s">
        <v>650</v>
      </c>
      <c r="D78" s="817" t="s">
        <v>651</v>
      </c>
      <c r="E78" s="894">
        <v>0.2</v>
      </c>
      <c r="F78" s="881">
        <v>30</v>
      </c>
    </row>
    <row r="79" spans="1:6" s="877" customFormat="1" ht="24">
      <c r="A79" s="881">
        <v>19</v>
      </c>
      <c r="B79" s="3350"/>
      <c r="C79" s="817" t="s">
        <v>652</v>
      </c>
      <c r="D79" s="817" t="s">
        <v>653</v>
      </c>
      <c r="E79" s="894">
        <v>0.5</v>
      </c>
      <c r="F79" s="881">
        <v>80</v>
      </c>
    </row>
    <row r="80" spans="1:6" s="877" customFormat="1" ht="36">
      <c r="A80" s="881">
        <v>20</v>
      </c>
      <c r="B80" s="3350"/>
      <c r="C80" s="817" t="s">
        <v>654</v>
      </c>
      <c r="D80" s="817" t="s">
        <v>655</v>
      </c>
      <c r="E80" s="894">
        <v>0.2</v>
      </c>
      <c r="F80" s="881">
        <v>30</v>
      </c>
    </row>
    <row r="81" spans="1:6" s="877" customFormat="1" ht="36">
      <c r="A81" s="881">
        <v>21</v>
      </c>
      <c r="B81" s="3350"/>
      <c r="C81" s="817" t="s">
        <v>656</v>
      </c>
      <c r="D81" s="817" t="s">
        <v>657</v>
      </c>
      <c r="E81" s="894">
        <v>0.2</v>
      </c>
      <c r="F81" s="881">
        <v>30</v>
      </c>
    </row>
    <row r="82" spans="1:6" s="877" customFormat="1" ht="48">
      <c r="A82" s="881">
        <v>22</v>
      </c>
      <c r="B82" s="3350"/>
      <c r="C82" s="817" t="s">
        <v>658</v>
      </c>
      <c r="D82" s="817" t="s">
        <v>659</v>
      </c>
      <c r="E82" s="894">
        <v>0.2</v>
      </c>
      <c r="F82" s="881">
        <v>30</v>
      </c>
    </row>
    <row r="83" spans="1:6" s="877" customFormat="1" ht="48">
      <c r="A83" s="881">
        <v>23</v>
      </c>
      <c r="B83" s="3350"/>
      <c r="C83" s="817" t="s">
        <v>660</v>
      </c>
      <c r="D83" s="817" t="s">
        <v>661</v>
      </c>
      <c r="E83" s="894">
        <v>0.2</v>
      </c>
      <c r="F83" s="881">
        <v>30</v>
      </c>
    </row>
    <row r="84" spans="1:6" s="877" customFormat="1" ht="36">
      <c r="A84" s="881">
        <v>24</v>
      </c>
      <c r="B84" s="3350"/>
      <c r="C84" s="817" t="s">
        <v>662</v>
      </c>
      <c r="D84" s="817" t="s">
        <v>663</v>
      </c>
      <c r="E84" s="894">
        <v>0.2</v>
      </c>
      <c r="F84" s="881">
        <v>30</v>
      </c>
    </row>
    <row r="85" spans="1:6" s="877" customFormat="1" ht="36">
      <c r="A85" s="881">
        <v>25</v>
      </c>
      <c r="B85" s="3350"/>
      <c r="C85" s="817" t="s">
        <v>664</v>
      </c>
      <c r="D85" s="817" t="s">
        <v>665</v>
      </c>
      <c r="E85" s="894">
        <v>0.5</v>
      </c>
      <c r="F85" s="881">
        <v>80</v>
      </c>
    </row>
    <row r="86" spans="1:6" s="877" customFormat="1" ht="36">
      <c r="A86" s="881">
        <v>26</v>
      </c>
      <c r="B86" s="3350"/>
      <c r="C86" s="817" t="s">
        <v>666</v>
      </c>
      <c r="D86" s="817" t="s">
        <v>667</v>
      </c>
      <c r="E86" s="894">
        <v>0.2</v>
      </c>
      <c r="F86" s="881">
        <v>30</v>
      </c>
    </row>
    <row r="87" spans="1:6" s="877" customFormat="1" ht="36">
      <c r="A87" s="881">
        <v>27</v>
      </c>
      <c r="B87" s="3350"/>
      <c r="C87" s="817" t="s">
        <v>668</v>
      </c>
      <c r="D87" s="817" t="s">
        <v>669</v>
      </c>
      <c r="E87" s="894">
        <v>0.2</v>
      </c>
      <c r="F87" s="881">
        <v>30</v>
      </c>
    </row>
    <row r="88" spans="1:6" s="877" customFormat="1" ht="36">
      <c r="A88" s="881">
        <v>28</v>
      </c>
      <c r="B88" s="3350"/>
      <c r="C88" s="817" t="s">
        <v>670</v>
      </c>
      <c r="D88" s="817" t="s">
        <v>671</v>
      </c>
      <c r="E88" s="894">
        <v>0.2</v>
      </c>
      <c r="F88" s="881">
        <v>30</v>
      </c>
    </row>
    <row r="89" spans="1:6" s="877" customFormat="1" ht="24">
      <c r="A89" s="881">
        <v>29</v>
      </c>
      <c r="B89" s="3350"/>
      <c r="C89" s="817" t="s">
        <v>672</v>
      </c>
      <c r="D89" s="817" t="s">
        <v>673</v>
      </c>
      <c r="E89" s="894">
        <v>0.2</v>
      </c>
      <c r="F89" s="881">
        <v>30</v>
      </c>
    </row>
    <row r="90" spans="1:6" s="877" customFormat="1" ht="24">
      <c r="A90" s="881">
        <v>30</v>
      </c>
      <c r="B90" s="3350"/>
      <c r="C90" s="817" t="s">
        <v>674</v>
      </c>
      <c r="D90" s="817" t="s">
        <v>675</v>
      </c>
      <c r="E90" s="894">
        <v>0.2</v>
      </c>
      <c r="F90" s="881">
        <v>30</v>
      </c>
    </row>
    <row r="91" spans="1:6" s="877" customFormat="1" ht="36">
      <c r="A91" s="881">
        <v>31</v>
      </c>
      <c r="B91" s="3350"/>
      <c r="C91" s="817" t="s">
        <v>676</v>
      </c>
      <c r="D91" s="817" t="s">
        <v>677</v>
      </c>
      <c r="E91" s="894">
        <v>0.2</v>
      </c>
      <c r="F91" s="881">
        <v>30</v>
      </c>
    </row>
    <row r="92" spans="1:6" s="877" customFormat="1" ht="24">
      <c r="A92" s="881">
        <v>32</v>
      </c>
      <c r="B92" s="3350" t="s">
        <v>678</v>
      </c>
      <c r="C92" s="881" t="s">
        <v>679</v>
      </c>
      <c r="D92" s="817" t="s">
        <v>680</v>
      </c>
      <c r="E92" s="894">
        <v>0.2</v>
      </c>
      <c r="F92" s="881">
        <v>30</v>
      </c>
    </row>
    <row r="93" spans="1:6" s="877" customFormat="1" ht="36">
      <c r="A93" s="881">
        <v>33</v>
      </c>
      <c r="B93" s="3350"/>
      <c r="C93" s="881" t="s">
        <v>681</v>
      </c>
      <c r="D93" s="817" t="s">
        <v>682</v>
      </c>
      <c r="E93" s="894">
        <v>0.2</v>
      </c>
      <c r="F93" s="881">
        <v>30</v>
      </c>
    </row>
    <row r="94" spans="1:6" s="877" customFormat="1" ht="48">
      <c r="A94" s="881">
        <v>34</v>
      </c>
      <c r="B94" s="3350"/>
      <c r="C94" s="881" t="s">
        <v>683</v>
      </c>
      <c r="D94" s="817" t="s">
        <v>684</v>
      </c>
      <c r="E94" s="894">
        <v>0.2</v>
      </c>
      <c r="F94" s="881">
        <v>30</v>
      </c>
    </row>
    <row r="95" spans="1:6" s="877" customFormat="1" ht="36">
      <c r="A95" s="881">
        <v>35</v>
      </c>
      <c r="B95" s="3350"/>
      <c r="C95" s="881" t="s">
        <v>685</v>
      </c>
      <c r="D95" s="817" t="s">
        <v>686</v>
      </c>
      <c r="E95" s="894">
        <v>0.2</v>
      </c>
      <c r="F95" s="881">
        <v>30</v>
      </c>
    </row>
    <row r="96" spans="1:6" s="877" customFormat="1" ht="48">
      <c r="A96" s="881">
        <v>36</v>
      </c>
      <c r="B96" s="3350"/>
      <c r="C96" s="817" t="s">
        <v>687</v>
      </c>
      <c r="D96" s="817" t="s">
        <v>688</v>
      </c>
      <c r="E96" s="894">
        <v>0.2</v>
      </c>
      <c r="F96" s="881">
        <v>30</v>
      </c>
    </row>
    <row r="97" spans="1:6" s="877" customFormat="1" ht="36">
      <c r="A97" s="881">
        <v>37</v>
      </c>
      <c r="B97" s="3350"/>
      <c r="C97" s="881" t="s">
        <v>689</v>
      </c>
      <c r="D97" s="817" t="s">
        <v>690</v>
      </c>
      <c r="E97" s="894">
        <v>0.2</v>
      </c>
      <c r="F97" s="881">
        <v>30</v>
      </c>
    </row>
    <row r="98" spans="1:6" s="877" customFormat="1" ht="36">
      <c r="A98" s="881">
        <v>38</v>
      </c>
      <c r="B98" s="3350"/>
      <c r="C98" s="881" t="s">
        <v>691</v>
      </c>
      <c r="D98" s="817" t="s">
        <v>692</v>
      </c>
      <c r="E98" s="894">
        <v>0.2</v>
      </c>
      <c r="F98" s="881">
        <v>30</v>
      </c>
    </row>
    <row r="99" spans="1:6" s="877" customFormat="1" ht="36">
      <c r="A99" s="881">
        <v>39</v>
      </c>
      <c r="B99" s="3350" t="s">
        <v>693</v>
      </c>
      <c r="C99" s="881" t="s">
        <v>694</v>
      </c>
      <c r="D99" s="817" t="s">
        <v>695</v>
      </c>
      <c r="E99" s="894">
        <v>0.3</v>
      </c>
      <c r="F99" s="881">
        <v>50</v>
      </c>
    </row>
    <row r="100" spans="1:6" s="877" customFormat="1" ht="24">
      <c r="A100" s="881">
        <v>40</v>
      </c>
      <c r="B100" s="3350"/>
      <c r="C100" s="881" t="s">
        <v>696</v>
      </c>
      <c r="D100" s="817" t="s">
        <v>697</v>
      </c>
      <c r="E100" s="894">
        <v>0.2</v>
      </c>
      <c r="F100" s="881">
        <v>30</v>
      </c>
    </row>
    <row r="101" spans="1:6" s="877" customFormat="1" ht="36">
      <c r="A101" s="881">
        <v>41</v>
      </c>
      <c r="B101" s="335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50" t="s">
        <v>708</v>
      </c>
      <c r="C105" s="881" t="s">
        <v>709</v>
      </c>
      <c r="D105" s="817" t="s">
        <v>710</v>
      </c>
      <c r="E105" s="894">
        <v>0.2</v>
      </c>
      <c r="F105" s="881">
        <v>30</v>
      </c>
    </row>
    <row r="106" spans="1:6" s="877" customFormat="1" ht="36">
      <c r="A106" s="881">
        <v>46</v>
      </c>
      <c r="B106" s="3350"/>
      <c r="C106" s="881" t="s">
        <v>711</v>
      </c>
      <c r="D106" s="817" t="s">
        <v>712</v>
      </c>
      <c r="E106" s="894">
        <v>0.2</v>
      </c>
      <c r="F106" s="881">
        <v>30</v>
      </c>
    </row>
    <row r="107" spans="1:6" s="877" customFormat="1" ht="36">
      <c r="A107" s="881">
        <v>47</v>
      </c>
      <c r="B107" s="3350" t="s">
        <v>713</v>
      </c>
      <c r="C107" s="881" t="s">
        <v>714</v>
      </c>
      <c r="D107" s="817" t="s">
        <v>715</v>
      </c>
      <c r="E107" s="894">
        <v>0.3</v>
      </c>
      <c r="F107" s="881">
        <v>50</v>
      </c>
    </row>
    <row r="108" spans="1:6" s="877" customFormat="1" ht="36">
      <c r="A108" s="881">
        <v>48</v>
      </c>
      <c r="B108" s="335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50" t="s">
        <v>724</v>
      </c>
      <c r="C111" s="881" t="s">
        <v>725</v>
      </c>
      <c r="D111" s="817" t="s">
        <v>726</v>
      </c>
      <c r="E111" s="894">
        <v>0.2</v>
      </c>
      <c r="F111" s="881">
        <v>30</v>
      </c>
    </row>
    <row r="112" spans="1:6" s="877" customFormat="1" ht="24">
      <c r="A112" s="881">
        <v>52</v>
      </c>
      <c r="B112" s="3350"/>
      <c r="C112" s="881" t="s">
        <v>727</v>
      </c>
      <c r="D112" s="817" t="s">
        <v>728</v>
      </c>
      <c r="E112" s="894">
        <v>0.2</v>
      </c>
      <c r="F112" s="881">
        <v>30</v>
      </c>
    </row>
    <row r="113" spans="1:6" s="877" customFormat="1" ht="24">
      <c r="A113" s="881">
        <v>53</v>
      </c>
      <c r="B113" s="335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50" t="s">
        <v>737</v>
      </c>
      <c r="C116" s="881" t="s">
        <v>738</v>
      </c>
      <c r="D116" s="817" t="s">
        <v>739</v>
      </c>
      <c r="E116" s="894">
        <v>0.2</v>
      </c>
      <c r="F116" s="881">
        <v>30</v>
      </c>
    </row>
    <row r="117" spans="1:6" ht="36">
      <c r="A117" s="881">
        <v>57</v>
      </c>
      <c r="B117" s="335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56" t="s">
        <v>1150</v>
      </c>
      <c r="C1" s="3356"/>
      <c r="D1" s="3356"/>
      <c r="E1" s="3356"/>
      <c r="F1" s="3356"/>
      <c r="G1" s="3352" t="s">
        <v>1151</v>
      </c>
      <c r="H1" s="3352"/>
      <c r="I1" s="3352"/>
      <c r="J1" s="3352"/>
      <c r="K1" s="3352"/>
      <c r="L1" s="3352"/>
      <c r="N1" s="3352" t="s">
        <v>1152</v>
      </c>
      <c r="O1" s="3352"/>
      <c r="P1" s="3352"/>
      <c r="Q1" s="3352"/>
      <c r="R1" s="1448"/>
      <c r="S1" s="3352" t="s">
        <v>1153</v>
      </c>
      <c r="T1" s="3352"/>
      <c r="U1" s="3352"/>
      <c r="V1" s="3352"/>
      <c r="X1" s="3351" t="s">
        <v>1154</v>
      </c>
      <c r="Y1" s="3352"/>
      <c r="Z1" s="3352"/>
      <c r="AA1" s="3352"/>
      <c r="AB1" s="3352"/>
      <c r="AD1" s="3351" t="s">
        <v>1155</v>
      </c>
      <c r="AE1" s="3352"/>
      <c r="AF1" s="3352"/>
      <c r="AG1" s="3352"/>
      <c r="AH1" s="3352"/>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3036</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3037</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3035</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3032</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3033</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57">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54"/>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54"/>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55"/>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53">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54"/>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54"/>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55"/>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53">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54"/>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54"/>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55"/>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58">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59"/>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59"/>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60"/>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53">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54"/>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54"/>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55"/>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53">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54">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54">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55">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53">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54">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54">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55">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53">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54">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54">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55">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53">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54">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54">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55">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53">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54">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54">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55">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53">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54">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54">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55">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53">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54">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54">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55">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53">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54">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54">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55">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53">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54">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54">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55">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53">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54">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54">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55">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123" activePane="bottomLeft" state="frozen"/>
      <selection activeCell="C50" sqref="C50"/>
      <selection pane="bottomLeft" activeCell="U127" sqref="U12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62" t="s">
        <v>3006</v>
      </c>
      <c r="D1" s="3363"/>
      <c r="E1" s="3363"/>
      <c r="F1" s="3363"/>
      <c r="G1" s="3363"/>
      <c r="H1" s="3363"/>
      <c r="I1" s="3363"/>
      <c r="J1" s="3363"/>
      <c r="K1" s="3363"/>
      <c r="L1" s="3363"/>
      <c r="M1" s="3363"/>
      <c r="N1" s="3363"/>
      <c r="O1" s="3363"/>
      <c r="P1" s="3363"/>
      <c r="Q1" s="3363"/>
      <c r="R1" s="3363"/>
      <c r="S1" s="3364"/>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3436</v>
      </c>
      <c r="D17" s="1234" t="s">
        <v>3437</v>
      </c>
      <c r="E17" s="1234" t="s">
        <v>3438</v>
      </c>
      <c r="F17" s="1234" t="s">
        <v>3439</v>
      </c>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70</v>
      </c>
      <c r="E18" s="1246">
        <v>55</v>
      </c>
      <c r="F18" s="1246">
        <v>45</v>
      </c>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13477</v>
      </c>
      <c r="C20" s="168"/>
      <c r="D20" s="2919" t="s">
        <v>70</v>
      </c>
      <c r="E20" s="1795"/>
      <c r="F20" s="1206">
        <f ca="1">SUMIF(INDIRECT("'"&amp;H20&amp;"'"&amp;"!A:A"),"承租人权益价值",INDIRECT("'"&amp;H20&amp;"'"&amp;"!c:c"))</f>
        <v>0</v>
      </c>
      <c r="G20" s="1206" t="s">
        <v>3019</v>
      </c>
      <c r="H20" s="2920" t="s">
        <v>3443</v>
      </c>
      <c r="I20" s="168"/>
      <c r="J20" s="168"/>
      <c r="K20" s="168"/>
      <c r="L20" s="168"/>
      <c r="M20" s="168"/>
      <c r="N20" s="168"/>
      <c r="O20" s="168"/>
      <c r="P20" s="168"/>
      <c r="Q20" s="168"/>
      <c r="R20" s="787"/>
      <c r="S20" s="138"/>
    </row>
    <row r="21" spans="1:45" ht="15.75">
      <c r="A21" s="714" t="s">
        <v>3020</v>
      </c>
      <c r="B21" s="338">
        <f ca="1">R22</f>
        <v>27880</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4833.9999999999973</v>
      </c>
      <c r="C22" s="3141" t="s">
        <v>33</v>
      </c>
      <c r="D22" s="3142"/>
      <c r="E22" s="3142"/>
      <c r="F22" s="3142"/>
      <c r="G22" s="3142"/>
      <c r="H22" s="3142"/>
      <c r="I22" s="3142"/>
      <c r="J22" s="3142"/>
      <c r="K22" s="3142"/>
      <c r="L22" s="3142"/>
      <c r="M22" s="3142"/>
      <c r="N22" s="3142"/>
      <c r="O22" s="3142"/>
      <c r="P22" s="3142"/>
      <c r="Q22" s="3361"/>
      <c r="R22" s="715">
        <f ca="1">ROUND(S22*10000/B22,0)</f>
        <v>27880</v>
      </c>
      <c r="S22" s="24">
        <f ca="1">SUM(S24:S10000)</f>
        <v>13477</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Sheet1!B3</f>
        <v>D1-203</v>
      </c>
      <c r="B24" s="717">
        <f>Sheet1!E3</f>
        <v>168.91</v>
      </c>
      <c r="C24" s="718">
        <v>1</v>
      </c>
      <c r="D24" s="719"/>
      <c r="E24" s="718">
        <v>1</v>
      </c>
      <c r="F24" s="719"/>
      <c r="G24" s="718">
        <v>1</v>
      </c>
      <c r="H24" s="719"/>
      <c r="I24" s="718">
        <v>1</v>
      </c>
      <c r="J24" s="719"/>
      <c r="K24" s="718">
        <v>1</v>
      </c>
      <c r="L24" s="719"/>
      <c r="M24" s="718">
        <v>1</v>
      </c>
      <c r="N24" s="719"/>
      <c r="O24" s="718">
        <v>1</v>
      </c>
      <c r="P24" s="719" t="s">
        <v>3432</v>
      </c>
      <c r="Q24" s="718">
        <v>1</v>
      </c>
      <c r="R24" s="720">
        <f ca="1">结果表!G20</f>
        <v>39417</v>
      </c>
      <c r="S24" s="718">
        <f t="shared" ref="S24:S54" ca="1" si="11">ROUND(R24*B24/10000,0)</f>
        <v>666</v>
      </c>
      <c r="T24" s="799"/>
      <c r="U24" s="799"/>
      <c r="V24" s="799">
        <f>Sheet1!C3</f>
        <v>1</v>
      </c>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Sheet1!B4</f>
        <v>A1-030</v>
      </c>
      <c r="B25" s="717">
        <f>Sheet1!E4</f>
        <v>54.49</v>
      </c>
      <c r="C25" s="24">
        <f>IF(B25="",1,(LOOKUP(B25,$3:$3,$4:$4)-LOOKUP($B$24,$3:$3,$4:$4)+100)/100)</f>
        <v>1.01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3432</v>
      </c>
      <c r="Q25" s="24">
        <f>(SUMIF($17:$17,P25,$18:$18)-SUMIF($17:$17,$P$24,$18:$18)+100)/100</f>
        <v>1</v>
      </c>
      <c r="R25" s="715">
        <f ca="1">IF(B25="",0,ROUND($R$24*C25*E25*G25*I25*K25*M25*O25*Q25,0))</f>
        <v>39811</v>
      </c>
      <c r="S25" s="361">
        <f t="shared" ca="1" si="11"/>
        <v>217</v>
      </c>
      <c r="V25" s="799">
        <f>Sheet1!C4</f>
        <v>1</v>
      </c>
    </row>
    <row r="26" spans="1:45">
      <c r="A26" s="717" t="str">
        <f>Sheet1!B5</f>
        <v>A1-031</v>
      </c>
      <c r="B26" s="717">
        <f>Sheet1!E5</f>
        <v>78.400000000000006</v>
      </c>
      <c r="C26" s="24">
        <f t="shared" ref="C26:C89" si="12">IF(B26="",1,(LOOKUP(B26,$3:$3,$4:$4)-LOOKUP($B$24,$3:$3,$4:$4)+100)/100)</f>
        <v>1.01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3432</v>
      </c>
      <c r="Q26" s="24">
        <f t="shared" ref="Q26:Q89" si="19">(SUMIF($17:$17,P26,$18:$18)-SUMIF($17:$17,$P$24,$18:$18)+100)/100</f>
        <v>1</v>
      </c>
      <c r="R26" s="715">
        <f t="shared" ref="R26:R89" ca="1" si="20">IF(B26="",0,ROUND($R$24*C26*E26*G26*I26*K26*M26*O26*Q26,0))</f>
        <v>39811</v>
      </c>
      <c r="S26" s="361">
        <f t="shared" ca="1" si="11"/>
        <v>312</v>
      </c>
      <c r="V26" s="799">
        <f>Sheet1!C5</f>
        <v>1</v>
      </c>
    </row>
    <row r="27" spans="1:45">
      <c r="A27" s="717" t="str">
        <f>Sheet1!B6</f>
        <v>A1-035</v>
      </c>
      <c r="B27" s="717">
        <f>Sheet1!E6</f>
        <v>40.26</v>
      </c>
      <c r="C27" s="24">
        <f t="shared" si="12"/>
        <v>1.01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3432</v>
      </c>
      <c r="Q27" s="24">
        <f t="shared" si="19"/>
        <v>1</v>
      </c>
      <c r="R27" s="715">
        <f t="shared" ca="1" si="20"/>
        <v>39811</v>
      </c>
      <c r="S27" s="361">
        <f t="shared" ca="1" si="11"/>
        <v>160</v>
      </c>
      <c r="V27" s="799">
        <f>Sheet1!C6</f>
        <v>1</v>
      </c>
    </row>
    <row r="28" spans="1:45">
      <c r="A28" s="717" t="str">
        <f>Sheet1!B7</f>
        <v>A1-036</v>
      </c>
      <c r="B28" s="717">
        <f>Sheet1!E7</f>
        <v>52.64</v>
      </c>
      <c r="C28" s="24">
        <f t="shared" si="12"/>
        <v>1.01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3432</v>
      </c>
      <c r="Q28" s="24">
        <f t="shared" si="19"/>
        <v>1</v>
      </c>
      <c r="R28" s="715">
        <f t="shared" ca="1" si="20"/>
        <v>39811</v>
      </c>
      <c r="S28" s="361">
        <f t="shared" ca="1" si="11"/>
        <v>210</v>
      </c>
      <c r="V28" s="799">
        <f>Sheet1!C7</f>
        <v>1</v>
      </c>
    </row>
    <row r="29" spans="1:45">
      <c r="A29" s="717" t="str">
        <f>Sheet1!B8</f>
        <v>A1-037</v>
      </c>
      <c r="B29" s="717">
        <f>Sheet1!E8</f>
        <v>71.48</v>
      </c>
      <c r="C29" s="24">
        <f t="shared" si="12"/>
        <v>1.01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3432</v>
      </c>
      <c r="Q29" s="24">
        <f t="shared" si="19"/>
        <v>1</v>
      </c>
      <c r="R29" s="715">
        <f t="shared" ca="1" si="20"/>
        <v>39811</v>
      </c>
      <c r="S29" s="361">
        <f t="shared" ca="1" si="11"/>
        <v>285</v>
      </c>
      <c r="V29" s="799">
        <f>Sheet1!C8</f>
        <v>1</v>
      </c>
    </row>
    <row r="30" spans="1:45">
      <c r="A30" s="717" t="str">
        <f>Sheet1!B9</f>
        <v>A1-038</v>
      </c>
      <c r="B30" s="717">
        <f>Sheet1!E9</f>
        <v>42.13</v>
      </c>
      <c r="C30" s="24">
        <f t="shared" si="12"/>
        <v>1.01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3432</v>
      </c>
      <c r="Q30" s="24">
        <f t="shared" si="19"/>
        <v>1</v>
      </c>
      <c r="R30" s="715">
        <f t="shared" ca="1" si="20"/>
        <v>39811</v>
      </c>
      <c r="S30" s="361">
        <f t="shared" ca="1" si="11"/>
        <v>168</v>
      </c>
      <c r="V30" s="799">
        <f>Sheet1!C9</f>
        <v>1</v>
      </c>
    </row>
    <row r="31" spans="1:45">
      <c r="A31" s="717" t="str">
        <f>Sheet1!B10</f>
        <v>A1-045</v>
      </c>
      <c r="B31" s="717">
        <f>Sheet1!E10</f>
        <v>87.18</v>
      </c>
      <c r="C31" s="24">
        <f t="shared" si="12"/>
        <v>1.01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3432</v>
      </c>
      <c r="Q31" s="24">
        <f t="shared" si="19"/>
        <v>1</v>
      </c>
      <c r="R31" s="715">
        <f t="shared" ca="1" si="20"/>
        <v>39811</v>
      </c>
      <c r="S31" s="361">
        <f t="shared" ca="1" si="11"/>
        <v>347</v>
      </c>
      <c r="V31" s="799">
        <f>Sheet1!C10</f>
        <v>1</v>
      </c>
    </row>
    <row r="32" spans="1:45">
      <c r="A32" s="717" t="str">
        <f>Sheet1!B11</f>
        <v>D1-201</v>
      </c>
      <c r="B32" s="717">
        <f>Sheet1!E11</f>
        <v>69</v>
      </c>
      <c r="C32" s="24">
        <f t="shared" si="12"/>
        <v>1.01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3432</v>
      </c>
      <c r="Q32" s="24">
        <f t="shared" si="19"/>
        <v>1</v>
      </c>
      <c r="R32" s="715">
        <f t="shared" ca="1" si="20"/>
        <v>39811</v>
      </c>
      <c r="S32" s="361">
        <f t="shared" ca="1" si="11"/>
        <v>275</v>
      </c>
      <c r="V32" s="799">
        <f>Sheet1!C11</f>
        <v>1</v>
      </c>
    </row>
    <row r="33" spans="1:22">
      <c r="A33" s="717" t="str">
        <f>Sheet1!B12</f>
        <v>C1-003</v>
      </c>
      <c r="B33" s="717">
        <f>Sheet1!E12</f>
        <v>364.9</v>
      </c>
      <c r="C33" s="24">
        <f t="shared" si="12"/>
        <v>0.98</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3432</v>
      </c>
      <c r="Q33" s="24">
        <f t="shared" si="19"/>
        <v>1</v>
      </c>
      <c r="R33" s="715">
        <f t="shared" ca="1" si="20"/>
        <v>38629</v>
      </c>
      <c r="S33" s="361">
        <f t="shared" ca="1" si="11"/>
        <v>1410</v>
      </c>
      <c r="V33" s="799">
        <f>Sheet1!C12</f>
        <v>1</v>
      </c>
    </row>
    <row r="34" spans="1:22">
      <c r="A34" s="717" t="str">
        <f>Sheet1!B13</f>
        <v>C1-004</v>
      </c>
      <c r="B34" s="717">
        <f>Sheet1!E13</f>
        <v>300.77999999999997</v>
      </c>
      <c r="C34" s="24">
        <f t="shared" si="12"/>
        <v>0.98</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t="s">
        <v>3432</v>
      </c>
      <c r="Q34" s="24">
        <f t="shared" si="19"/>
        <v>1</v>
      </c>
      <c r="R34" s="715">
        <f t="shared" ca="1" si="20"/>
        <v>38629</v>
      </c>
      <c r="S34" s="361">
        <f t="shared" ca="1" si="11"/>
        <v>1162</v>
      </c>
      <c r="V34" s="799">
        <f>Sheet1!C13</f>
        <v>1</v>
      </c>
    </row>
    <row r="35" spans="1:22">
      <c r="A35" s="717" t="str">
        <f>Sheet1!B14</f>
        <v>C1-005</v>
      </c>
      <c r="B35" s="717">
        <f>Sheet1!E14</f>
        <v>320.88</v>
      </c>
      <c r="C35" s="24">
        <f t="shared" si="12"/>
        <v>0.98</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t="s">
        <v>3432</v>
      </c>
      <c r="Q35" s="24">
        <f t="shared" si="19"/>
        <v>1</v>
      </c>
      <c r="R35" s="715">
        <f t="shared" ca="1" si="20"/>
        <v>38629</v>
      </c>
      <c r="S35" s="361">
        <f t="shared" ca="1" si="11"/>
        <v>1240</v>
      </c>
      <c r="V35" s="799">
        <f>Sheet1!C14</f>
        <v>1</v>
      </c>
    </row>
    <row r="36" spans="1:22">
      <c r="A36" s="717" t="str">
        <f>Sheet1!B15</f>
        <v>C2-004</v>
      </c>
      <c r="B36" s="717">
        <f>Sheet1!E15</f>
        <v>191.27</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t="s">
        <v>3440</v>
      </c>
      <c r="Q36" s="24">
        <f t="shared" si="19"/>
        <v>0.7</v>
      </c>
      <c r="R36" s="715">
        <f t="shared" ca="1" si="20"/>
        <v>27592</v>
      </c>
      <c r="S36" s="361">
        <f t="shared" ca="1" si="11"/>
        <v>528</v>
      </c>
      <c r="V36" s="799">
        <f>Sheet1!C15</f>
        <v>2</v>
      </c>
    </row>
    <row r="37" spans="1:22">
      <c r="A37" s="717" t="str">
        <f>Sheet1!B16</f>
        <v>A3-002</v>
      </c>
      <c r="B37" s="717">
        <f>Sheet1!E16</f>
        <v>72.510000000000005</v>
      </c>
      <c r="C37" s="24">
        <f t="shared" si="12"/>
        <v>1.01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t="s">
        <v>3441</v>
      </c>
      <c r="Q37" s="24">
        <f t="shared" si="19"/>
        <v>0.55000000000000004</v>
      </c>
      <c r="R37" s="715">
        <f t="shared" ca="1" si="20"/>
        <v>21896</v>
      </c>
      <c r="S37" s="361">
        <f t="shared" ca="1" si="11"/>
        <v>159</v>
      </c>
      <c r="V37" s="799">
        <f>Sheet1!C16</f>
        <v>3</v>
      </c>
    </row>
    <row r="38" spans="1:22">
      <c r="A38" s="717" t="str">
        <f>Sheet1!B17</f>
        <v>A3-003</v>
      </c>
      <c r="B38" s="717">
        <f>Sheet1!E17</f>
        <v>46.67</v>
      </c>
      <c r="C38" s="24">
        <f t="shared" si="12"/>
        <v>1.01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t="s">
        <v>3441</v>
      </c>
      <c r="Q38" s="24">
        <f t="shared" si="19"/>
        <v>0.55000000000000004</v>
      </c>
      <c r="R38" s="715">
        <f t="shared" ca="1" si="20"/>
        <v>21896</v>
      </c>
      <c r="S38" s="361">
        <f t="shared" ca="1" si="11"/>
        <v>102</v>
      </c>
      <c r="V38" s="799">
        <f>Sheet1!C17</f>
        <v>3</v>
      </c>
    </row>
    <row r="39" spans="1:22">
      <c r="A39" s="717" t="str">
        <f>Sheet1!B18</f>
        <v>A3-004</v>
      </c>
      <c r="B39" s="717">
        <f>Sheet1!E18</f>
        <v>46.67</v>
      </c>
      <c r="C39" s="24">
        <f t="shared" si="12"/>
        <v>1.01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t="s">
        <v>3441</v>
      </c>
      <c r="Q39" s="24">
        <f t="shared" si="19"/>
        <v>0.55000000000000004</v>
      </c>
      <c r="R39" s="715">
        <f t="shared" ca="1" si="20"/>
        <v>21896</v>
      </c>
      <c r="S39" s="361">
        <f t="shared" ca="1" si="11"/>
        <v>102</v>
      </c>
      <c r="V39" s="799">
        <f>Sheet1!C18</f>
        <v>3</v>
      </c>
    </row>
    <row r="40" spans="1:22">
      <c r="A40" s="717" t="str">
        <f>Sheet1!B19</f>
        <v>A3-005</v>
      </c>
      <c r="B40" s="717">
        <f>Sheet1!E19</f>
        <v>46.67</v>
      </c>
      <c r="C40" s="24">
        <f t="shared" si="12"/>
        <v>1.01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t="s">
        <v>3441</v>
      </c>
      <c r="Q40" s="24">
        <f t="shared" si="19"/>
        <v>0.55000000000000004</v>
      </c>
      <c r="R40" s="715">
        <f t="shared" ca="1" si="20"/>
        <v>21896</v>
      </c>
      <c r="S40" s="361">
        <f t="shared" ca="1" si="11"/>
        <v>102</v>
      </c>
      <c r="V40" s="799">
        <f>Sheet1!C19</f>
        <v>3</v>
      </c>
    </row>
    <row r="41" spans="1:22">
      <c r="A41" s="717" t="str">
        <f>Sheet1!B20</f>
        <v>A3-006</v>
      </c>
      <c r="B41" s="717">
        <f>Sheet1!E20</f>
        <v>46.67</v>
      </c>
      <c r="C41" s="24">
        <f t="shared" si="12"/>
        <v>1.01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t="s">
        <v>3441</v>
      </c>
      <c r="Q41" s="24">
        <f t="shared" si="19"/>
        <v>0.55000000000000004</v>
      </c>
      <c r="R41" s="715">
        <f t="shared" ca="1" si="20"/>
        <v>21896</v>
      </c>
      <c r="S41" s="361">
        <f t="shared" ca="1" si="11"/>
        <v>102</v>
      </c>
      <c r="V41" s="799">
        <f>Sheet1!C20</f>
        <v>3</v>
      </c>
    </row>
    <row r="42" spans="1:22">
      <c r="A42" s="717" t="str">
        <f>Sheet1!B21</f>
        <v>A3-007</v>
      </c>
      <c r="B42" s="717">
        <f>Sheet1!E21</f>
        <v>46.67</v>
      </c>
      <c r="C42" s="24">
        <f t="shared" si="12"/>
        <v>1.01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t="s">
        <v>3441</v>
      </c>
      <c r="Q42" s="24">
        <f t="shared" si="19"/>
        <v>0.55000000000000004</v>
      </c>
      <c r="R42" s="715">
        <f t="shared" ca="1" si="20"/>
        <v>21896</v>
      </c>
      <c r="S42" s="361">
        <f t="shared" ca="1" si="11"/>
        <v>102</v>
      </c>
      <c r="V42" s="799">
        <f>Sheet1!C21</f>
        <v>3</v>
      </c>
    </row>
    <row r="43" spans="1:22">
      <c r="A43" s="717" t="str">
        <f>Sheet1!B22</f>
        <v>A3-008</v>
      </c>
      <c r="B43" s="717">
        <f>Sheet1!E22</f>
        <v>48.34</v>
      </c>
      <c r="C43" s="24">
        <f t="shared" si="12"/>
        <v>1.01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t="s">
        <v>3441</v>
      </c>
      <c r="Q43" s="24">
        <f t="shared" si="19"/>
        <v>0.55000000000000004</v>
      </c>
      <c r="R43" s="715">
        <f t="shared" ca="1" si="20"/>
        <v>21896</v>
      </c>
      <c r="S43" s="361">
        <f t="shared" ca="1" si="11"/>
        <v>106</v>
      </c>
      <c r="V43" s="799">
        <f>Sheet1!C22</f>
        <v>3</v>
      </c>
    </row>
    <row r="44" spans="1:22">
      <c r="A44" s="717" t="str">
        <f>Sheet1!B23</f>
        <v>A3-009</v>
      </c>
      <c r="B44" s="717">
        <f>Sheet1!E23</f>
        <v>69.989999999999995</v>
      </c>
      <c r="C44" s="24">
        <f t="shared" si="12"/>
        <v>1.01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t="s">
        <v>3441</v>
      </c>
      <c r="Q44" s="24">
        <f t="shared" si="19"/>
        <v>0.55000000000000004</v>
      </c>
      <c r="R44" s="715">
        <f t="shared" ca="1" si="20"/>
        <v>21896</v>
      </c>
      <c r="S44" s="361">
        <f t="shared" ca="1" si="11"/>
        <v>153</v>
      </c>
      <c r="V44" s="799">
        <f>Sheet1!C23</f>
        <v>3</v>
      </c>
    </row>
    <row r="45" spans="1:22">
      <c r="A45" s="717" t="str">
        <f>Sheet1!B24</f>
        <v>A3-019</v>
      </c>
      <c r="B45" s="717">
        <f>Sheet1!E24</f>
        <v>44.73</v>
      </c>
      <c r="C45" s="24">
        <f t="shared" si="12"/>
        <v>1.01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t="s">
        <v>3441</v>
      </c>
      <c r="Q45" s="24">
        <f t="shared" si="19"/>
        <v>0.55000000000000004</v>
      </c>
      <c r="R45" s="715">
        <f t="shared" ca="1" si="20"/>
        <v>21896</v>
      </c>
      <c r="S45" s="361">
        <f t="shared" ca="1" si="11"/>
        <v>98</v>
      </c>
      <c r="V45" s="799">
        <f>Sheet1!C24</f>
        <v>3</v>
      </c>
    </row>
    <row r="46" spans="1:22">
      <c r="A46" s="717" t="str">
        <f>Sheet1!B25</f>
        <v>A3-020</v>
      </c>
      <c r="B46" s="717">
        <f>Sheet1!E25</f>
        <v>62.77</v>
      </c>
      <c r="C46" s="24">
        <f t="shared" si="12"/>
        <v>1.01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t="s">
        <v>3441</v>
      </c>
      <c r="Q46" s="24">
        <f t="shared" si="19"/>
        <v>0.55000000000000004</v>
      </c>
      <c r="R46" s="715">
        <f t="shared" ca="1" si="20"/>
        <v>21896</v>
      </c>
      <c r="S46" s="361">
        <f t="shared" ca="1" si="11"/>
        <v>137</v>
      </c>
      <c r="V46" s="799">
        <f>Sheet1!C25</f>
        <v>3</v>
      </c>
    </row>
    <row r="47" spans="1:22">
      <c r="A47" s="717" t="str">
        <f>Sheet1!B26</f>
        <v>A3-021</v>
      </c>
      <c r="B47" s="717">
        <f>Sheet1!E26</f>
        <v>60.93</v>
      </c>
      <c r="C47" s="24">
        <f t="shared" si="12"/>
        <v>1.01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t="s">
        <v>3441</v>
      </c>
      <c r="Q47" s="24">
        <f t="shared" si="19"/>
        <v>0.55000000000000004</v>
      </c>
      <c r="R47" s="715">
        <f t="shared" ca="1" si="20"/>
        <v>21896</v>
      </c>
      <c r="S47" s="361">
        <f t="shared" ca="1" si="11"/>
        <v>133</v>
      </c>
      <c r="V47" s="799">
        <f>Sheet1!C26</f>
        <v>3</v>
      </c>
    </row>
    <row r="48" spans="1:22">
      <c r="A48" s="717" t="str">
        <f>Sheet1!B27</f>
        <v>A3-022</v>
      </c>
      <c r="B48" s="717">
        <f>Sheet1!E27</f>
        <v>61.49</v>
      </c>
      <c r="C48" s="24">
        <f t="shared" si="12"/>
        <v>1.01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t="s">
        <v>3441</v>
      </c>
      <c r="Q48" s="24">
        <f t="shared" si="19"/>
        <v>0.55000000000000004</v>
      </c>
      <c r="R48" s="715">
        <f t="shared" ca="1" si="20"/>
        <v>21896</v>
      </c>
      <c r="S48" s="361">
        <f t="shared" ca="1" si="11"/>
        <v>135</v>
      </c>
      <c r="V48" s="799">
        <f>Sheet1!C27</f>
        <v>3</v>
      </c>
    </row>
    <row r="49" spans="1:22">
      <c r="A49" s="717" t="str">
        <f>Sheet1!B28</f>
        <v>A3-023</v>
      </c>
      <c r="B49" s="717">
        <f>Sheet1!E28</f>
        <v>55.64</v>
      </c>
      <c r="C49" s="24">
        <f t="shared" si="12"/>
        <v>1.01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t="s">
        <v>3441</v>
      </c>
      <c r="Q49" s="24">
        <f t="shared" si="19"/>
        <v>0.55000000000000004</v>
      </c>
      <c r="R49" s="715">
        <f t="shared" ca="1" si="20"/>
        <v>21896</v>
      </c>
      <c r="S49" s="361">
        <f t="shared" ca="1" si="11"/>
        <v>122</v>
      </c>
      <c r="V49" s="799">
        <f>Sheet1!C28</f>
        <v>3</v>
      </c>
    </row>
    <row r="50" spans="1:22">
      <c r="A50" s="717" t="str">
        <f>Sheet1!B29</f>
        <v>A3-024</v>
      </c>
      <c r="B50" s="717">
        <f>Sheet1!E29</f>
        <v>42.44</v>
      </c>
      <c r="C50" s="24">
        <f t="shared" si="12"/>
        <v>1.01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t="s">
        <v>3441</v>
      </c>
      <c r="Q50" s="24">
        <f t="shared" si="19"/>
        <v>0.55000000000000004</v>
      </c>
      <c r="R50" s="715">
        <f t="shared" ca="1" si="20"/>
        <v>21896</v>
      </c>
      <c r="S50" s="361">
        <f t="shared" ca="1" si="11"/>
        <v>93</v>
      </c>
      <c r="V50" s="799">
        <f>Sheet1!C29</f>
        <v>3</v>
      </c>
    </row>
    <row r="51" spans="1:22">
      <c r="A51" s="717" t="str">
        <f>Sheet1!B30</f>
        <v>D3-003</v>
      </c>
      <c r="B51" s="717">
        <f>Sheet1!E30</f>
        <v>176.07</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t="s">
        <v>3441</v>
      </c>
      <c r="Q51" s="24">
        <f t="shared" si="19"/>
        <v>0.55000000000000004</v>
      </c>
      <c r="R51" s="715">
        <f t="shared" ca="1" si="20"/>
        <v>21679</v>
      </c>
      <c r="S51" s="361">
        <f t="shared" ca="1" si="11"/>
        <v>382</v>
      </c>
      <c r="V51" s="799">
        <f>Sheet1!C30</f>
        <v>3</v>
      </c>
    </row>
    <row r="52" spans="1:22">
      <c r="A52" s="717" t="str">
        <f>Sheet1!B31</f>
        <v>D3-004</v>
      </c>
      <c r="B52" s="717">
        <f>Sheet1!E31</f>
        <v>17.489999999999998</v>
      </c>
      <c r="C52" s="24">
        <f t="shared" si="12"/>
        <v>1.01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t="s">
        <v>3441</v>
      </c>
      <c r="Q52" s="24">
        <f t="shared" si="19"/>
        <v>0.55000000000000004</v>
      </c>
      <c r="R52" s="715">
        <f t="shared" ca="1" si="20"/>
        <v>21896</v>
      </c>
      <c r="S52" s="361">
        <f t="shared" ca="1" si="11"/>
        <v>38</v>
      </c>
      <c r="V52" s="799">
        <f>Sheet1!C31</f>
        <v>3</v>
      </c>
    </row>
    <row r="53" spans="1:22">
      <c r="A53" s="717" t="str">
        <f>Sheet1!B32</f>
        <v>D3-004-1</v>
      </c>
      <c r="B53" s="717">
        <f>Sheet1!E32</f>
        <v>16.14</v>
      </c>
      <c r="C53" s="24">
        <f t="shared" si="12"/>
        <v>1.01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t="s">
        <v>3441</v>
      </c>
      <c r="Q53" s="24">
        <f t="shared" si="19"/>
        <v>0.55000000000000004</v>
      </c>
      <c r="R53" s="715">
        <f t="shared" ca="1" si="20"/>
        <v>21896</v>
      </c>
      <c r="S53" s="361">
        <f t="shared" ca="1" si="11"/>
        <v>35</v>
      </c>
      <c r="V53" s="799">
        <f>Sheet1!C32</f>
        <v>3</v>
      </c>
    </row>
    <row r="54" spans="1:22">
      <c r="A54" s="717" t="str">
        <f>Sheet1!B33</f>
        <v>D3-049</v>
      </c>
      <c r="B54" s="717">
        <f>Sheet1!E33</f>
        <v>17.2</v>
      </c>
      <c r="C54" s="24">
        <f t="shared" si="12"/>
        <v>1.01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t="s">
        <v>3441</v>
      </c>
      <c r="Q54" s="24">
        <f t="shared" si="19"/>
        <v>0.55000000000000004</v>
      </c>
      <c r="R54" s="715">
        <f t="shared" ca="1" si="20"/>
        <v>21896</v>
      </c>
      <c r="S54" s="361">
        <f t="shared" ca="1" si="11"/>
        <v>38</v>
      </c>
      <c r="V54" s="799">
        <f>Sheet1!C33</f>
        <v>3</v>
      </c>
    </row>
    <row r="55" spans="1:22">
      <c r="A55" s="717" t="str">
        <f>Sheet1!B34</f>
        <v>D3-076</v>
      </c>
      <c r="B55" s="717">
        <f>Sheet1!E34</f>
        <v>48.26</v>
      </c>
      <c r="C55" s="24">
        <f t="shared" si="12"/>
        <v>1.01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t="s">
        <v>3441</v>
      </c>
      <c r="Q55" s="24">
        <f t="shared" si="19"/>
        <v>0.55000000000000004</v>
      </c>
      <c r="R55" s="715">
        <f t="shared" ca="1" si="20"/>
        <v>21896</v>
      </c>
      <c r="S55" s="361">
        <f t="shared" ref="S55:S77" ca="1" si="21">ROUND(R55*B55/10000,0)</f>
        <v>106</v>
      </c>
      <c r="V55" s="799">
        <f>Sheet1!C34</f>
        <v>3</v>
      </c>
    </row>
    <row r="56" spans="1:22">
      <c r="A56" s="717" t="str">
        <f>Sheet1!B35</f>
        <v>D3-077</v>
      </c>
      <c r="B56" s="717">
        <f>Sheet1!E35</f>
        <v>46.93</v>
      </c>
      <c r="C56" s="24">
        <f t="shared" si="12"/>
        <v>1.01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t="s">
        <v>3441</v>
      </c>
      <c r="Q56" s="24">
        <f t="shared" si="19"/>
        <v>0.55000000000000004</v>
      </c>
      <c r="R56" s="715">
        <f t="shared" ca="1" si="20"/>
        <v>21896</v>
      </c>
      <c r="S56" s="361">
        <f t="shared" ca="1" si="21"/>
        <v>103</v>
      </c>
      <c r="V56" s="799">
        <f>Sheet1!C35</f>
        <v>3</v>
      </c>
    </row>
    <row r="57" spans="1:22">
      <c r="A57" s="717" t="str">
        <f>Sheet1!B36</f>
        <v>D3-078</v>
      </c>
      <c r="B57" s="717">
        <f>Sheet1!E36</f>
        <v>45.6</v>
      </c>
      <c r="C57" s="24">
        <f t="shared" si="12"/>
        <v>1.01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t="s">
        <v>3441</v>
      </c>
      <c r="Q57" s="24">
        <f t="shared" si="19"/>
        <v>0.55000000000000004</v>
      </c>
      <c r="R57" s="715">
        <f t="shared" ca="1" si="20"/>
        <v>21896</v>
      </c>
      <c r="S57" s="361">
        <f t="shared" ca="1" si="21"/>
        <v>100</v>
      </c>
      <c r="V57" s="799">
        <f>Sheet1!C36</f>
        <v>3</v>
      </c>
    </row>
    <row r="58" spans="1:22">
      <c r="A58" s="717" t="str">
        <f>Sheet1!B37</f>
        <v>D3-080</v>
      </c>
      <c r="B58" s="717">
        <f>Sheet1!E37</f>
        <v>36.159999999999997</v>
      </c>
      <c r="C58" s="24">
        <f t="shared" si="12"/>
        <v>1.01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t="s">
        <v>3441</v>
      </c>
      <c r="Q58" s="24">
        <f t="shared" si="19"/>
        <v>0.55000000000000004</v>
      </c>
      <c r="R58" s="715">
        <f t="shared" ca="1" si="20"/>
        <v>21896</v>
      </c>
      <c r="S58" s="361">
        <f t="shared" ca="1" si="21"/>
        <v>79</v>
      </c>
      <c r="V58" s="799">
        <f>Sheet1!C37</f>
        <v>3</v>
      </c>
    </row>
    <row r="59" spans="1:22">
      <c r="A59" s="717" t="str">
        <f>Sheet1!B38</f>
        <v>D3-081</v>
      </c>
      <c r="B59" s="717">
        <f>Sheet1!E38</f>
        <v>26.9</v>
      </c>
      <c r="C59" s="24">
        <f t="shared" si="12"/>
        <v>1.01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t="s">
        <v>3441</v>
      </c>
      <c r="Q59" s="24">
        <f t="shared" si="19"/>
        <v>0.55000000000000004</v>
      </c>
      <c r="R59" s="715">
        <f t="shared" ca="1" si="20"/>
        <v>21896</v>
      </c>
      <c r="S59" s="361">
        <f t="shared" ca="1" si="21"/>
        <v>59</v>
      </c>
      <c r="V59" s="799">
        <f>Sheet1!C38</f>
        <v>3</v>
      </c>
    </row>
    <row r="60" spans="1:22">
      <c r="A60" s="717" t="str">
        <f>Sheet1!B39</f>
        <v>D3-082</v>
      </c>
      <c r="B60" s="717">
        <f>Sheet1!E39</f>
        <v>31.35</v>
      </c>
      <c r="C60" s="24">
        <f t="shared" si="12"/>
        <v>1.01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t="s">
        <v>3441</v>
      </c>
      <c r="Q60" s="24">
        <f t="shared" si="19"/>
        <v>0.55000000000000004</v>
      </c>
      <c r="R60" s="715">
        <f t="shared" ca="1" si="20"/>
        <v>21896</v>
      </c>
      <c r="S60" s="361">
        <f t="shared" ca="1" si="21"/>
        <v>69</v>
      </c>
      <c r="V60" s="799">
        <f>Sheet1!C39</f>
        <v>3</v>
      </c>
    </row>
    <row r="61" spans="1:22">
      <c r="A61" s="717" t="str">
        <f>Sheet1!B40</f>
        <v>D3-083</v>
      </c>
      <c r="B61" s="717">
        <f>Sheet1!E40</f>
        <v>36.18</v>
      </c>
      <c r="C61" s="24">
        <f t="shared" si="12"/>
        <v>1.01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t="s">
        <v>3441</v>
      </c>
      <c r="Q61" s="24">
        <f t="shared" si="19"/>
        <v>0.55000000000000004</v>
      </c>
      <c r="R61" s="715">
        <f t="shared" ca="1" si="20"/>
        <v>21896</v>
      </c>
      <c r="S61" s="361">
        <f t="shared" ca="1" si="21"/>
        <v>79</v>
      </c>
      <c r="V61" s="799">
        <f>Sheet1!C40</f>
        <v>3</v>
      </c>
    </row>
    <row r="62" spans="1:22">
      <c r="A62" s="717" t="str">
        <f>Sheet1!B41</f>
        <v>D3-085</v>
      </c>
      <c r="B62" s="717">
        <f>Sheet1!E41</f>
        <v>21.92</v>
      </c>
      <c r="C62" s="24">
        <f t="shared" si="12"/>
        <v>1.01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t="s">
        <v>3441</v>
      </c>
      <c r="Q62" s="24">
        <f t="shared" si="19"/>
        <v>0.55000000000000004</v>
      </c>
      <c r="R62" s="715">
        <f t="shared" ca="1" si="20"/>
        <v>21896</v>
      </c>
      <c r="S62" s="361">
        <f t="shared" ca="1" si="21"/>
        <v>48</v>
      </c>
      <c r="V62" s="799">
        <f>Sheet1!C41</f>
        <v>3</v>
      </c>
    </row>
    <row r="63" spans="1:22">
      <c r="A63" s="717" t="str">
        <f>Sheet1!B42</f>
        <v>D3-085-1</v>
      </c>
      <c r="B63" s="717">
        <f>Sheet1!E42</f>
        <v>17.36</v>
      </c>
      <c r="C63" s="24">
        <f t="shared" si="12"/>
        <v>1.01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t="s">
        <v>3441</v>
      </c>
      <c r="Q63" s="24">
        <f t="shared" si="19"/>
        <v>0.55000000000000004</v>
      </c>
      <c r="R63" s="715">
        <f t="shared" ca="1" si="20"/>
        <v>21896</v>
      </c>
      <c r="S63" s="361">
        <f t="shared" ca="1" si="21"/>
        <v>38</v>
      </c>
      <c r="V63" s="799">
        <f>Sheet1!C42</f>
        <v>3</v>
      </c>
    </row>
    <row r="64" spans="1:22">
      <c r="A64" s="717" t="str">
        <f>Sheet1!B43</f>
        <v>D3-089</v>
      </c>
      <c r="B64" s="717">
        <f>Sheet1!E43</f>
        <v>31.3</v>
      </c>
      <c r="C64" s="24">
        <f t="shared" si="12"/>
        <v>1.01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t="s">
        <v>3441</v>
      </c>
      <c r="Q64" s="24">
        <f t="shared" si="19"/>
        <v>0.55000000000000004</v>
      </c>
      <c r="R64" s="715">
        <f t="shared" ca="1" si="20"/>
        <v>21896</v>
      </c>
      <c r="S64" s="361">
        <f t="shared" ca="1" si="21"/>
        <v>69</v>
      </c>
      <c r="V64" s="799">
        <f>Sheet1!C43</f>
        <v>3</v>
      </c>
    </row>
    <row r="65" spans="1:22">
      <c r="A65" s="717" t="str">
        <f>Sheet1!B44</f>
        <v>D3-090-1</v>
      </c>
      <c r="B65" s="717">
        <f>Sheet1!E44</f>
        <v>25.19</v>
      </c>
      <c r="C65" s="24">
        <f t="shared" si="12"/>
        <v>1.01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t="s">
        <v>3441</v>
      </c>
      <c r="Q65" s="24">
        <f t="shared" si="19"/>
        <v>0.55000000000000004</v>
      </c>
      <c r="R65" s="715">
        <f t="shared" ca="1" si="20"/>
        <v>21896</v>
      </c>
      <c r="S65" s="361">
        <f t="shared" ca="1" si="21"/>
        <v>55</v>
      </c>
      <c r="V65" s="799">
        <f>Sheet1!C44</f>
        <v>3</v>
      </c>
    </row>
    <row r="66" spans="1:22">
      <c r="A66" s="717" t="str">
        <f>Sheet1!B45</f>
        <v>D3-090-2</v>
      </c>
      <c r="B66" s="717">
        <f>Sheet1!E45</f>
        <v>23.33</v>
      </c>
      <c r="C66" s="24">
        <f t="shared" si="12"/>
        <v>1.01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t="s">
        <v>3441</v>
      </c>
      <c r="Q66" s="24">
        <f t="shared" si="19"/>
        <v>0.55000000000000004</v>
      </c>
      <c r="R66" s="715">
        <f t="shared" ca="1" si="20"/>
        <v>21896</v>
      </c>
      <c r="S66" s="361">
        <f t="shared" ca="1" si="21"/>
        <v>51</v>
      </c>
      <c r="V66" s="799">
        <f>Sheet1!C45</f>
        <v>3</v>
      </c>
    </row>
    <row r="67" spans="1:22">
      <c r="A67" s="717" t="str">
        <f>Sheet1!B46</f>
        <v>D3-097</v>
      </c>
      <c r="B67" s="717">
        <f>Sheet1!E46</f>
        <v>29.55</v>
      </c>
      <c r="C67" s="24">
        <f t="shared" si="12"/>
        <v>1.01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t="s">
        <v>3441</v>
      </c>
      <c r="Q67" s="24">
        <f t="shared" si="19"/>
        <v>0.55000000000000004</v>
      </c>
      <c r="R67" s="715">
        <f t="shared" ca="1" si="20"/>
        <v>21896</v>
      </c>
      <c r="S67" s="361">
        <f t="shared" ca="1" si="21"/>
        <v>65</v>
      </c>
      <c r="V67" s="799">
        <f>Sheet1!C46</f>
        <v>3</v>
      </c>
    </row>
    <row r="68" spans="1:22">
      <c r="A68" s="717" t="str">
        <f>Sheet1!B47</f>
        <v>D3-097-1</v>
      </c>
      <c r="B68" s="717">
        <f>Sheet1!E47</f>
        <v>29.97</v>
      </c>
      <c r="C68" s="24">
        <f t="shared" si="12"/>
        <v>1.01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t="s">
        <v>3441</v>
      </c>
      <c r="Q68" s="24">
        <f t="shared" si="19"/>
        <v>0.55000000000000004</v>
      </c>
      <c r="R68" s="715">
        <f t="shared" ca="1" si="20"/>
        <v>21896</v>
      </c>
      <c r="S68" s="361">
        <f t="shared" ca="1" si="21"/>
        <v>66</v>
      </c>
      <c r="V68" s="799">
        <f>Sheet1!C47</f>
        <v>3</v>
      </c>
    </row>
    <row r="69" spans="1:22">
      <c r="A69" s="717" t="str">
        <f>Sheet1!B48</f>
        <v>D3-098-1</v>
      </c>
      <c r="B69" s="717">
        <f>Sheet1!E48</f>
        <v>27.74</v>
      </c>
      <c r="C69" s="24">
        <f t="shared" si="12"/>
        <v>1.01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t="s">
        <v>3441</v>
      </c>
      <c r="Q69" s="24">
        <f t="shared" si="19"/>
        <v>0.55000000000000004</v>
      </c>
      <c r="R69" s="715">
        <f t="shared" ca="1" si="20"/>
        <v>21896</v>
      </c>
      <c r="S69" s="361">
        <f t="shared" ca="1" si="21"/>
        <v>61</v>
      </c>
      <c r="V69" s="799">
        <f>Sheet1!C48</f>
        <v>3</v>
      </c>
    </row>
    <row r="70" spans="1:22">
      <c r="A70" s="717" t="str">
        <f>Sheet1!B49</f>
        <v>D3-099-1</v>
      </c>
      <c r="B70" s="717">
        <f>Sheet1!E49</f>
        <v>20.37</v>
      </c>
      <c r="C70" s="24">
        <f t="shared" si="12"/>
        <v>1.01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t="s">
        <v>3441</v>
      </c>
      <c r="Q70" s="24">
        <f t="shared" si="19"/>
        <v>0.55000000000000004</v>
      </c>
      <c r="R70" s="715">
        <f t="shared" ca="1" si="20"/>
        <v>21896</v>
      </c>
      <c r="S70" s="361">
        <f t="shared" ca="1" si="21"/>
        <v>45</v>
      </c>
      <c r="V70" s="799">
        <f>Sheet1!C49</f>
        <v>3</v>
      </c>
    </row>
    <row r="71" spans="1:22">
      <c r="A71" s="717" t="str">
        <f>Sheet1!B50</f>
        <v>D3-100</v>
      </c>
      <c r="B71" s="717">
        <f>Sheet1!E50</f>
        <v>27.74</v>
      </c>
      <c r="C71" s="24">
        <f t="shared" si="12"/>
        <v>1.01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t="s">
        <v>3441</v>
      </c>
      <c r="Q71" s="24">
        <f t="shared" si="19"/>
        <v>0.55000000000000004</v>
      </c>
      <c r="R71" s="715">
        <f t="shared" ca="1" si="20"/>
        <v>21896</v>
      </c>
      <c r="S71" s="361">
        <f t="shared" ca="1" si="21"/>
        <v>61</v>
      </c>
      <c r="V71" s="799">
        <f>Sheet1!C50</f>
        <v>3</v>
      </c>
    </row>
    <row r="72" spans="1:22">
      <c r="A72" s="717" t="str">
        <f>Sheet1!B51</f>
        <v>D3-007</v>
      </c>
      <c r="B72" s="717">
        <f>Sheet1!E51</f>
        <v>16.510000000000002</v>
      </c>
      <c r="C72" s="24">
        <f t="shared" si="12"/>
        <v>1.01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t="s">
        <v>3441</v>
      </c>
      <c r="Q72" s="24">
        <f t="shared" si="19"/>
        <v>0.55000000000000004</v>
      </c>
      <c r="R72" s="715">
        <f t="shared" ca="1" si="20"/>
        <v>21896</v>
      </c>
      <c r="S72" s="361">
        <f t="shared" ca="1" si="21"/>
        <v>36</v>
      </c>
      <c r="V72" s="799">
        <f>Sheet1!C51</f>
        <v>3</v>
      </c>
    </row>
    <row r="73" spans="1:22">
      <c r="A73" s="717" t="str">
        <f>Sheet1!B52</f>
        <v>D3-008</v>
      </c>
      <c r="B73" s="717">
        <f>Sheet1!E52</f>
        <v>23.44</v>
      </c>
      <c r="C73" s="24">
        <f t="shared" si="12"/>
        <v>1.01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t="s">
        <v>3441</v>
      </c>
      <c r="Q73" s="24">
        <f t="shared" si="19"/>
        <v>0.55000000000000004</v>
      </c>
      <c r="R73" s="715">
        <f t="shared" ca="1" si="20"/>
        <v>21896</v>
      </c>
      <c r="S73" s="361">
        <f t="shared" ca="1" si="21"/>
        <v>51</v>
      </c>
      <c r="V73" s="799">
        <f>Sheet1!C52</f>
        <v>3</v>
      </c>
    </row>
    <row r="74" spans="1:22">
      <c r="A74" s="717" t="str">
        <f>Sheet1!B53</f>
        <v>D3-008-1</v>
      </c>
      <c r="B74" s="717">
        <f>Sheet1!E53</f>
        <v>23.01</v>
      </c>
      <c r="C74" s="24">
        <f t="shared" si="12"/>
        <v>1.01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t="s">
        <v>3441</v>
      </c>
      <c r="Q74" s="24">
        <f t="shared" si="19"/>
        <v>0.55000000000000004</v>
      </c>
      <c r="R74" s="715">
        <f t="shared" ca="1" si="20"/>
        <v>21896</v>
      </c>
      <c r="S74" s="361">
        <f t="shared" ca="1" si="21"/>
        <v>50</v>
      </c>
      <c r="V74" s="799">
        <f>Sheet1!C53</f>
        <v>3</v>
      </c>
    </row>
    <row r="75" spans="1:22">
      <c r="A75" s="717" t="str">
        <f>Sheet1!B54</f>
        <v>D3-014</v>
      </c>
      <c r="B75" s="717">
        <f>Sheet1!E54</f>
        <v>30.12</v>
      </c>
      <c r="C75" s="24">
        <f t="shared" si="12"/>
        <v>1.01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t="s">
        <v>3441</v>
      </c>
      <c r="Q75" s="24">
        <f t="shared" si="19"/>
        <v>0.55000000000000004</v>
      </c>
      <c r="R75" s="715">
        <f t="shared" ca="1" si="20"/>
        <v>21896</v>
      </c>
      <c r="S75" s="361">
        <f t="shared" ca="1" si="21"/>
        <v>66</v>
      </c>
      <c r="V75" s="799">
        <f>Sheet1!C54</f>
        <v>3</v>
      </c>
    </row>
    <row r="76" spans="1:22">
      <c r="A76" s="717" t="str">
        <f>Sheet1!B55</f>
        <v>D3-016</v>
      </c>
      <c r="B76" s="717">
        <f>Sheet1!E55</f>
        <v>19.89</v>
      </c>
      <c r="C76" s="24">
        <f t="shared" si="12"/>
        <v>1.01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t="s">
        <v>3441</v>
      </c>
      <c r="Q76" s="24">
        <f t="shared" si="19"/>
        <v>0.55000000000000004</v>
      </c>
      <c r="R76" s="715">
        <f t="shared" ca="1" si="20"/>
        <v>21896</v>
      </c>
      <c r="S76" s="361">
        <f t="shared" ca="1" si="21"/>
        <v>44</v>
      </c>
      <c r="V76" s="799">
        <f>Sheet1!C55</f>
        <v>3</v>
      </c>
    </row>
    <row r="77" spans="1:22">
      <c r="A77" s="717" t="str">
        <f>Sheet1!B56</f>
        <v>D3-017</v>
      </c>
      <c r="B77" s="717">
        <f>Sheet1!E56</f>
        <v>23.76</v>
      </c>
      <c r="C77" s="24">
        <f t="shared" si="12"/>
        <v>1.01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t="s">
        <v>3441</v>
      </c>
      <c r="Q77" s="24">
        <f t="shared" si="19"/>
        <v>0.55000000000000004</v>
      </c>
      <c r="R77" s="715">
        <f t="shared" ca="1" si="20"/>
        <v>21896</v>
      </c>
      <c r="S77" s="361">
        <f t="shared" ca="1" si="21"/>
        <v>52</v>
      </c>
      <c r="V77" s="799">
        <f>Sheet1!C56</f>
        <v>3</v>
      </c>
    </row>
    <row r="78" spans="1:22">
      <c r="A78" s="717" t="str">
        <f>Sheet1!B57</f>
        <v>D3-018</v>
      </c>
      <c r="B78" s="717">
        <f>Sheet1!E57</f>
        <v>24.68</v>
      </c>
      <c r="C78" s="24">
        <f t="shared" si="12"/>
        <v>1.01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t="s">
        <v>3441</v>
      </c>
      <c r="Q78" s="24">
        <f t="shared" si="19"/>
        <v>0.55000000000000004</v>
      </c>
      <c r="R78" s="715">
        <f t="shared" ca="1" si="20"/>
        <v>21896</v>
      </c>
      <c r="S78" s="361">
        <f t="shared" ref="S78:S122" ca="1" si="22">ROUND(R78*B78/10000,0)</f>
        <v>54</v>
      </c>
      <c r="V78" s="799">
        <f>Sheet1!C57</f>
        <v>3</v>
      </c>
    </row>
    <row r="79" spans="1:22">
      <c r="A79" s="717" t="str">
        <f>Sheet1!B58</f>
        <v>D3-019</v>
      </c>
      <c r="B79" s="717">
        <f>Sheet1!E58</f>
        <v>24.68</v>
      </c>
      <c r="C79" s="24">
        <f t="shared" si="12"/>
        <v>1.01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t="s">
        <v>3441</v>
      </c>
      <c r="Q79" s="24">
        <f t="shared" si="19"/>
        <v>0.55000000000000004</v>
      </c>
      <c r="R79" s="715">
        <f t="shared" ca="1" si="20"/>
        <v>21896</v>
      </c>
      <c r="S79" s="361">
        <f t="shared" ca="1" si="22"/>
        <v>54</v>
      </c>
      <c r="V79" s="799">
        <f>Sheet1!C58</f>
        <v>3</v>
      </c>
    </row>
    <row r="80" spans="1:22">
      <c r="A80" s="717" t="str">
        <f>Sheet1!B59</f>
        <v>D3-020</v>
      </c>
      <c r="B80" s="717">
        <f>Sheet1!E59</f>
        <v>16.059999999999999</v>
      </c>
      <c r="C80" s="24">
        <f t="shared" si="12"/>
        <v>1.01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t="s">
        <v>3441</v>
      </c>
      <c r="Q80" s="24">
        <f t="shared" si="19"/>
        <v>0.55000000000000004</v>
      </c>
      <c r="R80" s="715">
        <f t="shared" ca="1" si="20"/>
        <v>21896</v>
      </c>
      <c r="S80" s="361">
        <f t="shared" ca="1" si="22"/>
        <v>35</v>
      </c>
      <c r="V80" s="799">
        <f>Sheet1!C59</f>
        <v>3</v>
      </c>
    </row>
    <row r="81" spans="1:22">
      <c r="A81" s="717" t="str">
        <f>Sheet1!B60</f>
        <v>D3-020-1</v>
      </c>
      <c r="B81" s="717">
        <f>Sheet1!E60</f>
        <v>15.18</v>
      </c>
      <c r="C81" s="24">
        <f t="shared" si="12"/>
        <v>1.01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t="s">
        <v>3441</v>
      </c>
      <c r="Q81" s="24">
        <f t="shared" si="19"/>
        <v>0.55000000000000004</v>
      </c>
      <c r="R81" s="715">
        <f t="shared" ca="1" si="20"/>
        <v>21896</v>
      </c>
      <c r="S81" s="361">
        <f t="shared" ca="1" si="22"/>
        <v>33</v>
      </c>
      <c r="V81" s="799">
        <f>Sheet1!C60</f>
        <v>3</v>
      </c>
    </row>
    <row r="82" spans="1:22">
      <c r="A82" s="717" t="str">
        <f>Sheet1!B61</f>
        <v>D3-021</v>
      </c>
      <c r="B82" s="717">
        <f>Sheet1!E61</f>
        <v>34.97</v>
      </c>
      <c r="C82" s="24">
        <f t="shared" si="12"/>
        <v>1.01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t="s">
        <v>3441</v>
      </c>
      <c r="Q82" s="24">
        <f t="shared" si="19"/>
        <v>0.55000000000000004</v>
      </c>
      <c r="R82" s="715">
        <f t="shared" ca="1" si="20"/>
        <v>21896</v>
      </c>
      <c r="S82" s="361">
        <f t="shared" ca="1" si="22"/>
        <v>77</v>
      </c>
      <c r="V82" s="799">
        <f>Sheet1!C61</f>
        <v>3</v>
      </c>
    </row>
    <row r="83" spans="1:22">
      <c r="A83" s="717" t="str">
        <f>Sheet1!B62</f>
        <v>D3-022</v>
      </c>
      <c r="B83" s="717">
        <f>Sheet1!E62</f>
        <v>31.94</v>
      </c>
      <c r="C83" s="24">
        <f t="shared" si="12"/>
        <v>1.01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t="s">
        <v>3441</v>
      </c>
      <c r="Q83" s="24">
        <f t="shared" si="19"/>
        <v>0.55000000000000004</v>
      </c>
      <c r="R83" s="715">
        <f t="shared" ca="1" si="20"/>
        <v>21896</v>
      </c>
      <c r="S83" s="361">
        <f t="shared" ca="1" si="22"/>
        <v>70</v>
      </c>
      <c r="V83" s="799">
        <f>Sheet1!C62</f>
        <v>3</v>
      </c>
    </row>
    <row r="84" spans="1:22">
      <c r="A84" s="717" t="str">
        <f>Sheet1!B63</f>
        <v>D3-023</v>
      </c>
      <c r="B84" s="717">
        <f>Sheet1!E63</f>
        <v>31.95</v>
      </c>
      <c r="C84" s="24">
        <f t="shared" si="12"/>
        <v>1.01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t="s">
        <v>3441</v>
      </c>
      <c r="Q84" s="24">
        <f t="shared" si="19"/>
        <v>0.55000000000000004</v>
      </c>
      <c r="R84" s="715">
        <f t="shared" ca="1" si="20"/>
        <v>21896</v>
      </c>
      <c r="S84" s="361">
        <f t="shared" ca="1" si="22"/>
        <v>70</v>
      </c>
      <c r="V84" s="799">
        <f>Sheet1!C63</f>
        <v>3</v>
      </c>
    </row>
    <row r="85" spans="1:22">
      <c r="A85" s="717" t="str">
        <f>Sheet1!B64</f>
        <v>D3-024</v>
      </c>
      <c r="B85" s="717">
        <f>Sheet1!E64</f>
        <v>31.12</v>
      </c>
      <c r="C85" s="24">
        <f t="shared" si="12"/>
        <v>1.01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t="s">
        <v>3441</v>
      </c>
      <c r="Q85" s="24">
        <f t="shared" si="19"/>
        <v>0.55000000000000004</v>
      </c>
      <c r="R85" s="715">
        <f t="shared" ca="1" si="20"/>
        <v>21896</v>
      </c>
      <c r="S85" s="361">
        <f t="shared" ca="1" si="22"/>
        <v>68</v>
      </c>
      <c r="V85" s="799">
        <f>Sheet1!C64</f>
        <v>3</v>
      </c>
    </row>
    <row r="86" spans="1:22">
      <c r="A86" s="717" t="str">
        <f>Sheet1!B65</f>
        <v>D3-025</v>
      </c>
      <c r="B86" s="717">
        <f>Sheet1!E65</f>
        <v>31.12</v>
      </c>
      <c r="C86" s="24">
        <f t="shared" si="12"/>
        <v>1.01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t="s">
        <v>3441</v>
      </c>
      <c r="Q86" s="24">
        <f t="shared" si="19"/>
        <v>0.55000000000000004</v>
      </c>
      <c r="R86" s="715">
        <f t="shared" ca="1" si="20"/>
        <v>21896</v>
      </c>
      <c r="S86" s="361">
        <f t="shared" ca="1" si="22"/>
        <v>68</v>
      </c>
      <c r="V86" s="799">
        <f>Sheet1!C65</f>
        <v>3</v>
      </c>
    </row>
    <row r="87" spans="1:22">
      <c r="A87" s="717" t="str">
        <f>Sheet1!B66</f>
        <v>D3-026</v>
      </c>
      <c r="B87" s="717">
        <f>Sheet1!E66</f>
        <v>20</v>
      </c>
      <c r="C87" s="24">
        <f t="shared" si="12"/>
        <v>1.01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t="s">
        <v>3441</v>
      </c>
      <c r="Q87" s="24">
        <f t="shared" si="19"/>
        <v>0.55000000000000004</v>
      </c>
      <c r="R87" s="715">
        <f t="shared" ca="1" si="20"/>
        <v>21896</v>
      </c>
      <c r="S87" s="361">
        <f t="shared" ca="1" si="22"/>
        <v>44</v>
      </c>
      <c r="V87" s="799">
        <f>Sheet1!C66</f>
        <v>3</v>
      </c>
    </row>
    <row r="88" spans="1:22">
      <c r="A88" s="717" t="str">
        <f>Sheet1!B67</f>
        <v>D3-026-1</v>
      </c>
      <c r="B88" s="717">
        <f>Sheet1!E67</f>
        <v>20</v>
      </c>
      <c r="C88" s="24">
        <f t="shared" si="12"/>
        <v>1.01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t="s">
        <v>3441</v>
      </c>
      <c r="Q88" s="24">
        <f t="shared" si="19"/>
        <v>0.55000000000000004</v>
      </c>
      <c r="R88" s="715">
        <f t="shared" ca="1" si="20"/>
        <v>21896</v>
      </c>
      <c r="S88" s="361">
        <f t="shared" ca="1" si="22"/>
        <v>44</v>
      </c>
      <c r="V88" s="799">
        <f>Sheet1!C67</f>
        <v>3</v>
      </c>
    </row>
    <row r="89" spans="1:22">
      <c r="A89" s="717" t="str">
        <f>Sheet1!B68</f>
        <v>D3-028</v>
      </c>
      <c r="B89" s="717">
        <f>Sheet1!E68</f>
        <v>18.97</v>
      </c>
      <c r="C89" s="24">
        <f t="shared" si="12"/>
        <v>1.01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t="s">
        <v>3441</v>
      </c>
      <c r="Q89" s="24">
        <f t="shared" si="19"/>
        <v>0.55000000000000004</v>
      </c>
      <c r="R89" s="715">
        <f t="shared" ca="1" si="20"/>
        <v>21896</v>
      </c>
      <c r="S89" s="361">
        <f t="shared" ca="1" si="22"/>
        <v>42</v>
      </c>
      <c r="V89" s="799">
        <f>Sheet1!C68</f>
        <v>3</v>
      </c>
    </row>
    <row r="90" spans="1:22">
      <c r="A90" s="717" t="str">
        <f>Sheet1!B69</f>
        <v>D3-028-1</v>
      </c>
      <c r="B90" s="717">
        <f>Sheet1!E69</f>
        <v>19.36</v>
      </c>
      <c r="C90" s="24">
        <f t="shared" ref="C90:C153" si="23">IF(B90="",1,(LOOKUP(B90,$3:$3,$4:$4)-LOOKUP($B$24,$3:$3,$4:$4)+100)/100)</f>
        <v>1.01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3441</v>
      </c>
      <c r="Q90" s="24">
        <f t="shared" ref="Q90:Q153" si="30">(SUMIF($17:$17,P90,$18:$18)-SUMIF($17:$17,$P$24,$18:$18)+100)/100</f>
        <v>0.55000000000000004</v>
      </c>
      <c r="R90" s="715">
        <f t="shared" ref="R90:R153" ca="1" si="31">IF(B90="",0,ROUND($R$24*C90*E90*G90*I90*K90*M90*O90*Q90,0))</f>
        <v>21896</v>
      </c>
      <c r="S90" s="361">
        <f t="shared" ca="1" si="22"/>
        <v>42</v>
      </c>
      <c r="V90" s="799">
        <f>Sheet1!C69</f>
        <v>3</v>
      </c>
    </row>
    <row r="91" spans="1:22">
      <c r="A91" s="717" t="str">
        <f>Sheet1!B70</f>
        <v>D3-029</v>
      </c>
      <c r="B91" s="717">
        <f>Sheet1!E70</f>
        <v>15.82</v>
      </c>
      <c r="C91" s="24">
        <f t="shared" si="23"/>
        <v>1.01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t="s">
        <v>3441</v>
      </c>
      <c r="Q91" s="24">
        <f t="shared" si="30"/>
        <v>0.55000000000000004</v>
      </c>
      <c r="R91" s="715">
        <f t="shared" ca="1" si="31"/>
        <v>21896</v>
      </c>
      <c r="S91" s="361">
        <f t="shared" ca="1" si="22"/>
        <v>35</v>
      </c>
      <c r="V91" s="799">
        <f>Sheet1!C70</f>
        <v>3</v>
      </c>
    </row>
    <row r="92" spans="1:22">
      <c r="A92" s="717" t="str">
        <f>Sheet1!B71</f>
        <v>D3-029-1</v>
      </c>
      <c r="B92" s="717">
        <f>Sheet1!E71</f>
        <v>19.16</v>
      </c>
      <c r="C92" s="24">
        <f t="shared" si="23"/>
        <v>1.01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t="s">
        <v>3441</v>
      </c>
      <c r="Q92" s="24">
        <f t="shared" si="30"/>
        <v>0.55000000000000004</v>
      </c>
      <c r="R92" s="715">
        <f t="shared" ca="1" si="31"/>
        <v>21896</v>
      </c>
      <c r="S92" s="361">
        <f t="shared" ca="1" si="22"/>
        <v>42</v>
      </c>
      <c r="V92" s="799">
        <f>Sheet1!C71</f>
        <v>3</v>
      </c>
    </row>
    <row r="93" spans="1:22">
      <c r="A93" s="717" t="str">
        <f>Sheet1!B72</f>
        <v>D3-030</v>
      </c>
      <c r="B93" s="717">
        <f>Sheet1!E72</f>
        <v>17.36</v>
      </c>
      <c r="C93" s="24">
        <f t="shared" si="23"/>
        <v>1.01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t="s">
        <v>3441</v>
      </c>
      <c r="Q93" s="24">
        <f t="shared" si="30"/>
        <v>0.55000000000000004</v>
      </c>
      <c r="R93" s="715">
        <f t="shared" ca="1" si="31"/>
        <v>21896</v>
      </c>
      <c r="S93" s="361">
        <f t="shared" ca="1" si="22"/>
        <v>38</v>
      </c>
      <c r="V93" s="799">
        <f>Sheet1!C72</f>
        <v>3</v>
      </c>
    </row>
    <row r="94" spans="1:22">
      <c r="A94" s="717" t="str">
        <f>Sheet1!B73</f>
        <v>D3-030-1</v>
      </c>
      <c r="B94" s="717">
        <f>Sheet1!E73</f>
        <v>17.36</v>
      </c>
      <c r="C94" s="24">
        <f t="shared" si="23"/>
        <v>1.01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t="s">
        <v>3441</v>
      </c>
      <c r="Q94" s="24">
        <f t="shared" si="30"/>
        <v>0.55000000000000004</v>
      </c>
      <c r="R94" s="715">
        <f t="shared" ca="1" si="31"/>
        <v>21896</v>
      </c>
      <c r="S94" s="361">
        <f t="shared" ca="1" si="22"/>
        <v>38</v>
      </c>
      <c r="V94" s="799">
        <f>Sheet1!C73</f>
        <v>3</v>
      </c>
    </row>
    <row r="95" spans="1:22">
      <c r="A95" s="717" t="str">
        <f>Sheet1!B74</f>
        <v>D3-031</v>
      </c>
      <c r="B95" s="717">
        <f>Sheet1!E74</f>
        <v>19.64</v>
      </c>
      <c r="C95" s="24">
        <f t="shared" si="23"/>
        <v>1.01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t="s">
        <v>3441</v>
      </c>
      <c r="Q95" s="24">
        <f t="shared" si="30"/>
        <v>0.55000000000000004</v>
      </c>
      <c r="R95" s="715">
        <f t="shared" ca="1" si="31"/>
        <v>21896</v>
      </c>
      <c r="S95" s="361">
        <f t="shared" ca="1" si="22"/>
        <v>43</v>
      </c>
      <c r="V95" s="799">
        <f>Sheet1!C74</f>
        <v>3</v>
      </c>
    </row>
    <row r="96" spans="1:22">
      <c r="A96" s="717" t="str">
        <f>Sheet1!B75</f>
        <v>D3-032</v>
      </c>
      <c r="B96" s="717">
        <f>Sheet1!E75</f>
        <v>25.25</v>
      </c>
      <c r="C96" s="24">
        <f t="shared" si="23"/>
        <v>1.01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t="s">
        <v>3441</v>
      </c>
      <c r="Q96" s="24">
        <f t="shared" si="30"/>
        <v>0.55000000000000004</v>
      </c>
      <c r="R96" s="715">
        <f t="shared" ca="1" si="31"/>
        <v>21896</v>
      </c>
      <c r="S96" s="361">
        <f t="shared" ca="1" si="22"/>
        <v>55</v>
      </c>
      <c r="V96" s="799">
        <f>Sheet1!C75</f>
        <v>3</v>
      </c>
    </row>
    <row r="97" spans="1:22">
      <c r="A97" s="717" t="str">
        <f>Sheet1!B76</f>
        <v>D3-038</v>
      </c>
      <c r="B97" s="717">
        <f>Sheet1!E76</f>
        <v>18.7</v>
      </c>
      <c r="C97" s="24">
        <f t="shared" si="23"/>
        <v>1.01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t="s">
        <v>3441</v>
      </c>
      <c r="Q97" s="24">
        <f t="shared" si="30"/>
        <v>0.55000000000000004</v>
      </c>
      <c r="R97" s="715">
        <f t="shared" ca="1" si="31"/>
        <v>21896</v>
      </c>
      <c r="S97" s="361">
        <f t="shared" ca="1" si="22"/>
        <v>41</v>
      </c>
      <c r="V97" s="799">
        <f>Sheet1!C76</f>
        <v>3</v>
      </c>
    </row>
    <row r="98" spans="1:22">
      <c r="A98" s="717" t="str">
        <f>Sheet1!B77</f>
        <v>D3-038-1</v>
      </c>
      <c r="B98" s="717">
        <f>Sheet1!E77</f>
        <v>22.19</v>
      </c>
      <c r="C98" s="24">
        <f t="shared" si="23"/>
        <v>1.01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t="s">
        <v>3441</v>
      </c>
      <c r="Q98" s="24">
        <f t="shared" si="30"/>
        <v>0.55000000000000004</v>
      </c>
      <c r="R98" s="715">
        <f t="shared" ca="1" si="31"/>
        <v>21896</v>
      </c>
      <c r="S98" s="361">
        <f t="shared" ca="1" si="22"/>
        <v>49</v>
      </c>
      <c r="V98" s="799">
        <f>Sheet1!C77</f>
        <v>3</v>
      </c>
    </row>
    <row r="99" spans="1:22">
      <c r="A99" s="717" t="str">
        <f>Sheet1!B78</f>
        <v>D3-039</v>
      </c>
      <c r="B99" s="717">
        <f>Sheet1!E78</f>
        <v>35.42</v>
      </c>
      <c r="C99" s="24">
        <f t="shared" si="23"/>
        <v>1.01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t="s">
        <v>3441</v>
      </c>
      <c r="Q99" s="24">
        <f t="shared" si="30"/>
        <v>0.55000000000000004</v>
      </c>
      <c r="R99" s="715">
        <f t="shared" ca="1" si="31"/>
        <v>21896</v>
      </c>
      <c r="S99" s="361">
        <f t="shared" ca="1" si="22"/>
        <v>78</v>
      </c>
      <c r="V99" s="799">
        <f>Sheet1!C78</f>
        <v>3</v>
      </c>
    </row>
    <row r="100" spans="1:22">
      <c r="A100" s="717" t="str">
        <f>Sheet1!B79</f>
        <v>D3-040</v>
      </c>
      <c r="B100" s="717">
        <f>Sheet1!E79</f>
        <v>29.39</v>
      </c>
      <c r="C100" s="24">
        <f t="shared" si="23"/>
        <v>1.01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t="s">
        <v>3441</v>
      </c>
      <c r="Q100" s="24">
        <f t="shared" si="30"/>
        <v>0.55000000000000004</v>
      </c>
      <c r="R100" s="715">
        <f t="shared" ca="1" si="31"/>
        <v>21896</v>
      </c>
      <c r="S100" s="361">
        <f t="shared" ca="1" si="22"/>
        <v>64</v>
      </c>
      <c r="V100" s="799">
        <f>Sheet1!C79</f>
        <v>3</v>
      </c>
    </row>
    <row r="101" spans="1:22">
      <c r="A101" s="717" t="str">
        <f>Sheet1!B80</f>
        <v>D3-122</v>
      </c>
      <c r="B101" s="717">
        <f>Sheet1!E80</f>
        <v>26.07</v>
      </c>
      <c r="C101" s="24">
        <f t="shared" si="23"/>
        <v>1.01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t="s">
        <v>3441</v>
      </c>
      <c r="Q101" s="24">
        <f t="shared" si="30"/>
        <v>0.55000000000000004</v>
      </c>
      <c r="R101" s="715">
        <f t="shared" ca="1" si="31"/>
        <v>21896</v>
      </c>
      <c r="S101" s="361">
        <f t="shared" ca="1" si="22"/>
        <v>57</v>
      </c>
      <c r="V101" s="799">
        <f>Sheet1!C80</f>
        <v>3</v>
      </c>
    </row>
    <row r="102" spans="1:22">
      <c r="A102" s="717" t="str">
        <f>Sheet1!B81</f>
        <v>D3-123</v>
      </c>
      <c r="B102" s="717">
        <f>Sheet1!E81</f>
        <v>22.18</v>
      </c>
      <c r="C102" s="24">
        <f t="shared" si="23"/>
        <v>1.01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t="s">
        <v>3441</v>
      </c>
      <c r="Q102" s="24">
        <f t="shared" si="30"/>
        <v>0.55000000000000004</v>
      </c>
      <c r="R102" s="715">
        <f t="shared" ca="1" si="31"/>
        <v>21896</v>
      </c>
      <c r="S102" s="361">
        <f t="shared" ca="1" si="22"/>
        <v>49</v>
      </c>
      <c r="V102" s="799">
        <f>Sheet1!C81</f>
        <v>3</v>
      </c>
    </row>
    <row r="103" spans="1:22">
      <c r="A103" s="717" t="str">
        <f>Sheet1!B82</f>
        <v>D3-123-1</v>
      </c>
      <c r="B103" s="717">
        <f>Sheet1!E82</f>
        <v>14.35</v>
      </c>
      <c r="C103" s="24">
        <f t="shared" si="23"/>
        <v>1.01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t="s">
        <v>3441</v>
      </c>
      <c r="Q103" s="24">
        <f t="shared" si="30"/>
        <v>0.55000000000000004</v>
      </c>
      <c r="R103" s="715">
        <f t="shared" ca="1" si="31"/>
        <v>21896</v>
      </c>
      <c r="S103" s="361">
        <f t="shared" ca="1" si="22"/>
        <v>31</v>
      </c>
      <c r="V103" s="799">
        <f>Sheet1!C82</f>
        <v>3</v>
      </c>
    </row>
    <row r="104" spans="1:22">
      <c r="A104" s="717" t="str">
        <f>Sheet1!B83</f>
        <v>D3-124</v>
      </c>
      <c r="B104" s="717">
        <f>Sheet1!E83</f>
        <v>22.18</v>
      </c>
      <c r="C104" s="24">
        <f t="shared" si="23"/>
        <v>1.01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t="s">
        <v>3441</v>
      </c>
      <c r="Q104" s="24">
        <f t="shared" si="30"/>
        <v>0.55000000000000004</v>
      </c>
      <c r="R104" s="715">
        <f t="shared" ca="1" si="31"/>
        <v>21896</v>
      </c>
      <c r="S104" s="361">
        <f t="shared" ca="1" si="22"/>
        <v>49</v>
      </c>
      <c r="V104" s="799">
        <f>Sheet1!C83</f>
        <v>3</v>
      </c>
    </row>
    <row r="105" spans="1:22">
      <c r="A105" s="717" t="str">
        <f>Sheet1!B84</f>
        <v>D3-124-1</v>
      </c>
      <c r="B105" s="717">
        <f>Sheet1!E84</f>
        <v>21.37</v>
      </c>
      <c r="C105" s="24">
        <f t="shared" si="23"/>
        <v>1.01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t="s">
        <v>3441</v>
      </c>
      <c r="Q105" s="24">
        <f t="shared" si="30"/>
        <v>0.55000000000000004</v>
      </c>
      <c r="R105" s="715">
        <f t="shared" ca="1" si="31"/>
        <v>21896</v>
      </c>
      <c r="S105" s="361">
        <f t="shared" ca="1" si="22"/>
        <v>47</v>
      </c>
      <c r="V105" s="799">
        <f>Sheet1!C84</f>
        <v>3</v>
      </c>
    </row>
    <row r="106" spans="1:22">
      <c r="A106" s="717" t="str">
        <f>Sheet1!B85</f>
        <v>D3-125</v>
      </c>
      <c r="B106" s="717">
        <f>Sheet1!E85</f>
        <v>22.18</v>
      </c>
      <c r="C106" s="24">
        <f t="shared" si="23"/>
        <v>1.01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t="s">
        <v>3441</v>
      </c>
      <c r="Q106" s="24">
        <f t="shared" si="30"/>
        <v>0.55000000000000004</v>
      </c>
      <c r="R106" s="715">
        <f t="shared" ca="1" si="31"/>
        <v>21896</v>
      </c>
      <c r="S106" s="361">
        <f t="shared" ca="1" si="22"/>
        <v>49</v>
      </c>
      <c r="V106" s="799">
        <f>Sheet1!C85</f>
        <v>3</v>
      </c>
    </row>
    <row r="107" spans="1:22">
      <c r="A107" s="717" t="str">
        <f>Sheet1!B86</f>
        <v>D3-125-1</v>
      </c>
      <c r="B107" s="717">
        <f>Sheet1!E86</f>
        <v>21.37</v>
      </c>
      <c r="C107" s="24">
        <f t="shared" si="23"/>
        <v>1.01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t="s">
        <v>3441</v>
      </c>
      <c r="Q107" s="24">
        <f t="shared" si="30"/>
        <v>0.55000000000000004</v>
      </c>
      <c r="R107" s="715">
        <f t="shared" ca="1" si="31"/>
        <v>21896</v>
      </c>
      <c r="S107" s="361">
        <f t="shared" ca="1" si="22"/>
        <v>47</v>
      </c>
      <c r="V107" s="799">
        <f>Sheet1!C86</f>
        <v>3</v>
      </c>
    </row>
    <row r="108" spans="1:22">
      <c r="A108" s="717" t="str">
        <f>Sheet1!B87</f>
        <v>D3-126</v>
      </c>
      <c r="B108" s="717">
        <f>Sheet1!E87</f>
        <v>22.17</v>
      </c>
      <c r="C108" s="24">
        <f t="shared" si="23"/>
        <v>1.01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t="s">
        <v>3441</v>
      </c>
      <c r="Q108" s="24">
        <f t="shared" si="30"/>
        <v>0.55000000000000004</v>
      </c>
      <c r="R108" s="715">
        <f t="shared" ca="1" si="31"/>
        <v>21896</v>
      </c>
      <c r="S108" s="361">
        <f t="shared" ca="1" si="22"/>
        <v>49</v>
      </c>
      <c r="V108" s="799">
        <f>Sheet1!C87</f>
        <v>3</v>
      </c>
    </row>
    <row r="109" spans="1:22">
      <c r="A109" s="717" t="str">
        <f>Sheet1!B88</f>
        <v>D3-126-1</v>
      </c>
      <c r="B109" s="717">
        <f>Sheet1!E88</f>
        <v>21.37</v>
      </c>
      <c r="C109" s="24">
        <f t="shared" si="23"/>
        <v>1.01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t="s">
        <v>3441</v>
      </c>
      <c r="Q109" s="24">
        <f t="shared" si="30"/>
        <v>0.55000000000000004</v>
      </c>
      <c r="R109" s="715">
        <f t="shared" ca="1" si="31"/>
        <v>21896</v>
      </c>
      <c r="S109" s="361">
        <f t="shared" ca="1" si="22"/>
        <v>47</v>
      </c>
      <c r="V109" s="799">
        <f>Sheet1!C88</f>
        <v>3</v>
      </c>
    </row>
    <row r="110" spans="1:22">
      <c r="A110" s="717" t="str">
        <f>Sheet1!B89</f>
        <v>D3-127</v>
      </c>
      <c r="B110" s="717">
        <f>Sheet1!E89</f>
        <v>22.18</v>
      </c>
      <c r="C110" s="24">
        <f t="shared" si="23"/>
        <v>1.01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t="s">
        <v>3441</v>
      </c>
      <c r="Q110" s="24">
        <f t="shared" si="30"/>
        <v>0.55000000000000004</v>
      </c>
      <c r="R110" s="715">
        <f t="shared" ca="1" si="31"/>
        <v>21896</v>
      </c>
      <c r="S110" s="361">
        <f t="shared" ca="1" si="22"/>
        <v>49</v>
      </c>
      <c r="V110" s="799">
        <f>Sheet1!C89</f>
        <v>3</v>
      </c>
    </row>
    <row r="111" spans="1:22">
      <c r="A111" s="717" t="str">
        <f>Sheet1!B90</f>
        <v>D3-127-1</v>
      </c>
      <c r="B111" s="717">
        <f>Sheet1!E90</f>
        <v>21.38</v>
      </c>
      <c r="C111" s="24">
        <f t="shared" si="23"/>
        <v>1.01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t="s">
        <v>3441</v>
      </c>
      <c r="Q111" s="24">
        <f t="shared" si="30"/>
        <v>0.55000000000000004</v>
      </c>
      <c r="R111" s="715">
        <f t="shared" ca="1" si="31"/>
        <v>21896</v>
      </c>
      <c r="S111" s="361">
        <f t="shared" ca="1" si="22"/>
        <v>47</v>
      </c>
      <c r="V111" s="799">
        <f>Sheet1!C90</f>
        <v>3</v>
      </c>
    </row>
    <row r="112" spans="1:22">
      <c r="A112" s="717" t="str">
        <f>Sheet1!B91</f>
        <v>D3-128</v>
      </c>
      <c r="B112" s="717">
        <f>Sheet1!E91</f>
        <v>22.18</v>
      </c>
      <c r="C112" s="24">
        <f t="shared" si="23"/>
        <v>1.01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t="s">
        <v>3441</v>
      </c>
      <c r="Q112" s="24">
        <f t="shared" si="30"/>
        <v>0.55000000000000004</v>
      </c>
      <c r="R112" s="715">
        <f t="shared" ca="1" si="31"/>
        <v>21896</v>
      </c>
      <c r="S112" s="361">
        <f t="shared" ca="1" si="22"/>
        <v>49</v>
      </c>
      <c r="V112" s="799">
        <f>Sheet1!C91</f>
        <v>3</v>
      </c>
    </row>
    <row r="113" spans="1:22">
      <c r="A113" s="717" t="str">
        <f>Sheet1!B92</f>
        <v>D3-128-1</v>
      </c>
      <c r="B113" s="717">
        <f>Sheet1!E92</f>
        <v>21.37</v>
      </c>
      <c r="C113" s="24">
        <f t="shared" si="23"/>
        <v>1.01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t="s">
        <v>3441</v>
      </c>
      <c r="Q113" s="24">
        <f t="shared" si="30"/>
        <v>0.55000000000000004</v>
      </c>
      <c r="R113" s="715">
        <f t="shared" ca="1" si="31"/>
        <v>21896</v>
      </c>
      <c r="S113" s="361">
        <f t="shared" ca="1" si="22"/>
        <v>47</v>
      </c>
      <c r="V113" s="799">
        <f>Sheet1!C92</f>
        <v>3</v>
      </c>
    </row>
    <row r="114" spans="1:22">
      <c r="A114" s="717" t="str">
        <f>Sheet1!B93</f>
        <v>D3-129</v>
      </c>
      <c r="B114" s="717">
        <f>Sheet1!E93</f>
        <v>22.18</v>
      </c>
      <c r="C114" s="24">
        <f t="shared" si="23"/>
        <v>1.01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t="s">
        <v>3441</v>
      </c>
      <c r="Q114" s="24">
        <f t="shared" si="30"/>
        <v>0.55000000000000004</v>
      </c>
      <c r="R114" s="715">
        <f t="shared" ca="1" si="31"/>
        <v>21896</v>
      </c>
      <c r="S114" s="361">
        <f t="shared" ca="1" si="22"/>
        <v>49</v>
      </c>
      <c r="V114" s="799">
        <f>Sheet1!C93</f>
        <v>3</v>
      </c>
    </row>
    <row r="115" spans="1:22">
      <c r="A115" s="717" t="str">
        <f>Sheet1!B94</f>
        <v>D3-129-1</v>
      </c>
      <c r="B115" s="717">
        <f>Sheet1!E94</f>
        <v>19.53</v>
      </c>
      <c r="C115" s="24">
        <f t="shared" si="23"/>
        <v>1.01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t="s">
        <v>3441</v>
      </c>
      <c r="Q115" s="24">
        <f t="shared" si="30"/>
        <v>0.55000000000000004</v>
      </c>
      <c r="R115" s="715">
        <f t="shared" ca="1" si="31"/>
        <v>21896</v>
      </c>
      <c r="S115" s="361">
        <f t="shared" ca="1" si="22"/>
        <v>43</v>
      </c>
      <c r="V115" s="799">
        <f>Sheet1!C94</f>
        <v>3</v>
      </c>
    </row>
    <row r="116" spans="1:22">
      <c r="A116" s="717" t="str">
        <f>Sheet1!B95</f>
        <v>D3-130</v>
      </c>
      <c r="B116" s="717">
        <f>Sheet1!E95</f>
        <v>20.56</v>
      </c>
      <c r="C116" s="24">
        <f t="shared" si="23"/>
        <v>1.01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t="s">
        <v>3441</v>
      </c>
      <c r="Q116" s="24">
        <f t="shared" si="30"/>
        <v>0.55000000000000004</v>
      </c>
      <c r="R116" s="715">
        <f t="shared" ca="1" si="31"/>
        <v>21896</v>
      </c>
      <c r="S116" s="361">
        <f t="shared" ca="1" si="22"/>
        <v>45</v>
      </c>
      <c r="V116" s="799">
        <f>Sheet1!C95</f>
        <v>3</v>
      </c>
    </row>
    <row r="117" spans="1:22">
      <c r="A117" s="717" t="str">
        <f>Sheet1!B96</f>
        <v>D3-131</v>
      </c>
      <c r="B117" s="717">
        <f>Sheet1!E96</f>
        <v>38.58</v>
      </c>
      <c r="C117" s="24">
        <f t="shared" si="23"/>
        <v>1.01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t="s">
        <v>3441</v>
      </c>
      <c r="Q117" s="24">
        <f t="shared" si="30"/>
        <v>0.55000000000000004</v>
      </c>
      <c r="R117" s="715">
        <f t="shared" ca="1" si="31"/>
        <v>21896</v>
      </c>
      <c r="S117" s="361">
        <f t="shared" ca="1" si="22"/>
        <v>84</v>
      </c>
      <c r="V117" s="799">
        <f>Sheet1!C96</f>
        <v>3</v>
      </c>
    </row>
    <row r="118" spans="1:22">
      <c r="A118" s="717" t="str">
        <f>Sheet1!B97</f>
        <v>D3-132</v>
      </c>
      <c r="B118" s="717">
        <f>Sheet1!E97</f>
        <v>44.1</v>
      </c>
      <c r="C118" s="24">
        <f t="shared" si="23"/>
        <v>1.01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t="s">
        <v>3441</v>
      </c>
      <c r="Q118" s="24">
        <f t="shared" si="30"/>
        <v>0.55000000000000004</v>
      </c>
      <c r="R118" s="715">
        <f t="shared" ca="1" si="31"/>
        <v>21896</v>
      </c>
      <c r="S118" s="361">
        <f t="shared" ca="1" si="22"/>
        <v>97</v>
      </c>
      <c r="V118" s="799">
        <f>Sheet1!C97</f>
        <v>3</v>
      </c>
    </row>
    <row r="119" spans="1:22">
      <c r="A119" s="717" t="str">
        <f>Sheet1!B98</f>
        <v>D3-133</v>
      </c>
      <c r="B119" s="717">
        <f>Sheet1!E98</f>
        <v>44.57</v>
      </c>
      <c r="C119" s="24">
        <f t="shared" si="23"/>
        <v>1.01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t="s">
        <v>3441</v>
      </c>
      <c r="Q119" s="24">
        <f t="shared" si="30"/>
        <v>0.55000000000000004</v>
      </c>
      <c r="R119" s="715">
        <f t="shared" ca="1" si="31"/>
        <v>21896</v>
      </c>
      <c r="S119" s="361">
        <f t="shared" ca="1" si="22"/>
        <v>98</v>
      </c>
      <c r="V119" s="799">
        <f>Sheet1!C98</f>
        <v>3</v>
      </c>
    </row>
    <row r="120" spans="1:22">
      <c r="A120" s="717" t="str">
        <f>Sheet1!B99</f>
        <v>D3-134</v>
      </c>
      <c r="B120" s="717">
        <f>Sheet1!E99</f>
        <v>44.72</v>
      </c>
      <c r="C120" s="24">
        <f t="shared" si="23"/>
        <v>1.01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t="s">
        <v>3441</v>
      </c>
      <c r="Q120" s="24">
        <f t="shared" si="30"/>
        <v>0.55000000000000004</v>
      </c>
      <c r="R120" s="715">
        <f t="shared" ca="1" si="31"/>
        <v>21896</v>
      </c>
      <c r="S120" s="361">
        <f t="shared" ca="1" si="22"/>
        <v>98</v>
      </c>
      <c r="V120" s="799">
        <f>Sheet1!C99</f>
        <v>3</v>
      </c>
    </row>
    <row r="121" spans="1:22">
      <c r="A121" s="717" t="str">
        <f>Sheet1!B100</f>
        <v>D3-139</v>
      </c>
      <c r="B121" s="717">
        <f>Sheet1!E100</f>
        <v>26.23</v>
      </c>
      <c r="C121" s="24">
        <f t="shared" si="23"/>
        <v>1.01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t="s">
        <v>3441</v>
      </c>
      <c r="Q121" s="24">
        <f t="shared" si="30"/>
        <v>0.55000000000000004</v>
      </c>
      <c r="R121" s="715">
        <f t="shared" ca="1" si="31"/>
        <v>21896</v>
      </c>
      <c r="S121" s="361">
        <f t="shared" ca="1" si="22"/>
        <v>57</v>
      </c>
      <c r="V121" s="799">
        <f>Sheet1!C100</f>
        <v>3</v>
      </c>
    </row>
    <row r="122" spans="1:22">
      <c r="A122" s="717" t="str">
        <f>Sheet1!B101</f>
        <v>D3-139-1</v>
      </c>
      <c r="B122" s="717">
        <f>Sheet1!E101</f>
        <v>25.65</v>
      </c>
      <c r="C122" s="24">
        <f t="shared" si="23"/>
        <v>1.01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t="s">
        <v>3441</v>
      </c>
      <c r="Q122" s="24">
        <f t="shared" si="30"/>
        <v>0.55000000000000004</v>
      </c>
      <c r="R122" s="715">
        <f t="shared" ca="1" si="31"/>
        <v>21896</v>
      </c>
      <c r="S122" s="361">
        <f t="shared" ca="1" si="22"/>
        <v>56</v>
      </c>
      <c r="V122" s="799">
        <f>Sheet1!C101</f>
        <v>3</v>
      </c>
    </row>
    <row r="123" spans="1:22">
      <c r="A123" s="717" t="str">
        <f>Sheet1!B102</f>
        <v>D3-142</v>
      </c>
      <c r="B123" s="717">
        <f>Sheet1!E102</f>
        <v>20.12</v>
      </c>
      <c r="C123" s="24">
        <f t="shared" si="23"/>
        <v>1.01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t="s">
        <v>3441</v>
      </c>
      <c r="Q123" s="24">
        <f t="shared" si="30"/>
        <v>0.55000000000000004</v>
      </c>
      <c r="R123" s="715">
        <f t="shared" ca="1" si="31"/>
        <v>21896</v>
      </c>
      <c r="S123" s="361">
        <f t="shared" ref="S123:S186" ca="1" si="32">ROUND(R123*B123/10000,0)</f>
        <v>44</v>
      </c>
      <c r="V123" s="799">
        <f>Sheet1!C102</f>
        <v>3</v>
      </c>
    </row>
    <row r="124" spans="1:22">
      <c r="A124" s="717" t="str">
        <f>Sheet1!B103</f>
        <v>D3-142-1</v>
      </c>
      <c r="B124" s="717">
        <f>Sheet1!E103</f>
        <v>32.5</v>
      </c>
      <c r="C124" s="24">
        <f t="shared" si="23"/>
        <v>1.01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t="s">
        <v>3441</v>
      </c>
      <c r="Q124" s="24">
        <f t="shared" si="30"/>
        <v>0.55000000000000004</v>
      </c>
      <c r="R124" s="715">
        <f t="shared" ca="1" si="31"/>
        <v>21896</v>
      </c>
      <c r="S124" s="361">
        <f t="shared" ca="1" si="32"/>
        <v>71</v>
      </c>
      <c r="V124" s="799">
        <f>Sheet1!C103</f>
        <v>3</v>
      </c>
    </row>
    <row r="125" spans="1:22">
      <c r="A125" s="717" t="str">
        <f>Sheet1!B104</f>
        <v>D3-143</v>
      </c>
      <c r="B125" s="717">
        <f>Sheet1!E104</f>
        <v>26.82</v>
      </c>
      <c r="C125" s="24">
        <f t="shared" si="23"/>
        <v>1.01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t="s">
        <v>3441</v>
      </c>
      <c r="Q125" s="24">
        <f t="shared" si="30"/>
        <v>0.55000000000000004</v>
      </c>
      <c r="R125" s="715">
        <f t="shared" ca="1" si="31"/>
        <v>21896</v>
      </c>
      <c r="S125" s="361">
        <f t="shared" ca="1" si="32"/>
        <v>59</v>
      </c>
      <c r="V125" s="799">
        <f>Sheet1!C104</f>
        <v>3</v>
      </c>
    </row>
    <row r="126" spans="1:22">
      <c r="A126" s="717" t="str">
        <f>Sheet1!B105</f>
        <v>D3-143-1</v>
      </c>
      <c r="B126" s="717">
        <f>Sheet1!E105</f>
        <v>24.36</v>
      </c>
      <c r="C126" s="24">
        <f t="shared" si="23"/>
        <v>1.01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t="s">
        <v>3441</v>
      </c>
      <c r="Q126" s="24">
        <f t="shared" si="30"/>
        <v>0.55000000000000004</v>
      </c>
      <c r="R126" s="715">
        <f t="shared" ca="1" si="31"/>
        <v>21896</v>
      </c>
      <c r="S126" s="361">
        <f t="shared" ca="1" si="32"/>
        <v>53</v>
      </c>
      <c r="V126" s="799">
        <f>Sheet1!C105</f>
        <v>3</v>
      </c>
    </row>
    <row r="127" spans="1:22">
      <c r="A127" s="717" t="str">
        <f>Sheet1!B106</f>
        <v>D4-043</v>
      </c>
      <c r="B127" s="717">
        <f>Sheet1!E106</f>
        <v>24.8</v>
      </c>
      <c r="C127" s="24">
        <f t="shared" si="23"/>
        <v>1.01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t="s">
        <v>3442</v>
      </c>
      <c r="Q127" s="24">
        <f t="shared" si="30"/>
        <v>0.45</v>
      </c>
      <c r="R127" s="715">
        <f t="shared" ca="1" si="31"/>
        <v>17915</v>
      </c>
      <c r="S127" s="361">
        <f t="shared" ca="1" si="32"/>
        <v>44</v>
      </c>
      <c r="V127" s="799">
        <f>Sheet1!C106</f>
        <v>4</v>
      </c>
    </row>
    <row r="128" spans="1:22">
      <c r="A128" s="717" t="str">
        <f>Sheet1!B107</f>
        <v>D4-046</v>
      </c>
      <c r="B128" s="717">
        <f>Sheet1!E107</f>
        <v>21.5</v>
      </c>
      <c r="C128" s="24">
        <f t="shared" si="23"/>
        <v>1.01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t="s">
        <v>3442</v>
      </c>
      <c r="Q128" s="24">
        <f t="shared" si="30"/>
        <v>0.45</v>
      </c>
      <c r="R128" s="715">
        <f t="shared" ca="1" si="31"/>
        <v>17915</v>
      </c>
      <c r="S128" s="361">
        <f t="shared" ca="1" si="32"/>
        <v>39</v>
      </c>
      <c r="V128" s="799">
        <f>Sheet1!C107</f>
        <v>4</v>
      </c>
    </row>
    <row r="129" spans="1:22">
      <c r="A129" s="717" t="str">
        <f>Sheet1!B108</f>
        <v>D4-087</v>
      </c>
      <c r="B129" s="717">
        <f>Sheet1!E108</f>
        <v>22.75</v>
      </c>
      <c r="C129" s="24">
        <f t="shared" si="23"/>
        <v>1.01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t="s">
        <v>3442</v>
      </c>
      <c r="Q129" s="24">
        <f t="shared" si="30"/>
        <v>0.45</v>
      </c>
      <c r="R129" s="715">
        <f t="shared" ca="1" si="31"/>
        <v>17915</v>
      </c>
      <c r="S129" s="361">
        <f t="shared" ca="1" si="32"/>
        <v>41</v>
      </c>
      <c r="V129" s="799">
        <f>Sheet1!C108</f>
        <v>4</v>
      </c>
    </row>
    <row r="130" spans="1:22">
      <c r="A130" s="717" t="str">
        <f>Sheet1!B109</f>
        <v>D4-117</v>
      </c>
      <c r="B130" s="717">
        <f>Sheet1!E109</f>
        <v>37.9</v>
      </c>
      <c r="C130" s="24">
        <f t="shared" si="23"/>
        <v>1.01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t="s">
        <v>3442</v>
      </c>
      <c r="Q130" s="24">
        <f t="shared" si="30"/>
        <v>0.45</v>
      </c>
      <c r="R130" s="715">
        <f t="shared" ca="1" si="31"/>
        <v>17915</v>
      </c>
      <c r="S130" s="361">
        <f t="shared" ca="1" si="32"/>
        <v>68</v>
      </c>
      <c r="V130" s="799">
        <f>Sheet1!C109</f>
        <v>4</v>
      </c>
    </row>
    <row r="131" spans="1:22">
      <c r="A131" s="717" t="str">
        <f>Sheet1!B110</f>
        <v>D4-124</v>
      </c>
      <c r="B131" s="717">
        <f>Sheet1!E110</f>
        <v>32.47</v>
      </c>
      <c r="C131" s="24">
        <f t="shared" si="23"/>
        <v>1.01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t="s">
        <v>3442</v>
      </c>
      <c r="Q131" s="24">
        <f t="shared" si="30"/>
        <v>0.45</v>
      </c>
      <c r="R131" s="715">
        <f t="shared" ca="1" si="31"/>
        <v>17915</v>
      </c>
      <c r="S131" s="361">
        <f t="shared" ca="1" si="32"/>
        <v>58</v>
      </c>
      <c r="V131" s="799">
        <f>Sheet1!C110</f>
        <v>4</v>
      </c>
    </row>
    <row r="132" spans="1:22">
      <c r="A132" s="717"/>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c r="V132" s="799"/>
    </row>
    <row r="133" spans="1:22">
      <c r="A133" s="717"/>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c r="V133" s="799"/>
    </row>
    <row r="134" spans="1:22">
      <c r="A134" s="717"/>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c r="V134" s="799"/>
    </row>
    <row r="135" spans="1:22">
      <c r="A135" s="717"/>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c r="V135" s="799"/>
    </row>
    <row r="136" spans="1:22">
      <c r="A136" s="717"/>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c r="V136" s="799"/>
    </row>
    <row r="137" spans="1:22">
      <c r="A137" s="717"/>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c r="V137" s="799"/>
    </row>
    <row r="138" spans="1:22">
      <c r="A138" s="717"/>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c r="V138" s="799"/>
    </row>
    <row r="139" spans="1:22">
      <c r="A139" s="717"/>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c r="V139" s="799"/>
    </row>
    <row r="140" spans="1:22">
      <c r="A140" s="717"/>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c r="V140" s="799"/>
    </row>
    <row r="141" spans="1:22">
      <c r="A141" s="717"/>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c r="V141" s="799"/>
    </row>
    <row r="142" spans="1:22">
      <c r="A142" s="717"/>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c r="V142" s="799"/>
    </row>
    <row r="143" spans="1:22">
      <c r="A143" s="717"/>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c r="V143" s="799"/>
    </row>
    <row r="144" spans="1:22">
      <c r="A144" s="717"/>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717"/>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717"/>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717"/>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717"/>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717"/>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5"/>
      <c r="C2" s="3045"/>
      <c r="D2" s="3045"/>
      <c r="E2" s="3045"/>
    </row>
    <row r="3" spans="1:5" ht="18">
      <c r="A3" s="3046" t="str">
        <f>IF(项目基本情况!B9="房地产市场价值","估价结果一览表（市场价值不需“结果表-1”）","估价结果一览表")</f>
        <v>估价结果一览表</v>
      </c>
      <c r="B3" s="3046"/>
      <c r="C3" s="3046"/>
      <c r="D3" s="3046"/>
      <c r="E3" s="3046"/>
    </row>
    <row r="4" spans="1:5" ht="19.5" thickBot="1">
      <c r="A4" s="1963"/>
      <c r="B4" s="3044" t="s">
        <v>1629</v>
      </c>
      <c r="C4" s="3044"/>
      <c r="D4" s="3044"/>
      <c r="E4" s="1963"/>
    </row>
    <row r="5" spans="1:5" ht="16.5" thickTop="1">
      <c r="A5" s="1961"/>
      <c r="B5" s="3042" t="s">
        <v>1621</v>
      </c>
      <c r="C5" s="1964" t="s">
        <v>1622</v>
      </c>
      <c r="D5" s="1042">
        <f ca="1">结果表!H101</f>
        <v>666</v>
      </c>
      <c r="E5" s="1961"/>
    </row>
    <row r="6" spans="1:5" ht="15.75">
      <c r="A6" s="1961"/>
      <c r="B6" s="3042"/>
      <c r="C6" s="1964" t="s">
        <v>1623</v>
      </c>
      <c r="D6" s="1042" t="str">
        <f ca="1">NUMBERSTRING(INT(D5*10000),2)&amp;"元整"</f>
        <v>陆佰陆拾陆万元整</v>
      </c>
      <c r="E6" s="1961"/>
    </row>
    <row r="7" spans="1:5" ht="15.75">
      <c r="A7" s="1961"/>
      <c r="B7" s="3047"/>
      <c r="C7" s="1965" t="s">
        <v>1624</v>
      </c>
      <c r="D7" s="1043">
        <f ca="1">结果表!H102</f>
        <v>39429</v>
      </c>
      <c r="E7" s="1961"/>
    </row>
    <row r="8" spans="1:5" ht="15.75">
      <c r="A8" s="1961"/>
      <c r="B8" s="3048" t="str">
        <f>结果表!E103</f>
        <v>2.估价师知悉的法定优先受偿款</v>
      </c>
      <c r="C8" s="1966" t="s">
        <v>1625</v>
      </c>
      <c r="D8" s="1043">
        <f>结果表!H103</f>
        <v>0</v>
      </c>
      <c r="E8" s="1961"/>
    </row>
    <row r="9" spans="1:5" ht="15.75">
      <c r="A9" s="1961"/>
      <c r="B9" s="3050"/>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41" t="str">
        <f>结果表!E107</f>
        <v>3.房地产抵押价值</v>
      </c>
      <c r="C13" s="1969" t="s">
        <v>1622</v>
      </c>
      <c r="D13" s="1045">
        <f ca="1">结果表!H107</f>
        <v>666</v>
      </c>
      <c r="E13" s="1961"/>
    </row>
    <row r="14" spans="1:5" ht="15.75">
      <c r="A14" s="1961"/>
      <c r="B14" s="3042"/>
      <c r="C14" s="1964" t="s">
        <v>1623</v>
      </c>
      <c r="D14" s="1042" t="str">
        <f ca="1">NUMBERSTRING(INT(D13*10000),2)&amp;"元整"</f>
        <v>陆佰陆拾陆万元整</v>
      </c>
      <c r="E14" s="1961"/>
    </row>
    <row r="15" spans="1:5" ht="15">
      <c r="A15" s="1961"/>
      <c r="B15" s="3047"/>
      <c r="C15" s="1965" t="s">
        <v>1633</v>
      </c>
      <c r="D15" s="1054">
        <f ca="1">结果表!H108</f>
        <v>1378</v>
      </c>
      <c r="E15" s="1961"/>
    </row>
    <row r="16" spans="1:5" ht="15">
      <c r="A16" s="1961"/>
      <c r="B16" s="3048" t="str">
        <f>结果表!E109</f>
        <v>——</v>
      </c>
      <c r="C16" s="1969" t="s">
        <v>1634</v>
      </c>
      <c r="D16" s="1970" t="str">
        <f>结果表!H109</f>
        <v>——</v>
      </c>
      <c r="E16" s="1961"/>
    </row>
    <row r="17" spans="1:5" ht="15.75">
      <c r="A17" s="1961"/>
      <c r="B17" s="3049"/>
      <c r="C17" s="1964" t="s">
        <v>1635</v>
      </c>
      <c r="D17" s="1042" t="e">
        <f>NUMBERSTRING(INT(D16*10000),2)&amp;"元整"</f>
        <v>#VALUE!</v>
      </c>
      <c r="E17" s="1961"/>
    </row>
    <row r="18" spans="1:5" ht="15">
      <c r="A18" s="1961"/>
      <c r="B18" s="3050"/>
      <c r="C18" s="1965" t="s">
        <v>1624</v>
      </c>
      <c r="D18" s="1054" t="str">
        <f>结果表!H110</f>
        <v>——</v>
      </c>
      <c r="E18" s="1961"/>
    </row>
    <row r="19" spans="1:5" ht="15.75">
      <c r="A19" s="1961"/>
      <c r="B19" s="3041" t="str">
        <f>结果表!E111</f>
        <v>——</v>
      </c>
      <c r="C19" s="1969" t="s">
        <v>1622</v>
      </c>
      <c r="D19" s="1043" t="str">
        <f>结果表!H111</f>
        <v>——</v>
      </c>
      <c r="E19" s="1961"/>
    </row>
    <row r="20" spans="1:5" ht="15.75">
      <c r="A20" s="1961"/>
      <c r="B20" s="3042"/>
      <c r="C20" s="1964" t="s">
        <v>1635</v>
      </c>
      <c r="D20" s="1042" t="e">
        <f>NUMBERSTRING(INT(D19*10000),2)&amp;"元整"</f>
        <v>#VALUE!</v>
      </c>
      <c r="E20" s="1961"/>
    </row>
    <row r="21" spans="1:5" ht="15.75" thickBot="1">
      <c r="A21" s="1961"/>
      <c r="B21" s="3043"/>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33701</v>
      </c>
      <c r="C2" s="2" t="s">
        <v>133</v>
      </c>
      <c r="D2" s="243"/>
      <c r="E2" s="243"/>
      <c r="F2" s="243"/>
      <c r="G2" s="243"/>
    </row>
    <row r="3" spans="1:7" s="244" customFormat="1" ht="18" customHeight="1" thickBot="1">
      <c r="A3" s="247" t="s">
        <v>85</v>
      </c>
      <c r="B3" s="248">
        <f ca="1">ROUND(B2*10000/'数据-汇总表'!E3,0)</f>
        <v>69717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100</v>
      </c>
      <c r="F9" s="265"/>
      <c r="G9" s="270"/>
    </row>
    <row r="10" spans="1:7" s="258" customFormat="1" ht="13.5" customHeight="1">
      <c r="A10" s="952" t="s">
        <v>801</v>
      </c>
      <c r="B10" s="268" t="s">
        <v>94</v>
      </c>
      <c r="C10" s="269">
        <f>ROUND(D10*E10/10000,0)</f>
        <v>48</v>
      </c>
      <c r="D10" s="1034">
        <f>'数据-汇总表'!E6</f>
        <v>4833.9999999999973</v>
      </c>
      <c r="E10" s="269">
        <f>'数据-取费表'!B28</f>
        <v>100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97</v>
      </c>
      <c r="D19" s="1038">
        <f>'数据-汇总表'!E3</f>
        <v>4833.9999999999973</v>
      </c>
      <c r="E19" s="255">
        <f>'数据-取费表'!B31</f>
        <v>200</v>
      </c>
      <c r="F19" s="275"/>
      <c r="G19" s="1" t="s">
        <v>1074</v>
      </c>
    </row>
    <row r="20" spans="1:7" s="258" customFormat="1" ht="13.5" customHeight="1">
      <c r="A20" s="950" t="s">
        <v>1057</v>
      </c>
      <c r="B20" s="254" t="s">
        <v>104</v>
      </c>
      <c r="C20" s="276">
        <f>ROUND((C5+C19)*F20,0)</f>
        <v>414</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2572</v>
      </c>
      <c r="D22" s="279">
        <f ca="1">C26</f>
        <v>1.1999999999999999E-3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12</v>
      </c>
      <c r="D24" s="282"/>
      <c r="E24" s="282"/>
      <c r="F24" s="283"/>
      <c r="G24" s="284" t="s">
        <v>109</v>
      </c>
    </row>
    <row r="25" spans="1:7" s="258" customFormat="1" ht="24">
      <c r="A25" s="953" t="s">
        <v>793</v>
      </c>
      <c r="B25" s="259" t="s">
        <v>1058</v>
      </c>
      <c r="C25" s="1357">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5280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5280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31476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1614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1451</v>
      </c>
      <c r="D34" s="261"/>
      <c r="E34" s="264"/>
      <c r="F34" s="301">
        <f>IF('数据-取费表'!B24=0,1,'数据-取费表'!N16)</f>
        <v>1</v>
      </c>
      <c r="G34" s="263" t="s">
        <v>116</v>
      </c>
    </row>
    <row r="35" spans="1:7" ht="13.5" customHeight="1">
      <c r="A35" s="953" t="s">
        <v>796</v>
      </c>
      <c r="B35" s="259" t="s">
        <v>60</v>
      </c>
      <c r="C35" s="264">
        <f>ROUND(C34*F35,0)</f>
        <v>44</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97</v>
      </c>
      <c r="D37" s="261">
        <f>'数据-汇总表'!E3</f>
        <v>4833.9999999999973</v>
      </c>
      <c r="E37" s="293">
        <f>'数据-取费表'!B35</f>
        <v>200</v>
      </c>
      <c r="F37" s="303"/>
      <c r="G37" s="305" t="s">
        <v>119</v>
      </c>
    </row>
    <row r="38" spans="1:7" ht="13.5" customHeight="1">
      <c r="A38" s="953" t="s">
        <v>799</v>
      </c>
      <c r="B38" s="259" t="s">
        <v>63</v>
      </c>
      <c r="C38" s="264">
        <f>ROUND(C34*F38,0)</f>
        <v>22</v>
      </c>
      <c r="D38" s="264"/>
      <c r="E38" s="264"/>
      <c r="F38" s="303">
        <f>'数据-取费表'!B36</f>
        <v>1.4999999999999999E-2</v>
      </c>
      <c r="G38" s="263" t="s">
        <v>117</v>
      </c>
    </row>
    <row r="39" spans="1:7" s="258" customFormat="1" ht="13.5" customHeight="1">
      <c r="A39" s="950" t="s">
        <v>783</v>
      </c>
      <c r="B39" s="254" t="s">
        <v>104</v>
      </c>
      <c r="C39" s="276">
        <f>ROUND(C33*F20,0)</f>
        <v>32</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98</v>
      </c>
      <c r="D41" s="279">
        <f ca="1">C44</f>
        <v>1.1999999999999999E-3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96</v>
      </c>
      <c r="D42" s="282"/>
      <c r="E42" s="282"/>
      <c r="F42" s="283"/>
      <c r="G42" s="3226" t="s">
        <v>121</v>
      </c>
    </row>
    <row r="43" spans="1:7" ht="13.5" customHeight="1">
      <c r="A43" s="953" t="s">
        <v>792</v>
      </c>
      <c r="B43" s="259" t="s">
        <v>1064</v>
      </c>
      <c r="C43" s="282">
        <f ca="1">ROUND(IF('数据-取费表'!B22&lt;=1,C39*F22*'数据-取费表'!B21/2,C39*(POWER((1+F22),'数据-取费表'!B21/2)-1)),0)</f>
        <v>2</v>
      </c>
      <c r="D43" s="282"/>
      <c r="E43" s="282"/>
      <c r="F43" s="283"/>
      <c r="G43" s="3227"/>
    </row>
    <row r="44" spans="1:7" ht="13.5" customHeight="1">
      <c r="A44" s="953" t="s">
        <v>793</v>
      </c>
      <c r="B44" s="259" t="s">
        <v>1066</v>
      </c>
      <c r="C44" s="282">
        <f ca="1">ROUND(IF('数据-取费表'!B22&lt;=1,C40*F22*'数据-取费表'!B21/2,C40*(POWER((1+F22),'数据-取费表'!B21/2)-1)),4)</f>
        <v>1.1999999999999999E-3</v>
      </c>
      <c r="D44" s="282"/>
      <c r="E44" s="282"/>
      <c r="F44" s="283"/>
      <c r="G44" s="3228"/>
    </row>
    <row r="45" spans="1:7" s="258" customFormat="1" ht="13.5" customHeight="1">
      <c r="A45" s="950" t="s">
        <v>786</v>
      </c>
      <c r="B45" s="288" t="s">
        <v>112</v>
      </c>
      <c r="C45" s="289">
        <f>C46</f>
        <v>412</v>
      </c>
      <c r="D45" s="279">
        <f>C47</f>
        <v>5.0000000000000001E-3</v>
      </c>
      <c r="E45" s="280" t="s">
        <v>129</v>
      </c>
      <c r="F45" s="290"/>
      <c r="G45" s="291" t="s">
        <v>1072</v>
      </c>
    </row>
    <row r="46" spans="1:7" s="258" customFormat="1" ht="13.5" customHeight="1">
      <c r="A46" s="953" t="s">
        <v>794</v>
      </c>
      <c r="B46" s="292" t="s">
        <v>1065</v>
      </c>
      <c r="C46" s="293">
        <f>ROUND((C33+C39)*F27,0)</f>
        <v>412</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2342</v>
      </c>
      <c r="D49" s="276"/>
      <c r="E49" s="276"/>
      <c r="F49" s="308"/>
      <c r="G49" s="278" t="s">
        <v>1073</v>
      </c>
    </row>
    <row r="50" spans="1:7" s="302" customFormat="1" ht="24">
      <c r="A50" s="950" t="s">
        <v>789</v>
      </c>
      <c r="B50" s="254" t="s">
        <v>124</v>
      </c>
      <c r="C50" s="276"/>
      <c r="D50" s="276"/>
      <c r="E50" s="276"/>
      <c r="F50" s="308">
        <f>IF('数据-取费表'!B24=0,'数据-取费表'!N16,1)</f>
        <v>0.95</v>
      </c>
      <c r="G50" s="291" t="s">
        <v>125</v>
      </c>
    </row>
    <row r="51" spans="1:7" ht="16.5" customHeight="1">
      <c r="A51" s="950" t="s">
        <v>790</v>
      </c>
      <c r="B51" s="254" t="s">
        <v>132</v>
      </c>
      <c r="C51" s="276">
        <f ca="1">ROUND(C49*F50,0)</f>
        <v>2225</v>
      </c>
      <c r="D51" s="276"/>
      <c r="E51" s="276"/>
      <c r="F51" s="308"/>
      <c r="G51" s="278" t="s">
        <v>64</v>
      </c>
    </row>
    <row r="52" spans="1:7" s="252" customFormat="1" ht="16.5" thickBot="1">
      <c r="A52" s="309" t="s">
        <v>65</v>
      </c>
      <c r="B52" s="310"/>
      <c r="C52" s="311">
        <f ca="1">C31+C51</f>
        <v>33701</v>
      </c>
      <c r="D52" s="310"/>
      <c r="E52" s="310"/>
      <c r="F52" s="310"/>
      <c r="G52" s="312"/>
    </row>
    <row r="55" spans="1:7" ht="15">
      <c r="B55" s="314" t="s">
        <v>66</v>
      </c>
      <c r="C55" s="315"/>
    </row>
    <row r="56" spans="1:7">
      <c r="B56" s="317" t="s">
        <v>67</v>
      </c>
      <c r="C56" s="318">
        <f ca="1">ROUND(C51/C52,3)</f>
        <v>6.6000000000000003E-2</v>
      </c>
    </row>
    <row r="57" spans="1:7">
      <c r="B57" s="317" t="s">
        <v>68</v>
      </c>
      <c r="C57" s="319">
        <f ca="1">1-C56</f>
        <v>0.93399999999999994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65" t="s">
        <v>156</v>
      </c>
      <c r="B1" s="3365"/>
      <c r="C1" s="3365"/>
      <c r="D1" s="3365"/>
      <c r="E1" s="3365"/>
      <c r="F1" s="336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6" t="s">
        <v>169</v>
      </c>
      <c r="B2" s="3366"/>
      <c r="C2" s="3366"/>
      <c r="D2" s="3366"/>
      <c r="E2" s="3366"/>
      <c r="F2" s="336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5" t="s">
        <v>871</v>
      </c>
      <c r="B1" s="336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43202</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K111"/>
  <sheetViews>
    <sheetView topLeftCell="A79" workbookViewId="0">
      <selection sqref="A1:H111"/>
    </sheetView>
  </sheetViews>
  <sheetFormatPr defaultRowHeight="13.5"/>
  <cols>
    <col min="1" max="1" width="4.875" style="2971" customWidth="1"/>
    <col min="2" max="2" width="9" style="2971" customWidth="1"/>
    <col min="3" max="3" width="5.375" style="2971" customWidth="1"/>
    <col min="4" max="4" width="32.375" style="2971" customWidth="1"/>
    <col min="5" max="5" width="9.375" style="2971" customWidth="1"/>
    <col min="6" max="6" width="11.25" style="2971" customWidth="1"/>
    <col min="7" max="7" width="9.75" style="2971" customWidth="1"/>
    <col min="8" max="8" width="8.375" style="2971" customWidth="1"/>
    <col min="9" max="16384" width="9" style="2971"/>
  </cols>
  <sheetData>
    <row r="1" spans="1:11" ht="20.25">
      <c r="A1" s="3378" t="s">
        <v>3075</v>
      </c>
      <c r="B1" s="3378"/>
      <c r="C1" s="3378"/>
      <c r="D1" s="3378"/>
      <c r="E1" s="3378"/>
      <c r="F1" s="3378"/>
      <c r="G1" s="3378"/>
      <c r="H1" s="3378"/>
      <c r="J1" s="2972" t="s">
        <v>3076</v>
      </c>
      <c r="K1" s="2972" t="s">
        <v>3077</v>
      </c>
    </row>
    <row r="2" spans="1:11" ht="14.25">
      <c r="A2" s="2973" t="s">
        <v>3078</v>
      </c>
      <c r="B2" s="2974" t="s">
        <v>3080</v>
      </c>
      <c r="C2" s="2975" t="s">
        <v>3081</v>
      </c>
      <c r="D2" s="2974" t="s">
        <v>3082</v>
      </c>
      <c r="E2" s="2976" t="s">
        <v>3083</v>
      </c>
      <c r="F2" s="3379" t="s">
        <v>3084</v>
      </c>
      <c r="G2" s="3379"/>
      <c r="H2" s="2977" t="s">
        <v>3085</v>
      </c>
      <c r="J2" s="2971">
        <v>41</v>
      </c>
      <c r="K2" s="2971">
        <v>67</v>
      </c>
    </row>
    <row r="3" spans="1:11" s="2948" customFormat="1" ht="19.899999999999999" customHeight="1">
      <c r="A3" s="2978">
        <v>1</v>
      </c>
      <c r="B3" s="2979" t="s">
        <v>3448</v>
      </c>
      <c r="C3" s="2980">
        <v>1</v>
      </c>
      <c r="D3" s="2949" t="s">
        <v>3086</v>
      </c>
      <c r="E3" s="2981">
        <v>168.91</v>
      </c>
      <c r="F3" s="3374" t="s">
        <v>3087</v>
      </c>
      <c r="G3" s="3374"/>
      <c r="H3" s="2982">
        <v>31.55</v>
      </c>
    </row>
    <row r="4" spans="1:11" s="2948" customFormat="1" ht="19.899999999999999" customHeight="1">
      <c r="A4" s="2978">
        <v>2</v>
      </c>
      <c r="B4" s="2983" t="s">
        <v>3088</v>
      </c>
      <c r="C4" s="2978">
        <v>1</v>
      </c>
      <c r="D4" s="2949" t="s">
        <v>3089</v>
      </c>
      <c r="E4" s="2983">
        <v>54.49</v>
      </c>
      <c r="F4" s="3374" t="s">
        <v>3090</v>
      </c>
      <c r="G4" s="3374"/>
      <c r="H4" s="2982">
        <v>10.17</v>
      </c>
    </row>
    <row r="5" spans="1:11" s="2948" customFormat="1" ht="19.899999999999999" customHeight="1">
      <c r="A5" s="2978">
        <v>3</v>
      </c>
      <c r="B5" s="2983" t="s">
        <v>3091</v>
      </c>
      <c r="C5" s="2978">
        <v>1</v>
      </c>
      <c r="D5" s="2949" t="s">
        <v>3092</v>
      </c>
      <c r="E5" s="2983">
        <v>78.400000000000006</v>
      </c>
      <c r="F5" s="3374" t="s">
        <v>3093</v>
      </c>
      <c r="G5" s="3374"/>
      <c r="H5" s="2982">
        <v>14.64</v>
      </c>
    </row>
    <row r="6" spans="1:11" s="2948" customFormat="1" ht="19.899999999999999" customHeight="1">
      <c r="A6" s="2978">
        <v>4</v>
      </c>
      <c r="B6" s="2983" t="s">
        <v>3094</v>
      </c>
      <c r="C6" s="2978">
        <v>1</v>
      </c>
      <c r="D6" s="2949" t="s">
        <v>3095</v>
      </c>
      <c r="E6" s="2983">
        <v>40.26</v>
      </c>
      <c r="F6" s="3374" t="s">
        <v>3096</v>
      </c>
      <c r="G6" s="3374"/>
      <c r="H6" s="2982">
        <v>7.52</v>
      </c>
    </row>
    <row r="7" spans="1:11" s="2948" customFormat="1" ht="19.899999999999999" customHeight="1">
      <c r="A7" s="2978">
        <v>5</v>
      </c>
      <c r="B7" s="2983" t="s">
        <v>3097</v>
      </c>
      <c r="C7" s="2978">
        <v>1</v>
      </c>
      <c r="D7" s="2949" t="s">
        <v>3098</v>
      </c>
      <c r="E7" s="2983">
        <v>52.64</v>
      </c>
      <c r="F7" s="3374" t="s">
        <v>3099</v>
      </c>
      <c r="G7" s="3374"/>
      <c r="H7" s="2982">
        <v>9.83</v>
      </c>
    </row>
    <row r="8" spans="1:11" s="2948" customFormat="1" ht="19.899999999999999" customHeight="1">
      <c r="A8" s="2978">
        <v>6</v>
      </c>
      <c r="B8" s="2983" t="s">
        <v>3100</v>
      </c>
      <c r="C8" s="2978">
        <v>1</v>
      </c>
      <c r="D8" s="2949" t="s">
        <v>3101</v>
      </c>
      <c r="E8" s="2983">
        <v>71.48</v>
      </c>
      <c r="F8" s="3374" t="s">
        <v>3102</v>
      </c>
      <c r="G8" s="3374"/>
      <c r="H8" s="2982">
        <v>13.35</v>
      </c>
    </row>
    <row r="9" spans="1:11" s="2948" customFormat="1" ht="19.899999999999999" customHeight="1">
      <c r="A9" s="2978">
        <v>7</v>
      </c>
      <c r="B9" s="2983" t="s">
        <v>3103</v>
      </c>
      <c r="C9" s="2978">
        <v>1</v>
      </c>
      <c r="D9" s="2949" t="s">
        <v>3104</v>
      </c>
      <c r="E9" s="2983">
        <v>42.13</v>
      </c>
      <c r="F9" s="3374" t="s">
        <v>3105</v>
      </c>
      <c r="G9" s="3374"/>
      <c r="H9" s="2982">
        <v>7.86</v>
      </c>
    </row>
    <row r="10" spans="1:11" s="2996" customFormat="1" ht="19.899999999999999" customHeight="1">
      <c r="A10" s="2978">
        <v>8</v>
      </c>
      <c r="B10" s="2983" t="s">
        <v>3106</v>
      </c>
      <c r="C10" s="2978">
        <v>1</v>
      </c>
      <c r="D10" s="2949" t="s">
        <v>3107</v>
      </c>
      <c r="E10" s="2983">
        <v>87.18</v>
      </c>
      <c r="F10" s="3375"/>
      <c r="G10" s="3376"/>
      <c r="H10" s="2982">
        <v>16.29</v>
      </c>
    </row>
    <row r="11" spans="1:11" s="2948" customFormat="1" ht="19.899999999999999" customHeight="1">
      <c r="A11" s="2978">
        <v>9</v>
      </c>
      <c r="B11" s="2984" t="s">
        <v>3108</v>
      </c>
      <c r="C11" s="2980">
        <v>1</v>
      </c>
      <c r="D11" s="2949" t="s">
        <v>3109</v>
      </c>
      <c r="E11" s="2981">
        <v>69</v>
      </c>
      <c r="F11" s="3377" t="s">
        <v>3110</v>
      </c>
      <c r="G11" s="3377"/>
      <c r="H11" s="2978">
        <v>12.88</v>
      </c>
    </row>
    <row r="12" spans="1:11" s="2948" customFormat="1" ht="19.899999999999999" customHeight="1">
      <c r="A12" s="2978">
        <v>10</v>
      </c>
      <c r="B12" s="2978" t="s">
        <v>3111</v>
      </c>
      <c r="C12" s="2978">
        <v>1</v>
      </c>
      <c r="D12" s="2949" t="s">
        <v>3112</v>
      </c>
      <c r="E12" s="2978">
        <v>364.9</v>
      </c>
      <c r="F12" s="3374" t="s">
        <v>3113</v>
      </c>
      <c r="G12" s="3374"/>
      <c r="H12" s="2978">
        <v>68.16</v>
      </c>
    </row>
    <row r="13" spans="1:11" s="2948" customFormat="1" ht="19.899999999999999" customHeight="1">
      <c r="A13" s="2978">
        <v>11</v>
      </c>
      <c r="B13" s="2978" t="s">
        <v>3114</v>
      </c>
      <c r="C13" s="2978">
        <v>1</v>
      </c>
      <c r="D13" s="2949" t="s">
        <v>3115</v>
      </c>
      <c r="E13" s="2978">
        <v>300.77999999999997</v>
      </c>
      <c r="F13" s="3374" t="s">
        <v>3116</v>
      </c>
      <c r="G13" s="3374"/>
      <c r="H13" s="2978">
        <v>56.18</v>
      </c>
    </row>
    <row r="14" spans="1:11" s="2948" customFormat="1" ht="19.899999999999999" customHeight="1">
      <c r="A14" s="2978">
        <v>12</v>
      </c>
      <c r="B14" s="2978" t="s">
        <v>3117</v>
      </c>
      <c r="C14" s="2978">
        <v>1</v>
      </c>
      <c r="D14" s="2949" t="s">
        <v>3118</v>
      </c>
      <c r="E14" s="2978">
        <v>320.88</v>
      </c>
      <c r="F14" s="3374" t="s">
        <v>3119</v>
      </c>
      <c r="G14" s="3374"/>
      <c r="H14" s="2978">
        <v>59.94</v>
      </c>
    </row>
    <row r="15" spans="1:11" s="2948" customFormat="1" ht="19.899999999999999" customHeight="1">
      <c r="A15" s="2978">
        <v>13</v>
      </c>
      <c r="B15" s="2949" t="s">
        <v>3120</v>
      </c>
      <c r="C15" s="2980">
        <v>2</v>
      </c>
      <c r="D15" s="2949" t="s">
        <v>3121</v>
      </c>
      <c r="E15" s="2949">
        <v>191.27</v>
      </c>
      <c r="F15" s="3374" t="s">
        <v>3122</v>
      </c>
      <c r="G15" s="3374"/>
      <c r="H15" s="2982">
        <v>35.72</v>
      </c>
    </row>
    <row r="16" spans="1:11" s="2996" customFormat="1" ht="19.899999999999999" customHeight="1">
      <c r="A16" s="2978">
        <v>14</v>
      </c>
      <c r="B16" s="2950" t="s">
        <v>3123</v>
      </c>
      <c r="C16" s="2980">
        <v>3</v>
      </c>
      <c r="D16" s="2951" t="s">
        <v>3124</v>
      </c>
      <c r="E16" s="2952">
        <v>72.510000000000005</v>
      </c>
      <c r="F16" s="3374"/>
      <c r="G16" s="3374"/>
      <c r="H16" s="2982">
        <v>13.54</v>
      </c>
    </row>
    <row r="17" spans="1:8" s="2996" customFormat="1">
      <c r="A17" s="2978">
        <v>15</v>
      </c>
      <c r="B17" s="2950" t="s">
        <v>3125</v>
      </c>
      <c r="C17" s="2980">
        <v>3</v>
      </c>
      <c r="D17" s="2951" t="s">
        <v>3126</v>
      </c>
      <c r="E17" s="2952">
        <v>46.67</v>
      </c>
      <c r="F17" s="3374"/>
      <c r="G17" s="3374"/>
      <c r="H17" s="2982">
        <v>8.7200000000000006</v>
      </c>
    </row>
    <row r="18" spans="1:8" s="2996" customFormat="1">
      <c r="A18" s="2978">
        <v>16</v>
      </c>
      <c r="B18" s="2950" t="s">
        <v>3127</v>
      </c>
      <c r="C18" s="2980">
        <v>3</v>
      </c>
      <c r="D18" s="2951" t="s">
        <v>3128</v>
      </c>
      <c r="E18" s="2952">
        <v>46.67</v>
      </c>
      <c r="F18" s="3374"/>
      <c r="G18" s="3374"/>
      <c r="H18" s="2982">
        <v>8.7200000000000006</v>
      </c>
    </row>
    <row r="19" spans="1:8" s="2996" customFormat="1">
      <c r="A19" s="2978">
        <v>17</v>
      </c>
      <c r="B19" s="2950" t="s">
        <v>3129</v>
      </c>
      <c r="C19" s="2980">
        <v>3</v>
      </c>
      <c r="D19" s="2951" t="s">
        <v>3130</v>
      </c>
      <c r="E19" s="2952">
        <v>46.67</v>
      </c>
      <c r="F19" s="3374"/>
      <c r="G19" s="3374"/>
      <c r="H19" s="2982">
        <v>8.7200000000000006</v>
      </c>
    </row>
    <row r="20" spans="1:8" s="2996" customFormat="1">
      <c r="A20" s="2978">
        <v>18</v>
      </c>
      <c r="B20" s="2950" t="s">
        <v>3131</v>
      </c>
      <c r="C20" s="2980">
        <v>3</v>
      </c>
      <c r="D20" s="2951" t="s">
        <v>3132</v>
      </c>
      <c r="E20" s="2952">
        <v>46.67</v>
      </c>
      <c r="F20" s="3374"/>
      <c r="G20" s="3374"/>
      <c r="H20" s="2982">
        <v>8.7200000000000006</v>
      </c>
    </row>
    <row r="21" spans="1:8" s="2996" customFormat="1">
      <c r="A21" s="2978">
        <v>19</v>
      </c>
      <c r="B21" s="2950" t="s">
        <v>3133</v>
      </c>
      <c r="C21" s="2980">
        <v>3</v>
      </c>
      <c r="D21" s="2951" t="s">
        <v>3134</v>
      </c>
      <c r="E21" s="2952">
        <v>46.67</v>
      </c>
      <c r="F21" s="3374"/>
      <c r="G21" s="3374"/>
      <c r="H21" s="2982">
        <v>8.7200000000000006</v>
      </c>
    </row>
    <row r="22" spans="1:8" s="2996" customFormat="1">
      <c r="A22" s="2978">
        <v>20</v>
      </c>
      <c r="B22" s="2950" t="s">
        <v>3135</v>
      </c>
      <c r="C22" s="2980">
        <v>3</v>
      </c>
      <c r="D22" s="2951" t="s">
        <v>3136</v>
      </c>
      <c r="E22" s="2952">
        <v>48.34</v>
      </c>
      <c r="F22" s="3374"/>
      <c r="G22" s="3374"/>
      <c r="H22" s="2982">
        <v>9.0299999999999994</v>
      </c>
    </row>
    <row r="23" spans="1:8" s="2996" customFormat="1">
      <c r="A23" s="2978">
        <v>21</v>
      </c>
      <c r="B23" s="2950" t="s">
        <v>3137</v>
      </c>
      <c r="C23" s="2980">
        <v>3</v>
      </c>
      <c r="D23" s="2951" t="s">
        <v>3138</v>
      </c>
      <c r="E23" s="2952">
        <v>69.989999999999995</v>
      </c>
      <c r="F23" s="3374"/>
      <c r="G23" s="3374"/>
      <c r="H23" s="2982">
        <v>13.07</v>
      </c>
    </row>
    <row r="24" spans="1:8" s="2996" customFormat="1">
      <c r="A24" s="2978">
        <v>22</v>
      </c>
      <c r="B24" s="2950" t="s">
        <v>3139</v>
      </c>
      <c r="C24" s="2980">
        <v>3</v>
      </c>
      <c r="D24" s="2951" t="s">
        <v>3140</v>
      </c>
      <c r="E24" s="2952">
        <v>44.73</v>
      </c>
      <c r="F24" s="3374"/>
      <c r="G24" s="3374"/>
      <c r="H24" s="2982">
        <v>8.36</v>
      </c>
    </row>
    <row r="25" spans="1:8" s="2996" customFormat="1">
      <c r="A25" s="2978">
        <v>23</v>
      </c>
      <c r="B25" s="2950" t="s">
        <v>3141</v>
      </c>
      <c r="C25" s="2980">
        <v>3</v>
      </c>
      <c r="D25" s="2951" t="s">
        <v>3142</v>
      </c>
      <c r="E25" s="2952">
        <v>62.77</v>
      </c>
      <c r="F25" s="3374"/>
      <c r="G25" s="3374"/>
      <c r="H25" s="2982">
        <v>11.73</v>
      </c>
    </row>
    <row r="26" spans="1:8" s="2996" customFormat="1">
      <c r="A26" s="2978">
        <v>24</v>
      </c>
      <c r="B26" s="2950" t="s">
        <v>3143</v>
      </c>
      <c r="C26" s="2980">
        <v>3</v>
      </c>
      <c r="D26" s="2951" t="s">
        <v>3144</v>
      </c>
      <c r="E26" s="2952">
        <v>60.93</v>
      </c>
      <c r="F26" s="3374"/>
      <c r="G26" s="3374"/>
      <c r="H26" s="2982">
        <v>11.38</v>
      </c>
    </row>
    <row r="27" spans="1:8" s="2996" customFormat="1">
      <c r="A27" s="2978">
        <v>25</v>
      </c>
      <c r="B27" s="2950" t="s">
        <v>3145</v>
      </c>
      <c r="C27" s="2980">
        <v>3</v>
      </c>
      <c r="D27" s="2951" t="s">
        <v>3146</v>
      </c>
      <c r="E27" s="2952">
        <v>61.49</v>
      </c>
      <c r="F27" s="3374"/>
      <c r="G27" s="3374"/>
      <c r="H27" s="2982">
        <v>11.49</v>
      </c>
    </row>
    <row r="28" spans="1:8" s="2996" customFormat="1">
      <c r="A28" s="2978">
        <v>26</v>
      </c>
      <c r="B28" s="2950" t="s">
        <v>3147</v>
      </c>
      <c r="C28" s="2980">
        <v>3</v>
      </c>
      <c r="D28" s="2951" t="s">
        <v>3148</v>
      </c>
      <c r="E28" s="2952">
        <v>55.64</v>
      </c>
      <c r="F28" s="3374"/>
      <c r="G28" s="3374"/>
      <c r="H28" s="2982">
        <v>10.39</v>
      </c>
    </row>
    <row r="29" spans="1:8" s="2996" customFormat="1">
      <c r="A29" s="2978">
        <v>27</v>
      </c>
      <c r="B29" s="2950" t="s">
        <v>3149</v>
      </c>
      <c r="C29" s="2980">
        <v>3</v>
      </c>
      <c r="D29" s="2951" t="s">
        <v>3150</v>
      </c>
      <c r="E29" s="2952">
        <v>42.44</v>
      </c>
      <c r="F29" s="3374"/>
      <c r="G29" s="3374"/>
      <c r="H29" s="2982">
        <v>7.93</v>
      </c>
    </row>
    <row r="30" spans="1:8" s="2996" customFormat="1">
      <c r="A30" s="2978">
        <v>28</v>
      </c>
      <c r="B30" s="2985" t="s">
        <v>3151</v>
      </c>
      <c r="C30" s="2953">
        <v>3</v>
      </c>
      <c r="D30" s="2949" t="s">
        <v>3152</v>
      </c>
      <c r="E30" s="2954">
        <v>176.07</v>
      </c>
      <c r="F30" s="3380"/>
      <c r="G30" s="3380"/>
      <c r="H30" s="2982">
        <v>32.89</v>
      </c>
    </row>
    <row r="31" spans="1:8" s="2996" customFormat="1">
      <c r="A31" s="2978">
        <v>29</v>
      </c>
      <c r="B31" s="2986" t="s">
        <v>3153</v>
      </c>
      <c r="C31" s="2953">
        <v>3</v>
      </c>
      <c r="D31" s="2949" t="s">
        <v>3154</v>
      </c>
      <c r="E31" s="2987">
        <v>17.489999999999998</v>
      </c>
      <c r="F31" s="3380"/>
      <c r="G31" s="3380"/>
      <c r="H31" s="2982">
        <v>3.27</v>
      </c>
    </row>
    <row r="32" spans="1:8" s="2996" customFormat="1">
      <c r="A32" s="2978">
        <v>30</v>
      </c>
      <c r="B32" s="2986" t="s">
        <v>3155</v>
      </c>
      <c r="C32" s="2953">
        <v>3</v>
      </c>
      <c r="D32" s="2949" t="s">
        <v>3156</v>
      </c>
      <c r="E32" s="2987">
        <v>16.14</v>
      </c>
      <c r="F32" s="3380"/>
      <c r="G32" s="3380"/>
      <c r="H32" s="2982">
        <v>3.01</v>
      </c>
    </row>
    <row r="33" spans="1:8" s="2996" customFormat="1">
      <c r="A33" s="2978">
        <v>31</v>
      </c>
      <c r="B33" s="2985" t="s">
        <v>3157</v>
      </c>
      <c r="C33" s="2953">
        <v>3</v>
      </c>
      <c r="D33" s="2949" t="s">
        <v>3158</v>
      </c>
      <c r="E33" s="2954">
        <v>17.2</v>
      </c>
      <c r="F33" s="3380"/>
      <c r="G33" s="3380"/>
      <c r="H33" s="2982">
        <v>3.21</v>
      </c>
    </row>
    <row r="34" spans="1:8" s="2996" customFormat="1">
      <c r="A34" s="2978">
        <v>32</v>
      </c>
      <c r="B34" s="2988" t="s">
        <v>3159</v>
      </c>
      <c r="C34" s="2953">
        <v>3</v>
      </c>
      <c r="D34" s="2949" t="s">
        <v>3160</v>
      </c>
      <c r="E34" s="2989">
        <v>48.26</v>
      </c>
      <c r="F34" s="3380"/>
      <c r="G34" s="3380"/>
      <c r="H34" s="2978">
        <v>9.01</v>
      </c>
    </row>
    <row r="35" spans="1:8" s="2996" customFormat="1">
      <c r="A35" s="2978">
        <v>33</v>
      </c>
      <c r="B35" s="2988" t="s">
        <v>3161</v>
      </c>
      <c r="C35" s="2953">
        <v>3</v>
      </c>
      <c r="D35" s="2949" t="s">
        <v>3162</v>
      </c>
      <c r="E35" s="2989">
        <v>46.93</v>
      </c>
      <c r="F35" s="3380"/>
      <c r="G35" s="3380"/>
      <c r="H35" s="2978">
        <v>8.77</v>
      </c>
    </row>
    <row r="36" spans="1:8" s="2996" customFormat="1">
      <c r="A36" s="2978">
        <v>34</v>
      </c>
      <c r="B36" s="2988" t="s">
        <v>3163</v>
      </c>
      <c r="C36" s="2953">
        <v>3</v>
      </c>
      <c r="D36" s="2949" t="s">
        <v>3164</v>
      </c>
      <c r="E36" s="2989">
        <v>45.6</v>
      </c>
      <c r="F36" s="3380"/>
      <c r="G36" s="3380"/>
      <c r="H36" s="2978">
        <v>8.52</v>
      </c>
    </row>
    <row r="37" spans="1:8" s="2996" customFormat="1">
      <c r="A37" s="2978">
        <v>35</v>
      </c>
      <c r="B37" s="2990" t="s">
        <v>3165</v>
      </c>
      <c r="C37" s="2953">
        <v>3</v>
      </c>
      <c r="D37" s="2949" t="s">
        <v>3166</v>
      </c>
      <c r="E37" s="2981">
        <v>36.159999999999997</v>
      </c>
      <c r="F37" s="3380"/>
      <c r="G37" s="3380"/>
      <c r="H37" s="2978">
        <v>6.75</v>
      </c>
    </row>
    <row r="38" spans="1:8" s="2996" customFormat="1">
      <c r="A38" s="2978">
        <v>36</v>
      </c>
      <c r="B38" s="2990" t="s">
        <v>3167</v>
      </c>
      <c r="C38" s="2953">
        <v>3</v>
      </c>
      <c r="D38" s="2949" t="s">
        <v>3168</v>
      </c>
      <c r="E38" s="2954">
        <v>26.9</v>
      </c>
      <c r="F38" s="3380"/>
      <c r="G38" s="3380"/>
      <c r="H38" s="2978">
        <v>5.0199999999999996</v>
      </c>
    </row>
    <row r="39" spans="1:8" s="2996" customFormat="1">
      <c r="A39" s="2978">
        <v>37</v>
      </c>
      <c r="B39" s="2990" t="s">
        <v>3169</v>
      </c>
      <c r="C39" s="2953">
        <v>3</v>
      </c>
      <c r="D39" s="2949" t="s">
        <v>3170</v>
      </c>
      <c r="E39" s="2954">
        <v>31.35</v>
      </c>
      <c r="F39" s="3380"/>
      <c r="G39" s="3380"/>
      <c r="H39" s="2978">
        <v>5.86</v>
      </c>
    </row>
    <row r="40" spans="1:8" s="2996" customFormat="1">
      <c r="A40" s="2978">
        <v>38</v>
      </c>
      <c r="B40" s="2990" t="s">
        <v>3171</v>
      </c>
      <c r="C40" s="2953">
        <v>3</v>
      </c>
      <c r="D40" s="2949" t="s">
        <v>3172</v>
      </c>
      <c r="E40" s="2954">
        <v>36.18</v>
      </c>
      <c r="F40" s="3380"/>
      <c r="G40" s="3380"/>
      <c r="H40" s="2978">
        <v>6.76</v>
      </c>
    </row>
    <row r="41" spans="1:8" s="2996" customFormat="1">
      <c r="A41" s="2978">
        <v>39</v>
      </c>
      <c r="B41" s="2986" t="s">
        <v>3173</v>
      </c>
      <c r="C41" s="2953">
        <v>3</v>
      </c>
      <c r="D41" s="2949" t="s">
        <v>3174</v>
      </c>
      <c r="E41" s="2987">
        <v>21.92</v>
      </c>
      <c r="F41" s="3380"/>
      <c r="G41" s="3380"/>
      <c r="H41" s="2978">
        <v>4.09</v>
      </c>
    </row>
    <row r="42" spans="1:8" s="2996" customFormat="1">
      <c r="A42" s="2978">
        <v>40</v>
      </c>
      <c r="B42" s="2986" t="s">
        <v>3175</v>
      </c>
      <c r="C42" s="2953">
        <v>3</v>
      </c>
      <c r="D42" s="2949" t="s">
        <v>3176</v>
      </c>
      <c r="E42" s="2987">
        <v>17.36</v>
      </c>
      <c r="F42" s="3380"/>
      <c r="G42" s="3380"/>
      <c r="H42" s="2978">
        <v>3.24</v>
      </c>
    </row>
    <row r="43" spans="1:8" s="2996" customFormat="1">
      <c r="A43" s="2978">
        <v>41</v>
      </c>
      <c r="B43" s="2990" t="s">
        <v>3177</v>
      </c>
      <c r="C43" s="2953">
        <v>3</v>
      </c>
      <c r="D43" s="2949" t="s">
        <v>3178</v>
      </c>
      <c r="E43" s="2981">
        <v>31.3</v>
      </c>
      <c r="F43" s="3380"/>
      <c r="G43" s="3380"/>
      <c r="H43" s="2978">
        <v>5.85</v>
      </c>
    </row>
    <row r="44" spans="1:8" s="2996" customFormat="1">
      <c r="A44" s="2978">
        <v>42</v>
      </c>
      <c r="B44" s="2986" t="s">
        <v>3179</v>
      </c>
      <c r="C44" s="2953">
        <v>3</v>
      </c>
      <c r="D44" s="2949" t="s">
        <v>3180</v>
      </c>
      <c r="E44" s="2987">
        <v>25.19</v>
      </c>
      <c r="F44" s="3380"/>
      <c r="G44" s="3380"/>
      <c r="H44" s="2978">
        <v>4.71</v>
      </c>
    </row>
    <row r="45" spans="1:8" s="2996" customFormat="1">
      <c r="A45" s="2978">
        <v>43</v>
      </c>
      <c r="B45" s="2986" t="s">
        <v>3181</v>
      </c>
      <c r="C45" s="2953">
        <v>3</v>
      </c>
      <c r="D45" s="2949" t="s">
        <v>3182</v>
      </c>
      <c r="E45" s="2987">
        <v>23.33</v>
      </c>
      <c r="F45" s="3380"/>
      <c r="G45" s="3380"/>
      <c r="H45" s="2978">
        <v>4.3600000000000003</v>
      </c>
    </row>
    <row r="46" spans="1:8" s="2996" customFormat="1">
      <c r="A46" s="2978">
        <v>44</v>
      </c>
      <c r="B46" s="2986" t="s">
        <v>3183</v>
      </c>
      <c r="C46" s="2953">
        <v>3</v>
      </c>
      <c r="D46" s="2949" t="s">
        <v>3184</v>
      </c>
      <c r="E46" s="2987">
        <v>29.55</v>
      </c>
      <c r="F46" s="3380"/>
      <c r="G46" s="3380"/>
      <c r="H46" s="2978">
        <v>5.52</v>
      </c>
    </row>
    <row r="47" spans="1:8" s="2996" customFormat="1">
      <c r="A47" s="2978">
        <v>45</v>
      </c>
      <c r="B47" s="2986" t="s">
        <v>3185</v>
      </c>
      <c r="C47" s="2953">
        <v>3</v>
      </c>
      <c r="D47" s="2949" t="s">
        <v>3186</v>
      </c>
      <c r="E47" s="2987">
        <v>29.97</v>
      </c>
      <c r="F47" s="3380"/>
      <c r="G47" s="3380"/>
      <c r="H47" s="2978">
        <v>5.6</v>
      </c>
    </row>
    <row r="48" spans="1:8" s="2996" customFormat="1">
      <c r="A48" s="2978">
        <v>46</v>
      </c>
      <c r="B48" s="2986" t="s">
        <v>3187</v>
      </c>
      <c r="C48" s="2953">
        <v>3</v>
      </c>
      <c r="D48" s="2949" t="s">
        <v>3188</v>
      </c>
      <c r="E48" s="2987">
        <v>27.74</v>
      </c>
      <c r="F48" s="3380"/>
      <c r="G48" s="3380"/>
      <c r="H48" s="2978">
        <v>5.18</v>
      </c>
    </row>
    <row r="49" spans="1:8" s="2996" customFormat="1">
      <c r="A49" s="2978">
        <v>47</v>
      </c>
      <c r="B49" s="2986" t="s">
        <v>3189</v>
      </c>
      <c r="C49" s="2953">
        <v>3</v>
      </c>
      <c r="D49" s="2949" t="s">
        <v>3190</v>
      </c>
      <c r="E49" s="2987">
        <v>20.37</v>
      </c>
      <c r="F49" s="3380"/>
      <c r="G49" s="3380"/>
      <c r="H49" s="2978">
        <v>3.81</v>
      </c>
    </row>
    <row r="50" spans="1:8" s="2996" customFormat="1">
      <c r="A50" s="2978">
        <v>48</v>
      </c>
      <c r="B50" s="2986" t="s">
        <v>3191</v>
      </c>
      <c r="C50" s="2953">
        <v>3</v>
      </c>
      <c r="D50" s="2949" t="s">
        <v>3192</v>
      </c>
      <c r="E50" s="2987">
        <v>27.74</v>
      </c>
      <c r="F50" s="3380"/>
      <c r="G50" s="3380"/>
      <c r="H50" s="2978">
        <v>5.18</v>
      </c>
    </row>
    <row r="51" spans="1:8" s="2948" customFormat="1">
      <c r="A51" s="2978">
        <v>49</v>
      </c>
      <c r="B51" s="2990" t="s">
        <v>3193</v>
      </c>
      <c r="C51" s="2953">
        <v>3</v>
      </c>
      <c r="D51" s="2949" t="s">
        <v>3194</v>
      </c>
      <c r="E51" s="2981">
        <v>16.510000000000002</v>
      </c>
      <c r="F51" s="3374" t="s">
        <v>3195</v>
      </c>
      <c r="G51" s="3374"/>
      <c r="H51" s="2982">
        <v>10.199999999999999</v>
      </c>
    </row>
    <row r="52" spans="1:8" s="2948" customFormat="1">
      <c r="A52" s="2978">
        <v>50</v>
      </c>
      <c r="B52" s="2991" t="s">
        <v>3196</v>
      </c>
      <c r="C52" s="2953">
        <v>3</v>
      </c>
      <c r="D52" s="2949" t="s">
        <v>3197</v>
      </c>
      <c r="E52" s="2992">
        <v>23.44</v>
      </c>
      <c r="F52" s="3374" t="s">
        <v>3198</v>
      </c>
      <c r="G52" s="3374"/>
      <c r="H52" s="2982">
        <v>4.37</v>
      </c>
    </row>
    <row r="53" spans="1:8" s="2948" customFormat="1">
      <c r="A53" s="2978">
        <v>51</v>
      </c>
      <c r="B53" s="2991" t="s">
        <v>3199</v>
      </c>
      <c r="C53" s="2953">
        <v>3</v>
      </c>
      <c r="D53" s="2949" t="s">
        <v>3200</v>
      </c>
      <c r="E53" s="2992">
        <v>23.01</v>
      </c>
      <c r="F53" s="3374" t="s">
        <v>3201</v>
      </c>
      <c r="G53" s="3374"/>
      <c r="H53" s="2982">
        <v>4.29</v>
      </c>
    </row>
    <row r="54" spans="1:8" s="2948" customFormat="1">
      <c r="A54" s="2978">
        <v>52</v>
      </c>
      <c r="B54" s="2990" t="s">
        <v>3202</v>
      </c>
      <c r="C54" s="2953">
        <v>3</v>
      </c>
      <c r="D54" s="2949" t="s">
        <v>3203</v>
      </c>
      <c r="E54" s="2981">
        <v>30.12</v>
      </c>
      <c r="F54" s="3374" t="s">
        <v>3204</v>
      </c>
      <c r="G54" s="3374"/>
      <c r="H54" s="2982">
        <v>5.62</v>
      </c>
    </row>
    <row r="55" spans="1:8" s="2948" customFormat="1">
      <c r="A55" s="2978">
        <v>53</v>
      </c>
      <c r="B55" s="2990" t="s">
        <v>3205</v>
      </c>
      <c r="C55" s="2953">
        <v>3</v>
      </c>
      <c r="D55" s="2949" t="s">
        <v>3206</v>
      </c>
      <c r="E55" s="2981">
        <v>19.89</v>
      </c>
      <c r="F55" s="3374" t="s">
        <v>3207</v>
      </c>
      <c r="G55" s="3374"/>
      <c r="H55" s="2982">
        <v>3.71</v>
      </c>
    </row>
    <row r="56" spans="1:8" s="2948" customFormat="1">
      <c r="A56" s="2978">
        <v>54</v>
      </c>
      <c r="B56" s="2990" t="s">
        <v>3208</v>
      </c>
      <c r="C56" s="2953">
        <v>3</v>
      </c>
      <c r="D56" s="2949" t="s">
        <v>3209</v>
      </c>
      <c r="E56" s="2981">
        <v>23.76</v>
      </c>
      <c r="F56" s="3374" t="s">
        <v>3210</v>
      </c>
      <c r="G56" s="3374"/>
      <c r="H56" s="2982">
        <v>4.43</v>
      </c>
    </row>
    <row r="57" spans="1:8" s="2948" customFormat="1">
      <c r="A57" s="2978">
        <v>55</v>
      </c>
      <c r="B57" s="2990" t="s">
        <v>3211</v>
      </c>
      <c r="C57" s="2953">
        <v>3</v>
      </c>
      <c r="D57" s="2949" t="s">
        <v>3212</v>
      </c>
      <c r="E57" s="2981">
        <v>24.68</v>
      </c>
      <c r="F57" s="3374" t="s">
        <v>3213</v>
      </c>
      <c r="G57" s="3374"/>
      <c r="H57" s="2982">
        <v>4.6100000000000003</v>
      </c>
    </row>
    <row r="58" spans="1:8" s="2948" customFormat="1">
      <c r="A58" s="2978">
        <v>56</v>
      </c>
      <c r="B58" s="2990" t="s">
        <v>3214</v>
      </c>
      <c r="C58" s="2953">
        <v>3</v>
      </c>
      <c r="D58" s="2949" t="s">
        <v>3215</v>
      </c>
      <c r="E58" s="2981">
        <v>24.68</v>
      </c>
      <c r="F58" s="3374" t="s">
        <v>3216</v>
      </c>
      <c r="G58" s="3374"/>
      <c r="H58" s="2982">
        <v>4.6100000000000003</v>
      </c>
    </row>
    <row r="59" spans="1:8" s="2948" customFormat="1">
      <c r="A59" s="2978">
        <v>57</v>
      </c>
      <c r="B59" s="2991" t="s">
        <v>3217</v>
      </c>
      <c r="C59" s="2953">
        <v>3</v>
      </c>
      <c r="D59" s="2949" t="s">
        <v>3218</v>
      </c>
      <c r="E59" s="2992">
        <v>16.059999999999999</v>
      </c>
      <c r="F59" s="3374" t="s">
        <v>3219</v>
      </c>
      <c r="G59" s="3374"/>
      <c r="H59" s="2982">
        <v>3</v>
      </c>
    </row>
    <row r="60" spans="1:8" s="2948" customFormat="1">
      <c r="A60" s="2978">
        <v>58</v>
      </c>
      <c r="B60" s="2991" t="s">
        <v>3220</v>
      </c>
      <c r="C60" s="2953">
        <v>3</v>
      </c>
      <c r="D60" s="2949" t="s">
        <v>3221</v>
      </c>
      <c r="E60" s="2992">
        <v>15.18</v>
      </c>
      <c r="F60" s="3374" t="s">
        <v>3222</v>
      </c>
      <c r="G60" s="3374"/>
      <c r="H60" s="2982">
        <v>2.83</v>
      </c>
    </row>
    <row r="61" spans="1:8" s="2948" customFormat="1">
      <c r="A61" s="2978">
        <v>59</v>
      </c>
      <c r="B61" s="2990" t="s">
        <v>3223</v>
      </c>
      <c r="C61" s="2953">
        <v>3</v>
      </c>
      <c r="D61" s="2949" t="s">
        <v>3224</v>
      </c>
      <c r="E61" s="2981">
        <v>34.97</v>
      </c>
      <c r="F61" s="3374" t="s">
        <v>3225</v>
      </c>
      <c r="G61" s="3374"/>
      <c r="H61" s="2982">
        <v>6.53</v>
      </c>
    </row>
    <row r="62" spans="1:8" s="2948" customFormat="1">
      <c r="A62" s="2978">
        <v>60</v>
      </c>
      <c r="B62" s="2990" t="s">
        <v>3226</v>
      </c>
      <c r="C62" s="2953">
        <v>3</v>
      </c>
      <c r="D62" s="2949" t="s">
        <v>3227</v>
      </c>
      <c r="E62" s="2981">
        <v>31.94</v>
      </c>
      <c r="F62" s="3374" t="s">
        <v>3228</v>
      </c>
      <c r="G62" s="3374"/>
      <c r="H62" s="2982">
        <v>5.96</v>
      </c>
    </row>
    <row r="63" spans="1:8" s="2948" customFormat="1">
      <c r="A63" s="2978">
        <v>61</v>
      </c>
      <c r="B63" s="2990" t="s">
        <v>3229</v>
      </c>
      <c r="C63" s="2953">
        <v>3</v>
      </c>
      <c r="D63" s="2949" t="s">
        <v>3230</v>
      </c>
      <c r="E63" s="2981">
        <v>31.95</v>
      </c>
      <c r="F63" s="3374" t="s">
        <v>3231</v>
      </c>
      <c r="G63" s="3374"/>
      <c r="H63" s="2982">
        <v>5.96</v>
      </c>
    </row>
    <row r="64" spans="1:8" s="2948" customFormat="1">
      <c r="A64" s="2978">
        <v>62</v>
      </c>
      <c r="B64" s="2990" t="s">
        <v>3232</v>
      </c>
      <c r="C64" s="2953">
        <v>3</v>
      </c>
      <c r="D64" s="2949" t="s">
        <v>3233</v>
      </c>
      <c r="E64" s="2981">
        <v>31.12</v>
      </c>
      <c r="F64" s="3374" t="s">
        <v>3234</v>
      </c>
      <c r="G64" s="3374"/>
      <c r="H64" s="2982">
        <v>5.81</v>
      </c>
    </row>
    <row r="65" spans="1:8" s="2948" customFormat="1">
      <c r="A65" s="2978">
        <v>63</v>
      </c>
      <c r="B65" s="2990" t="s">
        <v>3235</v>
      </c>
      <c r="C65" s="2953">
        <v>3</v>
      </c>
      <c r="D65" s="2949" t="s">
        <v>3236</v>
      </c>
      <c r="E65" s="2981">
        <v>31.12</v>
      </c>
      <c r="F65" s="3374" t="s">
        <v>3237</v>
      </c>
      <c r="G65" s="3374"/>
      <c r="H65" s="2982">
        <v>5.81</v>
      </c>
    </row>
    <row r="66" spans="1:8" s="2948" customFormat="1">
      <c r="A66" s="2978">
        <v>64</v>
      </c>
      <c r="B66" s="2991" t="s">
        <v>3238</v>
      </c>
      <c r="C66" s="2953">
        <v>3</v>
      </c>
      <c r="D66" s="2949" t="s">
        <v>3239</v>
      </c>
      <c r="E66" s="2992">
        <v>20</v>
      </c>
      <c r="F66" s="3374" t="s">
        <v>3240</v>
      </c>
      <c r="G66" s="3374"/>
      <c r="H66" s="2982">
        <v>3.73</v>
      </c>
    </row>
    <row r="67" spans="1:8" s="2948" customFormat="1">
      <c r="A67" s="2978">
        <v>65</v>
      </c>
      <c r="B67" s="2991" t="s">
        <v>3241</v>
      </c>
      <c r="C67" s="2953">
        <v>3</v>
      </c>
      <c r="D67" s="2949" t="s">
        <v>3242</v>
      </c>
      <c r="E67" s="2992">
        <v>20</v>
      </c>
      <c r="F67" s="3374" t="s">
        <v>3243</v>
      </c>
      <c r="G67" s="3374"/>
      <c r="H67" s="2982">
        <v>3.73</v>
      </c>
    </row>
    <row r="68" spans="1:8" s="2948" customFormat="1">
      <c r="A68" s="2978">
        <v>66</v>
      </c>
      <c r="B68" s="2991" t="s">
        <v>3244</v>
      </c>
      <c r="C68" s="2953">
        <v>3</v>
      </c>
      <c r="D68" s="2949" t="s">
        <v>3245</v>
      </c>
      <c r="E68" s="2992">
        <v>18.97</v>
      </c>
      <c r="F68" s="3374" t="s">
        <v>3246</v>
      </c>
      <c r="G68" s="3374"/>
      <c r="H68" s="2982">
        <v>3.54</v>
      </c>
    </row>
    <row r="69" spans="1:8" s="2948" customFormat="1">
      <c r="A69" s="2978">
        <v>67</v>
      </c>
      <c r="B69" s="2991" t="s">
        <v>3247</v>
      </c>
      <c r="C69" s="2953">
        <v>3</v>
      </c>
      <c r="D69" s="2949" t="s">
        <v>3248</v>
      </c>
      <c r="E69" s="2992">
        <v>19.36</v>
      </c>
      <c r="F69" s="3374" t="s">
        <v>3249</v>
      </c>
      <c r="G69" s="3374"/>
      <c r="H69" s="2982">
        <v>3.61</v>
      </c>
    </row>
    <row r="70" spans="1:8" s="2948" customFormat="1">
      <c r="A70" s="2978">
        <v>68</v>
      </c>
      <c r="B70" s="2991" t="s">
        <v>3250</v>
      </c>
      <c r="C70" s="2953">
        <v>3</v>
      </c>
      <c r="D70" s="2949" t="s">
        <v>3251</v>
      </c>
      <c r="E70" s="2992">
        <v>15.82</v>
      </c>
      <c r="F70" s="3374" t="s">
        <v>3252</v>
      </c>
      <c r="G70" s="3374"/>
      <c r="H70" s="2982">
        <v>2.95</v>
      </c>
    </row>
    <row r="71" spans="1:8" s="2948" customFormat="1">
      <c r="A71" s="2978">
        <v>69</v>
      </c>
      <c r="B71" s="2991" t="s">
        <v>3253</v>
      </c>
      <c r="C71" s="2953">
        <v>3</v>
      </c>
      <c r="D71" s="2949" t="s">
        <v>3254</v>
      </c>
      <c r="E71" s="2992">
        <v>19.16</v>
      </c>
      <c r="F71" s="3374" t="s">
        <v>3255</v>
      </c>
      <c r="G71" s="3374"/>
      <c r="H71" s="2982">
        <v>3.57</v>
      </c>
    </row>
    <row r="72" spans="1:8" s="2948" customFormat="1">
      <c r="A72" s="2978">
        <v>70</v>
      </c>
      <c r="B72" s="2991" t="s">
        <v>3256</v>
      </c>
      <c r="C72" s="2953">
        <v>3</v>
      </c>
      <c r="D72" s="2949" t="s">
        <v>3257</v>
      </c>
      <c r="E72" s="2992">
        <v>17.36</v>
      </c>
      <c r="F72" s="3374" t="s">
        <v>3258</v>
      </c>
      <c r="G72" s="3374"/>
      <c r="H72" s="2982">
        <v>3.24</v>
      </c>
    </row>
    <row r="73" spans="1:8" s="2948" customFormat="1">
      <c r="A73" s="2978">
        <v>71</v>
      </c>
      <c r="B73" s="2991" t="s">
        <v>3259</v>
      </c>
      <c r="C73" s="2953">
        <v>3</v>
      </c>
      <c r="D73" s="2949" t="s">
        <v>3260</v>
      </c>
      <c r="E73" s="2992">
        <v>17.36</v>
      </c>
      <c r="F73" s="3374" t="s">
        <v>3261</v>
      </c>
      <c r="G73" s="3374"/>
      <c r="H73" s="2982">
        <v>3.24</v>
      </c>
    </row>
    <row r="74" spans="1:8" s="2948" customFormat="1">
      <c r="A74" s="2978">
        <v>72</v>
      </c>
      <c r="B74" s="2990" t="s">
        <v>3262</v>
      </c>
      <c r="C74" s="2953">
        <v>3</v>
      </c>
      <c r="D74" s="2949" t="s">
        <v>3263</v>
      </c>
      <c r="E74" s="2981">
        <v>19.64</v>
      </c>
      <c r="F74" s="3374" t="s">
        <v>3264</v>
      </c>
      <c r="G74" s="3374"/>
      <c r="H74" s="2982">
        <v>3.66</v>
      </c>
    </row>
    <row r="75" spans="1:8" s="2948" customFormat="1">
      <c r="A75" s="2978">
        <v>73</v>
      </c>
      <c r="B75" s="2990" t="s">
        <v>3265</v>
      </c>
      <c r="C75" s="2953">
        <v>3</v>
      </c>
      <c r="D75" s="2949" t="s">
        <v>3266</v>
      </c>
      <c r="E75" s="2981">
        <v>25.25</v>
      </c>
      <c r="F75" s="3374" t="s">
        <v>3267</v>
      </c>
      <c r="G75" s="3374"/>
      <c r="H75" s="2982">
        <v>4.71</v>
      </c>
    </row>
    <row r="76" spans="1:8" s="2948" customFormat="1">
      <c r="A76" s="2978">
        <v>74</v>
      </c>
      <c r="B76" s="2991" t="s">
        <v>3268</v>
      </c>
      <c r="C76" s="2953">
        <v>3</v>
      </c>
      <c r="D76" s="2949" t="s">
        <v>3269</v>
      </c>
      <c r="E76" s="2992">
        <v>18.7</v>
      </c>
      <c r="F76" s="3374" t="s">
        <v>3270</v>
      </c>
      <c r="G76" s="3374"/>
      <c r="H76" s="2982">
        <v>3.49</v>
      </c>
    </row>
    <row r="77" spans="1:8" s="2948" customFormat="1">
      <c r="A77" s="2978">
        <v>75</v>
      </c>
      <c r="B77" s="2991" t="s">
        <v>3271</v>
      </c>
      <c r="C77" s="2953">
        <v>3</v>
      </c>
      <c r="D77" s="2949" t="s">
        <v>3272</v>
      </c>
      <c r="E77" s="2992">
        <v>22.19</v>
      </c>
      <c r="F77" s="3374" t="s">
        <v>3273</v>
      </c>
      <c r="G77" s="3374"/>
      <c r="H77" s="2982">
        <v>4.1399999999999997</v>
      </c>
    </row>
    <row r="78" spans="1:8" s="2948" customFormat="1">
      <c r="A78" s="2978">
        <v>76</v>
      </c>
      <c r="B78" s="2990" t="s">
        <v>3274</v>
      </c>
      <c r="C78" s="2953">
        <v>3</v>
      </c>
      <c r="D78" s="2949" t="s">
        <v>3275</v>
      </c>
      <c r="E78" s="2981">
        <v>35.42</v>
      </c>
      <c r="F78" s="3374" t="s">
        <v>3276</v>
      </c>
      <c r="G78" s="3374"/>
      <c r="H78" s="2982">
        <v>6.61</v>
      </c>
    </row>
    <row r="79" spans="1:8" s="2948" customFormat="1">
      <c r="A79" s="2978">
        <v>77</v>
      </c>
      <c r="B79" s="2990" t="s">
        <v>3277</v>
      </c>
      <c r="C79" s="2953">
        <v>3</v>
      </c>
      <c r="D79" s="2949" t="s">
        <v>3278</v>
      </c>
      <c r="E79" s="2981">
        <v>29.39</v>
      </c>
      <c r="F79" s="3374" t="s">
        <v>3279</v>
      </c>
      <c r="G79" s="3374"/>
      <c r="H79" s="2982">
        <v>5.49</v>
      </c>
    </row>
    <row r="80" spans="1:8" s="2948" customFormat="1">
      <c r="A80" s="2978">
        <v>78</v>
      </c>
      <c r="B80" s="2990" t="s">
        <v>3280</v>
      </c>
      <c r="C80" s="2953">
        <v>3</v>
      </c>
      <c r="D80" s="2949" t="s">
        <v>3281</v>
      </c>
      <c r="E80" s="2981">
        <v>26.07</v>
      </c>
      <c r="F80" s="3374" t="s">
        <v>3282</v>
      </c>
      <c r="G80" s="3374"/>
      <c r="H80" s="2978">
        <v>4.8600000000000003</v>
      </c>
    </row>
    <row r="81" spans="1:8" s="2948" customFormat="1">
      <c r="A81" s="2978">
        <v>79</v>
      </c>
      <c r="B81" s="2991" t="s">
        <v>3283</v>
      </c>
      <c r="C81" s="2953">
        <v>3</v>
      </c>
      <c r="D81" s="2949" t="s">
        <v>3284</v>
      </c>
      <c r="E81" s="2992">
        <v>22.18</v>
      </c>
      <c r="F81" s="3374" t="s">
        <v>3285</v>
      </c>
      <c r="G81" s="3374"/>
      <c r="H81" s="2978">
        <v>4.1399999999999997</v>
      </c>
    </row>
    <row r="82" spans="1:8" s="2948" customFormat="1">
      <c r="A82" s="2978">
        <v>80</v>
      </c>
      <c r="B82" s="2991" t="s">
        <v>3286</v>
      </c>
      <c r="C82" s="2953">
        <v>3</v>
      </c>
      <c r="D82" s="2949" t="s">
        <v>3287</v>
      </c>
      <c r="E82" s="2992">
        <v>14.35</v>
      </c>
      <c r="F82" s="3374" t="s">
        <v>3288</v>
      </c>
      <c r="G82" s="3374"/>
      <c r="H82" s="2978">
        <v>2.68</v>
      </c>
    </row>
    <row r="83" spans="1:8" s="2948" customFormat="1">
      <c r="A83" s="2978">
        <v>81</v>
      </c>
      <c r="B83" s="2991" t="s">
        <v>3289</v>
      </c>
      <c r="C83" s="2953">
        <v>3</v>
      </c>
      <c r="D83" s="2949" t="s">
        <v>3290</v>
      </c>
      <c r="E83" s="2992">
        <v>22.18</v>
      </c>
      <c r="F83" s="3374" t="s">
        <v>3291</v>
      </c>
      <c r="G83" s="3374"/>
      <c r="H83" s="2978">
        <v>4.1399999999999997</v>
      </c>
    </row>
    <row r="84" spans="1:8" s="2948" customFormat="1">
      <c r="A84" s="2978">
        <v>82</v>
      </c>
      <c r="B84" s="2991" t="s">
        <v>3292</v>
      </c>
      <c r="C84" s="2953">
        <v>3</v>
      </c>
      <c r="D84" s="2949" t="s">
        <v>3293</v>
      </c>
      <c r="E84" s="2992">
        <v>21.37</v>
      </c>
      <c r="F84" s="3374" t="s">
        <v>3294</v>
      </c>
      <c r="G84" s="3374"/>
      <c r="H84" s="2978">
        <v>3.99</v>
      </c>
    </row>
    <row r="85" spans="1:8" s="2948" customFormat="1">
      <c r="A85" s="2978">
        <v>83</v>
      </c>
      <c r="B85" s="2991" t="s">
        <v>3295</v>
      </c>
      <c r="C85" s="2953">
        <v>3</v>
      </c>
      <c r="D85" s="2949" t="s">
        <v>3296</v>
      </c>
      <c r="E85" s="2992">
        <v>22.18</v>
      </c>
      <c r="F85" s="3374" t="s">
        <v>3297</v>
      </c>
      <c r="G85" s="3374"/>
      <c r="H85" s="2978">
        <v>4.1399999999999997</v>
      </c>
    </row>
    <row r="86" spans="1:8" s="2948" customFormat="1">
      <c r="A86" s="2978">
        <v>84</v>
      </c>
      <c r="B86" s="2991" t="s">
        <v>3298</v>
      </c>
      <c r="C86" s="2953">
        <v>3</v>
      </c>
      <c r="D86" s="2949" t="s">
        <v>3299</v>
      </c>
      <c r="E86" s="2992">
        <v>21.37</v>
      </c>
      <c r="F86" s="3374" t="s">
        <v>3300</v>
      </c>
      <c r="G86" s="3374"/>
      <c r="H86" s="2978">
        <v>3.99</v>
      </c>
    </row>
    <row r="87" spans="1:8" s="2948" customFormat="1">
      <c r="A87" s="2978">
        <v>85</v>
      </c>
      <c r="B87" s="2991" t="s">
        <v>3301</v>
      </c>
      <c r="C87" s="2953">
        <v>3</v>
      </c>
      <c r="D87" s="2949" t="s">
        <v>3302</v>
      </c>
      <c r="E87" s="2992">
        <v>22.17</v>
      </c>
      <c r="F87" s="3374" t="s">
        <v>3303</v>
      </c>
      <c r="G87" s="3374"/>
      <c r="H87" s="2978">
        <v>4.1399999999999997</v>
      </c>
    </row>
    <row r="88" spans="1:8" s="2948" customFormat="1">
      <c r="A88" s="2978">
        <v>86</v>
      </c>
      <c r="B88" s="2991" t="s">
        <v>3304</v>
      </c>
      <c r="C88" s="2953">
        <v>3</v>
      </c>
      <c r="D88" s="2949" t="s">
        <v>3305</v>
      </c>
      <c r="E88" s="2992">
        <v>21.37</v>
      </c>
      <c r="F88" s="3374" t="s">
        <v>3306</v>
      </c>
      <c r="G88" s="3374"/>
      <c r="H88" s="2978">
        <v>3.99</v>
      </c>
    </row>
    <row r="89" spans="1:8" s="2948" customFormat="1" ht="17.25" customHeight="1">
      <c r="A89" s="2978">
        <v>87</v>
      </c>
      <c r="B89" s="2991" t="s">
        <v>3307</v>
      </c>
      <c r="C89" s="2953">
        <v>3</v>
      </c>
      <c r="D89" s="2949" t="s">
        <v>3308</v>
      </c>
      <c r="E89" s="2992">
        <v>22.18</v>
      </c>
      <c r="F89" s="3374" t="s">
        <v>3309</v>
      </c>
      <c r="G89" s="3374"/>
      <c r="H89" s="2978">
        <v>4.1399999999999997</v>
      </c>
    </row>
    <row r="90" spans="1:8" s="2948" customFormat="1">
      <c r="A90" s="2978">
        <v>88</v>
      </c>
      <c r="B90" s="2991" t="s">
        <v>3310</v>
      </c>
      <c r="C90" s="2953">
        <v>3</v>
      </c>
      <c r="D90" s="2949" t="s">
        <v>3311</v>
      </c>
      <c r="E90" s="2992">
        <v>21.38</v>
      </c>
      <c r="F90" s="3374" t="s">
        <v>3312</v>
      </c>
      <c r="G90" s="3374"/>
      <c r="H90" s="2978">
        <v>3.99</v>
      </c>
    </row>
    <row r="91" spans="1:8" s="2948" customFormat="1">
      <c r="A91" s="2978">
        <v>89</v>
      </c>
      <c r="B91" s="2991" t="s">
        <v>3313</v>
      </c>
      <c r="C91" s="2953">
        <v>3</v>
      </c>
      <c r="D91" s="2949" t="s">
        <v>3314</v>
      </c>
      <c r="E91" s="2992">
        <v>22.18</v>
      </c>
      <c r="F91" s="3374" t="s">
        <v>3315</v>
      </c>
      <c r="G91" s="3374"/>
      <c r="H91" s="2978">
        <v>4.1399999999999997</v>
      </c>
    </row>
    <row r="92" spans="1:8" s="2948" customFormat="1">
      <c r="A92" s="2978">
        <v>90</v>
      </c>
      <c r="B92" s="2991" t="s">
        <v>3316</v>
      </c>
      <c r="C92" s="2953">
        <v>3</v>
      </c>
      <c r="D92" s="2949" t="s">
        <v>3317</v>
      </c>
      <c r="E92" s="2992">
        <v>21.37</v>
      </c>
      <c r="F92" s="3374" t="s">
        <v>3318</v>
      </c>
      <c r="G92" s="3374"/>
      <c r="H92" s="2978">
        <v>3.99</v>
      </c>
    </row>
    <row r="93" spans="1:8" s="2948" customFormat="1">
      <c r="A93" s="2978">
        <v>91</v>
      </c>
      <c r="B93" s="2991" t="s">
        <v>3319</v>
      </c>
      <c r="C93" s="2953">
        <v>3</v>
      </c>
      <c r="D93" s="2949" t="s">
        <v>3320</v>
      </c>
      <c r="E93" s="2992">
        <v>22.18</v>
      </c>
      <c r="F93" s="3374" t="s">
        <v>3321</v>
      </c>
      <c r="G93" s="3374"/>
      <c r="H93" s="2978">
        <v>4.1399999999999997</v>
      </c>
    </row>
    <row r="94" spans="1:8" s="2948" customFormat="1">
      <c r="A94" s="2978">
        <v>92</v>
      </c>
      <c r="B94" s="2991" t="s">
        <v>3322</v>
      </c>
      <c r="C94" s="2953">
        <v>3</v>
      </c>
      <c r="D94" s="2949" t="s">
        <v>3323</v>
      </c>
      <c r="E94" s="2992">
        <v>19.53</v>
      </c>
      <c r="F94" s="3374" t="s">
        <v>3324</v>
      </c>
      <c r="G94" s="3374"/>
      <c r="H94" s="2978">
        <v>3.64</v>
      </c>
    </row>
    <row r="95" spans="1:8" s="2948" customFormat="1">
      <c r="A95" s="2978">
        <v>93</v>
      </c>
      <c r="B95" s="2990" t="s">
        <v>3325</v>
      </c>
      <c r="C95" s="2953">
        <v>3</v>
      </c>
      <c r="D95" s="2949" t="s">
        <v>3326</v>
      </c>
      <c r="E95" s="2981">
        <v>20.56</v>
      </c>
      <c r="F95" s="3374" t="s">
        <v>3327</v>
      </c>
      <c r="G95" s="3374"/>
      <c r="H95" s="2978">
        <v>3.84</v>
      </c>
    </row>
    <row r="96" spans="1:8" s="2948" customFormat="1">
      <c r="A96" s="2978">
        <v>94</v>
      </c>
      <c r="B96" s="2990" t="s">
        <v>3328</v>
      </c>
      <c r="C96" s="2953">
        <v>3</v>
      </c>
      <c r="D96" s="2949" t="s">
        <v>3329</v>
      </c>
      <c r="E96" s="2981">
        <v>38.58</v>
      </c>
      <c r="F96" s="3374" t="s">
        <v>3330</v>
      </c>
      <c r="G96" s="3374"/>
      <c r="H96" s="2978">
        <v>7.2</v>
      </c>
    </row>
    <row r="97" spans="1:11" s="2948" customFormat="1">
      <c r="A97" s="2978">
        <v>95</v>
      </c>
      <c r="B97" s="2990" t="s">
        <v>3331</v>
      </c>
      <c r="C97" s="2953">
        <v>3</v>
      </c>
      <c r="D97" s="2949" t="s">
        <v>3332</v>
      </c>
      <c r="E97" s="2981">
        <v>44.1</v>
      </c>
      <c r="F97" s="3374" t="s">
        <v>3333</v>
      </c>
      <c r="G97" s="3374"/>
      <c r="H97" s="2978">
        <v>8.23</v>
      </c>
    </row>
    <row r="98" spans="1:11" s="2948" customFormat="1">
      <c r="A98" s="2978">
        <v>96</v>
      </c>
      <c r="B98" s="2990" t="s">
        <v>3334</v>
      </c>
      <c r="C98" s="2953">
        <v>3</v>
      </c>
      <c r="D98" s="2949" t="s">
        <v>3335</v>
      </c>
      <c r="E98" s="2981">
        <v>44.57</v>
      </c>
      <c r="F98" s="3374" t="s">
        <v>3336</v>
      </c>
      <c r="G98" s="3374"/>
      <c r="H98" s="2978">
        <v>8.32</v>
      </c>
      <c r="K98" s="2997" t="s">
        <v>3446</v>
      </c>
    </row>
    <row r="99" spans="1:11" s="2948" customFormat="1">
      <c r="A99" s="2978">
        <v>97</v>
      </c>
      <c r="B99" s="2990" t="s">
        <v>3337</v>
      </c>
      <c r="C99" s="2953">
        <v>3</v>
      </c>
      <c r="D99" s="2949" t="s">
        <v>3338</v>
      </c>
      <c r="E99" s="2981">
        <v>44.72</v>
      </c>
      <c r="F99" s="3374" t="s">
        <v>3339</v>
      </c>
      <c r="G99" s="3374"/>
      <c r="H99" s="2978">
        <v>8.35</v>
      </c>
    </row>
    <row r="100" spans="1:11" s="2948" customFormat="1">
      <c r="A100" s="2978">
        <v>98</v>
      </c>
      <c r="B100" s="2993" t="s">
        <v>3340</v>
      </c>
      <c r="C100" s="2953">
        <v>3</v>
      </c>
      <c r="D100" s="2949" t="s">
        <v>3341</v>
      </c>
      <c r="E100" s="2993">
        <v>26.23</v>
      </c>
      <c r="F100" s="3374" t="s">
        <v>3342</v>
      </c>
      <c r="G100" s="3374"/>
      <c r="H100" s="2978">
        <v>4.8899999999999997</v>
      </c>
    </row>
    <row r="101" spans="1:11" s="2948" customFormat="1">
      <c r="A101" s="2978">
        <v>99</v>
      </c>
      <c r="B101" s="2993" t="s">
        <v>3343</v>
      </c>
      <c r="C101" s="2953">
        <v>3</v>
      </c>
      <c r="D101" s="2949" t="s">
        <v>3344</v>
      </c>
      <c r="E101" s="2993">
        <v>25.65</v>
      </c>
      <c r="F101" s="3374" t="s">
        <v>3345</v>
      </c>
      <c r="G101" s="3374"/>
      <c r="H101" s="2978">
        <v>4.79</v>
      </c>
    </row>
    <row r="102" spans="1:11" s="2948" customFormat="1">
      <c r="A102" s="2978">
        <v>100</v>
      </c>
      <c r="B102" s="2991" t="s">
        <v>3346</v>
      </c>
      <c r="C102" s="2953">
        <v>3</v>
      </c>
      <c r="D102" s="2949" t="s">
        <v>3347</v>
      </c>
      <c r="E102" s="2992">
        <v>20.12</v>
      </c>
      <c r="F102" s="3374" t="s">
        <v>3348</v>
      </c>
      <c r="G102" s="3374"/>
      <c r="H102" s="2978">
        <v>3.75</v>
      </c>
    </row>
    <row r="103" spans="1:11" s="2948" customFormat="1">
      <c r="A103" s="2978">
        <v>101</v>
      </c>
      <c r="B103" s="2991" t="s">
        <v>3349</v>
      </c>
      <c r="C103" s="2953">
        <v>3</v>
      </c>
      <c r="D103" s="2949" t="s">
        <v>3350</v>
      </c>
      <c r="E103" s="2992">
        <v>32.5</v>
      </c>
      <c r="F103" s="3374" t="s">
        <v>3351</v>
      </c>
      <c r="G103" s="3374"/>
      <c r="H103" s="2978">
        <v>6.07</v>
      </c>
    </row>
    <row r="104" spans="1:11" s="2948" customFormat="1">
      <c r="A104" s="2978">
        <v>102</v>
      </c>
      <c r="B104" s="2991" t="s">
        <v>3352</v>
      </c>
      <c r="C104" s="2953">
        <v>3</v>
      </c>
      <c r="D104" s="2949" t="s">
        <v>3353</v>
      </c>
      <c r="E104" s="2992">
        <v>26.82</v>
      </c>
      <c r="F104" s="3374" t="s">
        <v>3354</v>
      </c>
      <c r="G104" s="3374"/>
      <c r="H104" s="2978">
        <v>5</v>
      </c>
    </row>
    <row r="105" spans="1:11" s="2948" customFormat="1">
      <c r="A105" s="2978">
        <v>103</v>
      </c>
      <c r="B105" s="2991" t="s">
        <v>3355</v>
      </c>
      <c r="C105" s="2953">
        <v>3</v>
      </c>
      <c r="D105" s="2949" t="s">
        <v>3356</v>
      </c>
      <c r="E105" s="2992">
        <v>24.36</v>
      </c>
      <c r="F105" s="3374" t="s">
        <v>3357</v>
      </c>
      <c r="G105" s="3374"/>
      <c r="H105" s="2978">
        <v>4.55</v>
      </c>
    </row>
    <row r="106" spans="1:11" s="2996" customFormat="1">
      <c r="A106" s="2978">
        <v>104</v>
      </c>
      <c r="B106" s="2994" t="s">
        <v>3358</v>
      </c>
      <c r="C106" s="2953">
        <v>4</v>
      </c>
      <c r="D106" s="2949" t="s">
        <v>3359</v>
      </c>
      <c r="E106" s="2954">
        <v>24.8</v>
      </c>
      <c r="F106" s="3380"/>
      <c r="G106" s="3380"/>
      <c r="H106" s="2982">
        <v>4.63</v>
      </c>
    </row>
    <row r="107" spans="1:11" s="2996" customFormat="1">
      <c r="A107" s="2978">
        <v>105</v>
      </c>
      <c r="B107" s="2994" t="s">
        <v>3360</v>
      </c>
      <c r="C107" s="2953">
        <v>4</v>
      </c>
      <c r="D107" s="2949" t="s">
        <v>3361</v>
      </c>
      <c r="E107" s="2954">
        <v>21.5</v>
      </c>
      <c r="F107" s="3380"/>
      <c r="G107" s="3380"/>
      <c r="H107" s="2982">
        <v>4.0199999999999996</v>
      </c>
    </row>
    <row r="108" spans="1:11" s="2996" customFormat="1">
      <c r="A108" s="2978">
        <v>106</v>
      </c>
      <c r="B108" s="2994" t="s">
        <v>3362</v>
      </c>
      <c r="C108" s="2953">
        <v>4</v>
      </c>
      <c r="D108" s="2949" t="s">
        <v>3363</v>
      </c>
      <c r="E108" s="2954">
        <v>22.75</v>
      </c>
      <c r="F108" s="3380"/>
      <c r="G108" s="3380"/>
      <c r="H108" s="2982">
        <v>4.25</v>
      </c>
    </row>
    <row r="109" spans="1:11" s="2996" customFormat="1">
      <c r="A109" s="2978">
        <v>107</v>
      </c>
      <c r="B109" s="2995" t="s">
        <v>3364</v>
      </c>
      <c r="C109" s="2953">
        <v>4</v>
      </c>
      <c r="D109" s="2949" t="s">
        <v>3365</v>
      </c>
      <c r="E109" s="2954">
        <v>37.9</v>
      </c>
      <c r="F109" s="3380"/>
      <c r="G109" s="3380"/>
      <c r="H109" s="2982">
        <v>7.08</v>
      </c>
    </row>
    <row r="110" spans="1:11" s="2996" customFormat="1">
      <c r="A110" s="2978">
        <v>108</v>
      </c>
      <c r="B110" s="2995" t="s">
        <v>3366</v>
      </c>
      <c r="C110" s="2953">
        <v>4</v>
      </c>
      <c r="D110" s="2949" t="s">
        <v>3367</v>
      </c>
      <c r="E110" s="2954">
        <v>32.47</v>
      </c>
      <c r="F110" s="3380"/>
      <c r="G110" s="3380"/>
      <c r="H110" s="2982">
        <v>6.07</v>
      </c>
    </row>
    <row r="111" spans="1:11">
      <c r="A111" s="3369" t="s">
        <v>3447</v>
      </c>
      <c r="B111" s="3370"/>
      <c r="C111" s="3371"/>
      <c r="D111" s="2998"/>
      <c r="E111" s="2999">
        <f>SUM(E3:E110)</f>
        <v>4833.9999999999973</v>
      </c>
      <c r="F111" s="3372"/>
      <c r="G111" s="3373"/>
      <c r="H111" s="2999">
        <f>SUM(H3:H110)</f>
        <v>909.82000000000039</v>
      </c>
    </row>
  </sheetData>
  <mergeCells count="112">
    <mergeCell ref="F109:G109"/>
    <mergeCell ref="F110:G110"/>
    <mergeCell ref="F103:G103"/>
    <mergeCell ref="F104:G104"/>
    <mergeCell ref="F105:G105"/>
    <mergeCell ref="F106:G106"/>
    <mergeCell ref="F107:G107"/>
    <mergeCell ref="F108:G108"/>
    <mergeCell ref="F97:G97"/>
    <mergeCell ref="F98:G98"/>
    <mergeCell ref="F99:G99"/>
    <mergeCell ref="F100:G100"/>
    <mergeCell ref="F101:G101"/>
    <mergeCell ref="F102:G102"/>
    <mergeCell ref="F91:G91"/>
    <mergeCell ref="F92:G92"/>
    <mergeCell ref="F93:G93"/>
    <mergeCell ref="F94:G94"/>
    <mergeCell ref="F95:G95"/>
    <mergeCell ref="F96:G96"/>
    <mergeCell ref="F85:G85"/>
    <mergeCell ref="F86:G86"/>
    <mergeCell ref="F87:G87"/>
    <mergeCell ref="F88:G88"/>
    <mergeCell ref="F89:G89"/>
    <mergeCell ref="F90:G90"/>
    <mergeCell ref="F79:G79"/>
    <mergeCell ref="F80:G80"/>
    <mergeCell ref="F81:G81"/>
    <mergeCell ref="F82:G82"/>
    <mergeCell ref="F83:G83"/>
    <mergeCell ref="F84:G84"/>
    <mergeCell ref="F73:G73"/>
    <mergeCell ref="F74:G74"/>
    <mergeCell ref="F75:G75"/>
    <mergeCell ref="F76:G76"/>
    <mergeCell ref="F77:G77"/>
    <mergeCell ref="F78:G78"/>
    <mergeCell ref="F67:G67"/>
    <mergeCell ref="F68:G68"/>
    <mergeCell ref="F69:G69"/>
    <mergeCell ref="F70:G70"/>
    <mergeCell ref="F71:G71"/>
    <mergeCell ref="F72:G72"/>
    <mergeCell ref="F61:G61"/>
    <mergeCell ref="F62:G62"/>
    <mergeCell ref="F63:G63"/>
    <mergeCell ref="F64:G64"/>
    <mergeCell ref="F65:G65"/>
    <mergeCell ref="F66:G66"/>
    <mergeCell ref="F55:G55"/>
    <mergeCell ref="F56:G56"/>
    <mergeCell ref="F57:G57"/>
    <mergeCell ref="F58:G58"/>
    <mergeCell ref="F59:G59"/>
    <mergeCell ref="F60:G60"/>
    <mergeCell ref="F49:G49"/>
    <mergeCell ref="F50:G50"/>
    <mergeCell ref="F51:G51"/>
    <mergeCell ref="F52:G52"/>
    <mergeCell ref="F53:G53"/>
    <mergeCell ref="F54:G54"/>
    <mergeCell ref="F43:G43"/>
    <mergeCell ref="F44:G44"/>
    <mergeCell ref="F45:G45"/>
    <mergeCell ref="F46:G46"/>
    <mergeCell ref="F47:G47"/>
    <mergeCell ref="F48:G48"/>
    <mergeCell ref="F37:G37"/>
    <mergeCell ref="F38:G38"/>
    <mergeCell ref="F39:G39"/>
    <mergeCell ref="F40:G40"/>
    <mergeCell ref="F41:G41"/>
    <mergeCell ref="F42:G42"/>
    <mergeCell ref="F17:G17"/>
    <mergeCell ref="F18:G18"/>
    <mergeCell ref="F31:G31"/>
    <mergeCell ref="F32:G32"/>
    <mergeCell ref="F33:G33"/>
    <mergeCell ref="F34:G34"/>
    <mergeCell ref="F35:G35"/>
    <mergeCell ref="F36:G36"/>
    <mergeCell ref="F25:G25"/>
    <mergeCell ref="F26:G26"/>
    <mergeCell ref="F27:G27"/>
    <mergeCell ref="F28:G28"/>
    <mergeCell ref="F29:G29"/>
    <mergeCell ref="F30:G30"/>
    <mergeCell ref="A111:C111"/>
    <mergeCell ref="F111:G111"/>
    <mergeCell ref="F7:G7"/>
    <mergeCell ref="F8:G8"/>
    <mergeCell ref="F9:G9"/>
    <mergeCell ref="F10:G10"/>
    <mergeCell ref="F11:G11"/>
    <mergeCell ref="F12:G12"/>
    <mergeCell ref="A1:H1"/>
    <mergeCell ref="F2:G2"/>
    <mergeCell ref="F3:G3"/>
    <mergeCell ref="F4:G4"/>
    <mergeCell ref="F5:G5"/>
    <mergeCell ref="F6:G6"/>
    <mergeCell ref="F19:G19"/>
    <mergeCell ref="F20:G20"/>
    <mergeCell ref="F21:G21"/>
    <mergeCell ref="F22:G22"/>
    <mergeCell ref="F23:G23"/>
    <mergeCell ref="F24:G24"/>
    <mergeCell ref="F13:G13"/>
    <mergeCell ref="F14:G14"/>
    <mergeCell ref="F15:G15"/>
    <mergeCell ref="F16:G16"/>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1:I93"/>
  <sheetViews>
    <sheetView topLeftCell="A62" workbookViewId="0">
      <selection activeCell="B65" sqref="B65:I93"/>
    </sheetView>
  </sheetViews>
  <sheetFormatPr defaultRowHeight="13.5"/>
  <sheetData>
    <row r="1" spans="2:7" ht="14.25" thickBot="1"/>
    <row r="2" spans="2:7" ht="14.25" thickBot="1">
      <c r="B2" s="3398" t="s">
        <v>3449</v>
      </c>
      <c r="C2" s="3399"/>
      <c r="D2" s="3000" t="s">
        <v>3450</v>
      </c>
      <c r="E2" s="3000" t="s">
        <v>3451</v>
      </c>
      <c r="F2" s="3000" t="s">
        <v>3452</v>
      </c>
      <c r="G2" s="3000" t="s">
        <v>3453</v>
      </c>
    </row>
    <row r="3" spans="2:7" ht="26.25" thickBot="1">
      <c r="B3" s="3400"/>
      <c r="C3" s="3401"/>
      <c r="D3" s="3001" t="s">
        <v>3468</v>
      </c>
      <c r="E3" s="3001" t="s">
        <v>3469</v>
      </c>
      <c r="F3" s="3001" t="s">
        <v>3472</v>
      </c>
      <c r="G3" s="3001" t="s">
        <v>3475</v>
      </c>
    </row>
    <row r="4" spans="2:7" ht="90" thickBot="1">
      <c r="B4" s="3402"/>
      <c r="C4" s="3403"/>
      <c r="D4" s="3002" t="s">
        <v>3478</v>
      </c>
      <c r="E4" s="3003" t="s">
        <v>3471</v>
      </c>
      <c r="F4" s="3003" t="s">
        <v>3474</v>
      </c>
      <c r="G4" s="3003" t="s">
        <v>3477</v>
      </c>
    </row>
    <row r="5" spans="2:7" ht="14.25" thickBot="1">
      <c r="B5" s="3383" t="s">
        <v>3454</v>
      </c>
      <c r="C5" s="3384"/>
      <c r="D5" s="3004">
        <v>43191</v>
      </c>
      <c r="E5" s="3004">
        <v>43191</v>
      </c>
      <c r="F5" s="3004">
        <v>43191</v>
      </c>
      <c r="G5" s="3004">
        <v>43191</v>
      </c>
    </row>
    <row r="6" spans="2:7" ht="14.25" thickBot="1">
      <c r="B6" s="3404" t="s">
        <v>3455</v>
      </c>
      <c r="C6" s="3405"/>
      <c r="D6" s="3003" t="s">
        <v>3382</v>
      </c>
      <c r="E6" s="3003" t="s">
        <v>3382</v>
      </c>
      <c r="F6" s="3003" t="s">
        <v>3382</v>
      </c>
      <c r="G6" s="3003" t="s">
        <v>3382</v>
      </c>
    </row>
    <row r="7" spans="2:7" ht="14.25" thickBot="1">
      <c r="B7" s="3406" t="s">
        <v>3481</v>
      </c>
      <c r="C7" s="3005" t="s">
        <v>1375</v>
      </c>
      <c r="D7" s="3003" t="s">
        <v>3513</v>
      </c>
      <c r="E7" s="3003" t="s">
        <v>3513</v>
      </c>
      <c r="F7" s="3003" t="s">
        <v>3513</v>
      </c>
      <c r="G7" s="3003" t="s">
        <v>3513</v>
      </c>
    </row>
    <row r="8" spans="2:7" ht="26.25" thickBot="1">
      <c r="B8" s="3407"/>
      <c r="C8" s="3005" t="s">
        <v>3456</v>
      </c>
      <c r="D8" s="3003" t="s">
        <v>3479</v>
      </c>
      <c r="E8" s="3003" t="s">
        <v>3479</v>
      </c>
      <c r="F8" s="3003" t="s">
        <v>3479</v>
      </c>
      <c r="G8" s="3003" t="s">
        <v>3479</v>
      </c>
    </row>
    <row r="9" spans="2:7" ht="14.25" thickBot="1">
      <c r="B9" s="3408"/>
      <c r="C9" s="3003" t="s">
        <v>3482</v>
      </c>
      <c r="D9" s="3008">
        <v>5.31</v>
      </c>
      <c r="E9" s="3008">
        <v>4</v>
      </c>
      <c r="F9" s="3008">
        <v>4.09</v>
      </c>
      <c r="G9" s="3008">
        <v>2.2999999999999998</v>
      </c>
    </row>
    <row r="10" spans="2:7" ht="141" thickBot="1">
      <c r="B10" s="3409" t="s">
        <v>3457</v>
      </c>
      <c r="C10" s="3006" t="s">
        <v>3483</v>
      </c>
      <c r="D10" s="3003" t="s">
        <v>3484</v>
      </c>
      <c r="E10" s="3003" t="s">
        <v>3514</v>
      </c>
      <c r="F10" s="3003" t="s">
        <v>3518</v>
      </c>
      <c r="G10" s="3003" t="s">
        <v>3519</v>
      </c>
    </row>
    <row r="11" spans="2:7" ht="60.75" customHeight="1" thickBot="1">
      <c r="B11" s="3393"/>
      <c r="C11" s="3006" t="s">
        <v>3485</v>
      </c>
      <c r="D11" s="3003" t="s">
        <v>3486</v>
      </c>
      <c r="E11" s="3003" t="s">
        <v>3515</v>
      </c>
      <c r="F11" s="3003" t="s">
        <v>3515</v>
      </c>
      <c r="G11" s="3003" t="s">
        <v>3515</v>
      </c>
    </row>
    <row r="12" spans="2:7" ht="201" customHeight="1" thickBot="1">
      <c r="B12" s="3393"/>
      <c r="C12" s="3006" t="s">
        <v>3458</v>
      </c>
      <c r="D12" s="3003" t="s">
        <v>3487</v>
      </c>
      <c r="E12" s="3003" t="s">
        <v>3516</v>
      </c>
      <c r="F12" s="3003" t="s">
        <v>3516</v>
      </c>
      <c r="G12" s="3003" t="s">
        <v>3516</v>
      </c>
    </row>
    <row r="13" spans="2:7" ht="14.25" thickBot="1">
      <c r="B13" s="3393"/>
      <c r="C13" s="3006" t="s">
        <v>3459</v>
      </c>
      <c r="D13" s="3003" t="s">
        <v>3386</v>
      </c>
      <c r="E13" s="3003" t="s">
        <v>3386</v>
      </c>
      <c r="F13" s="3003" t="s">
        <v>3386</v>
      </c>
      <c r="G13" s="3003" t="s">
        <v>3386</v>
      </c>
    </row>
    <row r="14" spans="2:7" ht="90" thickBot="1">
      <c r="B14" s="3393"/>
      <c r="C14" s="3006" t="s">
        <v>3488</v>
      </c>
      <c r="D14" s="3003" t="s">
        <v>3489</v>
      </c>
      <c r="E14" s="3003" t="s">
        <v>3517</v>
      </c>
      <c r="F14" s="3003" t="s">
        <v>3517</v>
      </c>
      <c r="G14" s="3003" t="s">
        <v>3517</v>
      </c>
    </row>
    <row r="15" spans="2:7" ht="14.25" thickBot="1">
      <c r="B15" s="3393"/>
      <c r="C15" s="3006" t="s">
        <v>3490</v>
      </c>
      <c r="D15" s="3003" t="s">
        <v>3491</v>
      </c>
      <c r="E15" s="3003" t="s">
        <v>3491</v>
      </c>
      <c r="F15" s="3003" t="s">
        <v>3491</v>
      </c>
      <c r="G15" s="3003" t="s">
        <v>3491</v>
      </c>
    </row>
    <row r="16" spans="2:7" ht="14.25" thickBot="1">
      <c r="B16" s="3393"/>
      <c r="C16" s="3006" t="s">
        <v>3492</v>
      </c>
      <c r="D16" s="3003" t="s">
        <v>3493</v>
      </c>
      <c r="E16" s="3003" t="s">
        <v>3494</v>
      </c>
      <c r="F16" s="3003" t="s">
        <v>3495</v>
      </c>
      <c r="G16" s="3003" t="s">
        <v>3494</v>
      </c>
    </row>
    <row r="17" spans="2:7" ht="14.25" thickBot="1">
      <c r="B17" s="3393"/>
      <c r="C17" s="3006" t="s">
        <v>3496</v>
      </c>
      <c r="D17" s="3003" t="s">
        <v>3494</v>
      </c>
      <c r="E17" s="3003" t="s">
        <v>3495</v>
      </c>
      <c r="F17" s="3003" t="s">
        <v>3495</v>
      </c>
      <c r="G17" s="3003" t="s">
        <v>3495</v>
      </c>
    </row>
    <row r="18" spans="2:7" ht="14.25" thickBot="1">
      <c r="B18" s="3393"/>
      <c r="C18" s="3006" t="s">
        <v>3079</v>
      </c>
      <c r="D18" s="3003" t="s">
        <v>3497</v>
      </c>
      <c r="E18" s="3003" t="s">
        <v>3497</v>
      </c>
      <c r="F18" s="3003" t="s">
        <v>3497</v>
      </c>
      <c r="G18" s="3003" t="s">
        <v>3497</v>
      </c>
    </row>
    <row r="19" spans="2:7" ht="14.25" thickBot="1">
      <c r="B19" s="3385" t="s">
        <v>3460</v>
      </c>
      <c r="C19" s="3006" t="s">
        <v>3498</v>
      </c>
      <c r="D19" s="3001" t="s">
        <v>3499</v>
      </c>
      <c r="E19" s="3001" t="s">
        <v>3500</v>
      </c>
      <c r="F19" s="3001" t="s">
        <v>3500</v>
      </c>
      <c r="G19" s="3001" t="s">
        <v>3501</v>
      </c>
    </row>
    <row r="20" spans="2:7" ht="14.25" thickBot="1">
      <c r="B20" s="3386"/>
      <c r="C20" s="3006" t="s">
        <v>3461</v>
      </c>
      <c r="D20" s="3001">
        <v>191290</v>
      </c>
      <c r="E20" s="3001">
        <v>80000</v>
      </c>
      <c r="F20" s="3001">
        <v>220000</v>
      </c>
      <c r="G20" s="3001">
        <v>1840017</v>
      </c>
    </row>
    <row r="21" spans="2:7" ht="14.25" thickBot="1">
      <c r="B21" s="3386"/>
      <c r="C21" s="3006" t="s">
        <v>3462</v>
      </c>
      <c r="D21" s="3001" t="s">
        <v>3375</v>
      </c>
      <c r="E21" s="3001" t="s">
        <v>3375</v>
      </c>
      <c r="F21" s="3001" t="s">
        <v>3375</v>
      </c>
      <c r="G21" s="3001" t="s">
        <v>3375</v>
      </c>
    </row>
    <row r="22" spans="2:7" ht="14.25" thickBot="1">
      <c r="B22" s="3386"/>
      <c r="C22" s="3006" t="s">
        <v>3463</v>
      </c>
      <c r="D22" s="3001" t="s">
        <v>3412</v>
      </c>
      <c r="E22" s="3001" t="s">
        <v>3502</v>
      </c>
      <c r="F22" s="3001" t="s">
        <v>3412</v>
      </c>
      <c r="G22" s="3001" t="s">
        <v>3412</v>
      </c>
    </row>
    <row r="23" spans="2:7" ht="14.25" thickBot="1">
      <c r="B23" s="3386"/>
      <c r="C23" s="3006" t="s">
        <v>3464</v>
      </c>
      <c r="D23" s="3007">
        <v>0.95</v>
      </c>
      <c r="E23" s="3007">
        <v>1</v>
      </c>
      <c r="F23" s="3007">
        <v>1</v>
      </c>
      <c r="G23" s="3007">
        <v>1</v>
      </c>
    </row>
    <row r="24" spans="2:7" ht="14.25" thickBot="1">
      <c r="B24" s="3386"/>
      <c r="C24" s="3006" t="s">
        <v>3465</v>
      </c>
      <c r="D24" s="3001" t="s">
        <v>3386</v>
      </c>
      <c r="E24" s="3001" t="s">
        <v>3386</v>
      </c>
      <c r="F24" s="3001" t="s">
        <v>3386</v>
      </c>
      <c r="G24" s="3001" t="s">
        <v>3386</v>
      </c>
    </row>
    <row r="25" spans="2:7" ht="26.25" thickBot="1">
      <c r="B25" s="3386"/>
      <c r="C25" s="3006" t="s">
        <v>3503</v>
      </c>
      <c r="D25" s="3001" t="s">
        <v>3504</v>
      </c>
      <c r="E25" s="3001" t="s">
        <v>3505</v>
      </c>
      <c r="F25" s="3001" t="s">
        <v>3504</v>
      </c>
      <c r="G25" s="3001" t="s">
        <v>3506</v>
      </c>
    </row>
    <row r="26" spans="2:7" ht="14.25" thickBot="1">
      <c r="B26" s="3386"/>
      <c r="C26" s="3006" t="s">
        <v>3507</v>
      </c>
      <c r="D26" s="3001" t="s">
        <v>3508</v>
      </c>
      <c r="E26" s="3001" t="s">
        <v>3508</v>
      </c>
      <c r="F26" s="3001" t="s">
        <v>3508</v>
      </c>
      <c r="G26" s="3001" t="s">
        <v>3508</v>
      </c>
    </row>
    <row r="27" spans="2:7" ht="14.25" thickBot="1">
      <c r="B27" s="3386"/>
      <c r="C27" s="3006" t="s">
        <v>3520</v>
      </c>
      <c r="D27" s="3001">
        <v>168.91</v>
      </c>
      <c r="E27" s="3001">
        <v>143</v>
      </c>
      <c r="F27" s="3001">
        <v>150</v>
      </c>
      <c r="G27" s="3001">
        <v>122</v>
      </c>
    </row>
    <row r="28" spans="2:7" ht="14.25" thickBot="1">
      <c r="B28" s="3386"/>
      <c r="C28" s="3006" t="s">
        <v>3509</v>
      </c>
      <c r="D28" s="3001" t="s">
        <v>3510</v>
      </c>
      <c r="E28" s="3001" t="s">
        <v>3510</v>
      </c>
      <c r="F28" s="3001" t="s">
        <v>3510</v>
      </c>
      <c r="G28" s="3001" t="s">
        <v>3510</v>
      </c>
    </row>
    <row r="29" spans="2:7" ht="14.25" thickBot="1">
      <c r="B29" s="3386"/>
      <c r="C29" s="3006" t="s">
        <v>3466</v>
      </c>
      <c r="D29" s="3001" t="s">
        <v>3511</v>
      </c>
      <c r="E29" s="3001" t="s">
        <v>3512</v>
      </c>
      <c r="F29" s="3001" t="s">
        <v>3512</v>
      </c>
      <c r="G29" s="3001" t="s">
        <v>3512</v>
      </c>
    </row>
    <row r="30" spans="2:7" ht="14.25" thickBot="1">
      <c r="B30" s="3387"/>
      <c r="C30" s="3006" t="s">
        <v>3467</v>
      </c>
      <c r="D30" s="3001" t="s">
        <v>3385</v>
      </c>
      <c r="E30" s="3001" t="s">
        <v>3385</v>
      </c>
      <c r="F30" s="3001" t="s">
        <v>3385</v>
      </c>
      <c r="G30" s="3001" t="s">
        <v>3385</v>
      </c>
    </row>
    <row r="34" spans="2:7">
      <c r="B34" s="3395" t="s">
        <v>3449</v>
      </c>
      <c r="C34" s="3395"/>
      <c r="D34" s="3010" t="s">
        <v>3450</v>
      </c>
      <c r="E34" s="3010" t="s">
        <v>3451</v>
      </c>
      <c r="F34" s="3010" t="s">
        <v>3452</v>
      </c>
      <c r="G34" s="3010" t="s">
        <v>3453</v>
      </c>
    </row>
    <row r="35" spans="2:7">
      <c r="B35" s="3395" t="s">
        <v>3521</v>
      </c>
      <c r="C35" s="3395"/>
      <c r="D35" s="3011">
        <v>100</v>
      </c>
      <c r="E35" s="3011">
        <v>100</v>
      </c>
      <c r="F35" s="3011">
        <v>100</v>
      </c>
      <c r="G35" s="3011">
        <v>100</v>
      </c>
    </row>
    <row r="36" spans="2:7">
      <c r="B36" s="3395" t="s">
        <v>3455</v>
      </c>
      <c r="C36" s="3395"/>
      <c r="D36" s="3011">
        <v>100</v>
      </c>
      <c r="E36" s="3011">
        <v>100</v>
      </c>
      <c r="F36" s="3011">
        <v>100</v>
      </c>
      <c r="G36" s="3011">
        <v>100</v>
      </c>
    </row>
    <row r="37" spans="2:7">
      <c r="B37" s="3396" t="s">
        <v>3480</v>
      </c>
      <c r="C37" s="3012" t="s">
        <v>1375</v>
      </c>
      <c r="D37" s="3011">
        <v>100</v>
      </c>
      <c r="E37" s="3011">
        <v>100</v>
      </c>
      <c r="F37" s="3011">
        <v>100</v>
      </c>
      <c r="G37" s="3011">
        <v>100</v>
      </c>
    </row>
    <row r="38" spans="2:7">
      <c r="B38" s="3396"/>
      <c r="C38" s="3012" t="s">
        <v>3456</v>
      </c>
      <c r="D38" s="3011">
        <v>100</v>
      </c>
      <c r="E38" s="3011">
        <v>100</v>
      </c>
      <c r="F38" s="3011">
        <v>100</v>
      </c>
      <c r="G38" s="3011">
        <v>100</v>
      </c>
    </row>
    <row r="39" spans="2:7">
      <c r="B39" s="3396"/>
      <c r="C39" s="3012" t="s">
        <v>3482</v>
      </c>
      <c r="D39" s="3011">
        <v>100</v>
      </c>
      <c r="E39" s="3011">
        <v>100</v>
      </c>
      <c r="F39" s="3011">
        <v>100</v>
      </c>
      <c r="G39" s="3011">
        <v>105</v>
      </c>
    </row>
    <row r="40" spans="2:7">
      <c r="B40" s="3397" t="s">
        <v>3457</v>
      </c>
      <c r="C40" s="3012" t="str">
        <f>C10</f>
        <v>商业繁华度</v>
      </c>
      <c r="D40" s="3011">
        <v>100</v>
      </c>
      <c r="E40" s="3011">
        <v>97</v>
      </c>
      <c r="F40" s="3011">
        <v>97</v>
      </c>
      <c r="G40" s="3011">
        <v>100</v>
      </c>
    </row>
    <row r="41" spans="2:7">
      <c r="B41" s="3397"/>
      <c r="C41" s="3012" t="str">
        <f t="shared" ref="C41:C48" si="0">C11</f>
        <v>交通便捷度</v>
      </c>
      <c r="D41" s="3011">
        <v>100</v>
      </c>
      <c r="E41" s="3011">
        <v>100</v>
      </c>
      <c r="F41" s="3011">
        <v>100</v>
      </c>
      <c r="G41" s="3011">
        <v>100</v>
      </c>
    </row>
    <row r="42" spans="2:7">
      <c r="B42" s="3397"/>
      <c r="C42" s="3012" t="str">
        <f t="shared" si="0"/>
        <v>公共配套设施</v>
      </c>
      <c r="D42" s="3011">
        <v>100</v>
      </c>
      <c r="E42" s="3011">
        <v>100</v>
      </c>
      <c r="F42" s="3011">
        <v>100</v>
      </c>
      <c r="G42" s="3011">
        <v>100</v>
      </c>
    </row>
    <row r="43" spans="2:7">
      <c r="B43" s="3397"/>
      <c r="C43" s="3012" t="str">
        <f t="shared" si="0"/>
        <v>区域基础设施水平</v>
      </c>
      <c r="D43" s="3011">
        <v>100</v>
      </c>
      <c r="E43" s="3011">
        <v>100</v>
      </c>
      <c r="F43" s="3011">
        <v>100</v>
      </c>
      <c r="G43" s="3011">
        <v>100</v>
      </c>
    </row>
    <row r="44" spans="2:7">
      <c r="B44" s="3397"/>
      <c r="C44" s="3012" t="str">
        <f t="shared" si="0"/>
        <v>自然及人文环境</v>
      </c>
      <c r="D44" s="3011">
        <v>100</v>
      </c>
      <c r="E44" s="3011">
        <v>100</v>
      </c>
      <c r="F44" s="3011">
        <v>100</v>
      </c>
      <c r="G44" s="3011">
        <v>100</v>
      </c>
    </row>
    <row r="45" spans="2:7">
      <c r="B45" s="3397"/>
      <c r="C45" s="3012" t="str">
        <f t="shared" si="0"/>
        <v>临街状况</v>
      </c>
      <c r="D45" s="3011">
        <v>100</v>
      </c>
      <c r="E45" s="3011">
        <v>100</v>
      </c>
      <c r="F45" s="3011">
        <v>100</v>
      </c>
      <c r="G45" s="3011">
        <v>100</v>
      </c>
    </row>
    <row r="46" spans="2:7">
      <c r="B46" s="3397"/>
      <c r="C46" s="3012" t="str">
        <f t="shared" si="0"/>
        <v>可视性</v>
      </c>
      <c r="D46" s="3011">
        <v>100</v>
      </c>
      <c r="E46" s="3011">
        <v>100</v>
      </c>
      <c r="F46" s="3011">
        <v>97</v>
      </c>
      <c r="G46" s="3011">
        <v>100</v>
      </c>
    </row>
    <row r="47" spans="2:7">
      <c r="B47" s="3397"/>
      <c r="C47" s="3012" t="str">
        <f t="shared" si="0"/>
        <v>人流量</v>
      </c>
      <c r="D47" s="3011">
        <v>100</v>
      </c>
      <c r="E47" s="3011">
        <v>99</v>
      </c>
      <c r="F47" s="3011">
        <v>99</v>
      </c>
      <c r="G47" s="3011">
        <v>99</v>
      </c>
    </row>
    <row r="48" spans="2:7">
      <c r="B48" s="3397"/>
      <c r="C48" s="3012" t="str">
        <f t="shared" si="0"/>
        <v>楼层</v>
      </c>
      <c r="D48" s="3011">
        <v>100</v>
      </c>
      <c r="E48" s="3011">
        <v>100</v>
      </c>
      <c r="F48" s="3011">
        <v>100</v>
      </c>
      <c r="G48" s="3011">
        <v>100</v>
      </c>
    </row>
    <row r="49" spans="2:8">
      <c r="B49" s="3396" t="s">
        <v>3460</v>
      </c>
      <c r="C49" s="3012" t="str">
        <f>C19</f>
        <v>商业类型</v>
      </c>
      <c r="D49" s="3011">
        <v>100</v>
      </c>
      <c r="E49" s="3011">
        <v>95</v>
      </c>
      <c r="F49" s="3011">
        <v>95</v>
      </c>
      <c r="G49" s="3011">
        <v>85</v>
      </c>
    </row>
    <row r="50" spans="2:8">
      <c r="B50" s="3396"/>
      <c r="C50" s="3012" t="str">
        <f t="shared" ref="C50:C59" si="1">C20</f>
        <v>项目建筑规模（㎡）</v>
      </c>
      <c r="D50" s="3011">
        <v>100</v>
      </c>
      <c r="E50" s="3011">
        <v>98</v>
      </c>
      <c r="F50" s="3011">
        <v>102</v>
      </c>
      <c r="G50" s="3011">
        <v>100</v>
      </c>
    </row>
    <row r="51" spans="2:8">
      <c r="B51" s="3396"/>
      <c r="C51" s="3012" t="str">
        <f t="shared" si="1"/>
        <v>建筑结构</v>
      </c>
      <c r="D51" s="3011">
        <v>100</v>
      </c>
      <c r="E51" s="3011">
        <v>100</v>
      </c>
      <c r="F51" s="3011">
        <v>100</v>
      </c>
      <c r="G51" s="3011">
        <v>100</v>
      </c>
    </row>
    <row r="52" spans="2:8">
      <c r="B52" s="3396"/>
      <c r="C52" s="3012" t="str">
        <f t="shared" si="1"/>
        <v>公共部分装修</v>
      </c>
      <c r="D52" s="3011">
        <v>100</v>
      </c>
      <c r="E52" s="3011">
        <v>97</v>
      </c>
      <c r="F52" s="3011">
        <v>100</v>
      </c>
      <c r="G52" s="3011">
        <v>100</v>
      </c>
    </row>
    <row r="53" spans="2:8">
      <c r="B53" s="3396"/>
      <c r="C53" s="3012" t="str">
        <f t="shared" si="1"/>
        <v>成新率</v>
      </c>
      <c r="D53" s="3011">
        <v>100</v>
      </c>
      <c r="E53" s="3011">
        <v>100</v>
      </c>
      <c r="F53" s="3011">
        <v>100</v>
      </c>
      <c r="G53" s="3011">
        <v>100</v>
      </c>
    </row>
    <row r="54" spans="2:8">
      <c r="B54" s="3396"/>
      <c r="C54" s="3012" t="str">
        <f t="shared" si="1"/>
        <v>市政基础设施</v>
      </c>
      <c r="D54" s="3011">
        <v>100</v>
      </c>
      <c r="E54" s="3011">
        <v>100</v>
      </c>
      <c r="F54" s="3011">
        <v>100</v>
      </c>
      <c r="G54" s="3011">
        <v>100</v>
      </c>
    </row>
    <row r="55" spans="2:8">
      <c r="B55" s="3396"/>
      <c r="C55" s="3012" t="str">
        <f t="shared" si="1"/>
        <v>业态</v>
      </c>
      <c r="D55" s="3011">
        <v>100</v>
      </c>
      <c r="E55" s="3011">
        <v>95</v>
      </c>
      <c r="F55" s="3011">
        <v>100</v>
      </c>
      <c r="G55" s="3011">
        <v>90</v>
      </c>
    </row>
    <row r="56" spans="2:8">
      <c r="B56" s="3396"/>
      <c r="C56" s="3012" t="str">
        <f t="shared" si="1"/>
        <v>层高</v>
      </c>
      <c r="D56" s="3011">
        <v>100</v>
      </c>
      <c r="E56" s="3011">
        <v>100</v>
      </c>
      <c r="F56" s="3011">
        <v>100</v>
      </c>
      <c r="G56" s="3011">
        <v>100</v>
      </c>
    </row>
    <row r="57" spans="2:8" ht="14.25" thickBot="1">
      <c r="B57" s="3396"/>
      <c r="C57" s="3012" t="str">
        <f t="shared" si="1"/>
        <v>单套建筑面积（平方米）</v>
      </c>
      <c r="D57" s="3011">
        <v>100</v>
      </c>
      <c r="E57" s="3011">
        <v>100</v>
      </c>
      <c r="F57" s="3011">
        <v>100</v>
      </c>
      <c r="G57" s="3011">
        <v>100</v>
      </c>
      <c r="H57" s="3009"/>
    </row>
    <row r="58" spans="2:8">
      <c r="B58" s="3396"/>
      <c r="C58" s="3012" t="str">
        <f t="shared" si="1"/>
        <v>进深比</v>
      </c>
      <c r="D58" s="3011">
        <v>100</v>
      </c>
      <c r="E58" s="3011">
        <v>100</v>
      </c>
      <c r="F58" s="3011">
        <v>100</v>
      </c>
      <c r="G58" s="3011">
        <v>100</v>
      </c>
    </row>
    <row r="59" spans="2:8">
      <c r="B59" s="3396"/>
      <c r="C59" s="3012" t="str">
        <f t="shared" si="1"/>
        <v>内部装修</v>
      </c>
      <c r="D59" s="3011">
        <v>100</v>
      </c>
      <c r="E59" s="3011">
        <v>97</v>
      </c>
      <c r="F59" s="3011">
        <v>97</v>
      </c>
      <c r="G59" s="3011">
        <v>97</v>
      </c>
    </row>
    <row r="60" spans="2:8">
      <c r="B60" s="3396"/>
      <c r="C60" s="3012" t="str">
        <f>C30</f>
        <v>内部装修维护状况</v>
      </c>
      <c r="D60" s="3011">
        <v>100</v>
      </c>
      <c r="E60" s="3011">
        <v>100</v>
      </c>
      <c r="F60" s="3011">
        <v>100</v>
      </c>
      <c r="G60" s="3011">
        <v>100</v>
      </c>
    </row>
    <row r="64" spans="2:8" ht="14.25" thickBot="1"/>
    <row r="65" spans="2:9" ht="14.25" thickBot="1">
      <c r="B65" s="3383" t="s">
        <v>3449</v>
      </c>
      <c r="C65" s="3384"/>
      <c r="D65" s="3388" t="s">
        <v>3451</v>
      </c>
      <c r="E65" s="3389"/>
      <c r="F65" s="3388" t="s">
        <v>3452</v>
      </c>
      <c r="G65" s="3389"/>
      <c r="H65" s="3388" t="s">
        <v>3453</v>
      </c>
      <c r="I65" s="3389"/>
    </row>
    <row r="66" spans="2:9" ht="14.25" thickBot="1">
      <c r="B66" s="3390" t="s">
        <v>3521</v>
      </c>
      <c r="C66" s="3391"/>
      <c r="D66" s="3013" t="s">
        <v>3522</v>
      </c>
      <c r="E66" s="3009">
        <f>E35</f>
        <v>100</v>
      </c>
      <c r="F66" s="3013" t="s">
        <v>3522</v>
      </c>
      <c r="G66" s="3009">
        <f>F35</f>
        <v>100</v>
      </c>
      <c r="H66" s="3013" t="s">
        <v>3522</v>
      </c>
      <c r="I66" s="3009">
        <f>G35</f>
        <v>100</v>
      </c>
    </row>
    <row r="67" spans="2:9" ht="14.25" thickBot="1">
      <c r="B67" s="3390" t="s">
        <v>3455</v>
      </c>
      <c r="C67" s="3391"/>
      <c r="D67" s="3013" t="s">
        <v>3522</v>
      </c>
      <c r="E67" s="3009">
        <f t="shared" ref="E67:E91" si="2">E36</f>
        <v>100</v>
      </c>
      <c r="F67" s="3013" t="s">
        <v>3522</v>
      </c>
      <c r="G67" s="3009">
        <f t="shared" ref="G67:G90" si="3">F36</f>
        <v>100</v>
      </c>
      <c r="H67" s="3013" t="s">
        <v>3522</v>
      </c>
      <c r="I67" s="3009">
        <f t="shared" ref="I67:I91" si="4">G36</f>
        <v>100</v>
      </c>
    </row>
    <row r="68" spans="2:9" ht="14.25" thickBot="1">
      <c r="B68" s="3392" t="s">
        <v>3480</v>
      </c>
      <c r="C68" s="3006" t="str">
        <f>C37</f>
        <v>用途</v>
      </c>
      <c r="D68" s="3013" t="s">
        <v>3522</v>
      </c>
      <c r="E68" s="3009">
        <f t="shared" si="2"/>
        <v>100</v>
      </c>
      <c r="F68" s="3013" t="s">
        <v>3522</v>
      </c>
      <c r="G68" s="3009">
        <f t="shared" si="3"/>
        <v>100</v>
      </c>
      <c r="H68" s="3013" t="s">
        <v>3522</v>
      </c>
      <c r="I68" s="3009">
        <f t="shared" si="4"/>
        <v>100</v>
      </c>
    </row>
    <row r="69" spans="2:9" ht="14.25" thickBot="1">
      <c r="B69" s="3393"/>
      <c r="C69" s="3006" t="str">
        <f t="shared" ref="C69:C70" si="5">C38</f>
        <v>土地使用年限（年）</v>
      </c>
      <c r="D69" s="3013" t="s">
        <v>3522</v>
      </c>
      <c r="E69" s="3009">
        <f t="shared" si="2"/>
        <v>100</v>
      </c>
      <c r="F69" s="3013" t="s">
        <v>3522</v>
      </c>
      <c r="G69" s="3009">
        <f t="shared" si="3"/>
        <v>100</v>
      </c>
      <c r="H69" s="3013" t="s">
        <v>3522</v>
      </c>
      <c r="I69" s="3009">
        <f t="shared" si="4"/>
        <v>100</v>
      </c>
    </row>
    <row r="70" spans="2:9" ht="14.25" thickBot="1">
      <c r="B70" s="3394"/>
      <c r="C70" s="3006" t="str">
        <f t="shared" si="5"/>
        <v>容积率</v>
      </c>
      <c r="D70" s="3013" t="s">
        <v>3522</v>
      </c>
      <c r="E70" s="3009">
        <f t="shared" si="2"/>
        <v>100</v>
      </c>
      <c r="F70" s="3013" t="s">
        <v>3522</v>
      </c>
      <c r="G70" s="3009">
        <f t="shared" si="3"/>
        <v>100</v>
      </c>
      <c r="H70" s="3013" t="s">
        <v>3522</v>
      </c>
      <c r="I70" s="3009">
        <f t="shared" si="4"/>
        <v>105</v>
      </c>
    </row>
    <row r="71" spans="2:9" ht="14.25" thickBot="1">
      <c r="B71" s="3385" t="s">
        <v>3457</v>
      </c>
      <c r="C71" s="3006" t="str">
        <f>C40</f>
        <v>商业繁华度</v>
      </c>
      <c r="D71" s="3013" t="s">
        <v>3522</v>
      </c>
      <c r="E71" s="3009">
        <f t="shared" si="2"/>
        <v>97</v>
      </c>
      <c r="F71" s="3013" t="s">
        <v>3522</v>
      </c>
      <c r="G71" s="3009">
        <f t="shared" si="3"/>
        <v>97</v>
      </c>
      <c r="H71" s="3013" t="s">
        <v>3522</v>
      </c>
      <c r="I71" s="3009">
        <f t="shared" si="4"/>
        <v>100</v>
      </c>
    </row>
    <row r="72" spans="2:9" ht="14.25" thickBot="1">
      <c r="B72" s="3386"/>
      <c r="C72" s="3006" t="str">
        <f t="shared" ref="C72:C79" si="6">C41</f>
        <v>交通便捷度</v>
      </c>
      <c r="D72" s="3013" t="s">
        <v>3522</v>
      </c>
      <c r="E72" s="3009">
        <f t="shared" si="2"/>
        <v>100</v>
      </c>
      <c r="F72" s="3013" t="s">
        <v>3522</v>
      </c>
      <c r="G72" s="3009">
        <f t="shared" si="3"/>
        <v>100</v>
      </c>
      <c r="H72" s="3013" t="s">
        <v>3522</v>
      </c>
      <c r="I72" s="3009">
        <f t="shared" si="4"/>
        <v>100</v>
      </c>
    </row>
    <row r="73" spans="2:9" ht="14.25" thickBot="1">
      <c r="B73" s="3386"/>
      <c r="C73" s="3006" t="str">
        <f t="shared" si="6"/>
        <v>公共配套设施</v>
      </c>
      <c r="D73" s="3013" t="s">
        <v>3522</v>
      </c>
      <c r="E73" s="3009">
        <f t="shared" si="2"/>
        <v>100</v>
      </c>
      <c r="F73" s="3013" t="s">
        <v>3522</v>
      </c>
      <c r="G73" s="3009">
        <f t="shared" si="3"/>
        <v>100</v>
      </c>
      <c r="H73" s="3013" t="s">
        <v>3522</v>
      </c>
      <c r="I73" s="3009">
        <f t="shared" si="4"/>
        <v>100</v>
      </c>
    </row>
    <row r="74" spans="2:9" ht="14.25" thickBot="1">
      <c r="B74" s="3386"/>
      <c r="C74" s="3006" t="str">
        <f t="shared" si="6"/>
        <v>区域基础设施水平</v>
      </c>
      <c r="D74" s="3013" t="s">
        <v>3522</v>
      </c>
      <c r="E74" s="3009">
        <f t="shared" si="2"/>
        <v>100</v>
      </c>
      <c r="F74" s="3013" t="s">
        <v>3522</v>
      </c>
      <c r="G74" s="3009">
        <f t="shared" si="3"/>
        <v>100</v>
      </c>
      <c r="H74" s="3013" t="s">
        <v>3522</v>
      </c>
      <c r="I74" s="3009">
        <f t="shared" si="4"/>
        <v>100</v>
      </c>
    </row>
    <row r="75" spans="2:9" ht="14.25" thickBot="1">
      <c r="B75" s="3386"/>
      <c r="C75" s="3006" t="str">
        <f t="shared" si="6"/>
        <v>自然及人文环境</v>
      </c>
      <c r="D75" s="3013" t="s">
        <v>3522</v>
      </c>
      <c r="E75" s="3009">
        <f t="shared" si="2"/>
        <v>100</v>
      </c>
      <c r="F75" s="3013" t="s">
        <v>3522</v>
      </c>
      <c r="G75" s="3009">
        <f t="shared" si="3"/>
        <v>100</v>
      </c>
      <c r="H75" s="3013" t="s">
        <v>3522</v>
      </c>
      <c r="I75" s="3009">
        <f t="shared" si="4"/>
        <v>100</v>
      </c>
    </row>
    <row r="76" spans="2:9" ht="14.25" thickBot="1">
      <c r="B76" s="3386"/>
      <c r="C76" s="3006" t="str">
        <f t="shared" si="6"/>
        <v>临街状况</v>
      </c>
      <c r="D76" s="3013" t="s">
        <v>3522</v>
      </c>
      <c r="E76" s="3009">
        <f t="shared" si="2"/>
        <v>100</v>
      </c>
      <c r="F76" s="3013" t="s">
        <v>3522</v>
      </c>
      <c r="G76" s="3009">
        <f t="shared" si="3"/>
        <v>100</v>
      </c>
      <c r="H76" s="3013" t="s">
        <v>3522</v>
      </c>
      <c r="I76" s="3009">
        <f t="shared" si="4"/>
        <v>100</v>
      </c>
    </row>
    <row r="77" spans="2:9" ht="14.25" thickBot="1">
      <c r="B77" s="3386"/>
      <c r="C77" s="3006" t="str">
        <f t="shared" si="6"/>
        <v>可视性</v>
      </c>
      <c r="D77" s="3013" t="s">
        <v>3522</v>
      </c>
      <c r="E77" s="3009">
        <f t="shared" si="2"/>
        <v>100</v>
      </c>
      <c r="F77" s="3013" t="s">
        <v>3522</v>
      </c>
      <c r="G77" s="3009">
        <f t="shared" si="3"/>
        <v>97</v>
      </c>
      <c r="H77" s="3013" t="s">
        <v>3522</v>
      </c>
      <c r="I77" s="3009">
        <f t="shared" si="4"/>
        <v>100</v>
      </c>
    </row>
    <row r="78" spans="2:9" ht="14.25" thickBot="1">
      <c r="B78" s="3386"/>
      <c r="C78" s="3006" t="str">
        <f t="shared" si="6"/>
        <v>人流量</v>
      </c>
      <c r="D78" s="3013" t="s">
        <v>3522</v>
      </c>
      <c r="E78" s="3009">
        <f t="shared" si="2"/>
        <v>99</v>
      </c>
      <c r="F78" s="3013" t="s">
        <v>3522</v>
      </c>
      <c r="G78" s="3009">
        <f t="shared" si="3"/>
        <v>99</v>
      </c>
      <c r="H78" s="3013" t="s">
        <v>3522</v>
      </c>
      <c r="I78" s="3009">
        <f t="shared" si="4"/>
        <v>99</v>
      </c>
    </row>
    <row r="79" spans="2:9" ht="14.25" thickBot="1">
      <c r="B79" s="3387"/>
      <c r="C79" s="3006" t="str">
        <f t="shared" si="6"/>
        <v>楼层</v>
      </c>
      <c r="D79" s="3013" t="s">
        <v>3522</v>
      </c>
      <c r="E79" s="3009">
        <f t="shared" si="2"/>
        <v>100</v>
      </c>
      <c r="F79" s="3013" t="s">
        <v>3522</v>
      </c>
      <c r="G79" s="3009">
        <f t="shared" si="3"/>
        <v>100</v>
      </c>
      <c r="H79" s="3013" t="s">
        <v>3522</v>
      </c>
      <c r="I79" s="3009">
        <f t="shared" si="4"/>
        <v>100</v>
      </c>
    </row>
    <row r="80" spans="2:9" ht="14.25" thickBot="1">
      <c r="B80" s="3385" t="s">
        <v>3460</v>
      </c>
      <c r="C80" s="3006" t="str">
        <f>C49</f>
        <v>商业类型</v>
      </c>
      <c r="D80" s="3013" t="s">
        <v>3522</v>
      </c>
      <c r="E80" s="3009">
        <f t="shared" si="2"/>
        <v>95</v>
      </c>
      <c r="F80" s="3013" t="s">
        <v>3522</v>
      </c>
      <c r="G80" s="3009">
        <f t="shared" si="3"/>
        <v>95</v>
      </c>
      <c r="H80" s="3013" t="s">
        <v>3522</v>
      </c>
      <c r="I80" s="3009">
        <f t="shared" si="4"/>
        <v>85</v>
      </c>
    </row>
    <row r="81" spans="2:9" ht="14.25" thickBot="1">
      <c r="B81" s="3386"/>
      <c r="C81" s="3006" t="str">
        <f t="shared" ref="C81:C91" si="7">C50</f>
        <v>项目建筑规模（㎡）</v>
      </c>
      <c r="D81" s="3013" t="s">
        <v>3522</v>
      </c>
      <c r="E81" s="3009">
        <f t="shared" si="2"/>
        <v>98</v>
      </c>
      <c r="F81" s="3013" t="s">
        <v>3522</v>
      </c>
      <c r="G81" s="3009">
        <f t="shared" si="3"/>
        <v>102</v>
      </c>
      <c r="H81" s="3013" t="s">
        <v>3522</v>
      </c>
      <c r="I81" s="3009">
        <f t="shared" si="4"/>
        <v>100</v>
      </c>
    </row>
    <row r="82" spans="2:9" ht="14.25" thickBot="1">
      <c r="B82" s="3386"/>
      <c r="C82" s="3006" t="str">
        <f t="shared" si="7"/>
        <v>建筑结构</v>
      </c>
      <c r="D82" s="3013" t="s">
        <v>3522</v>
      </c>
      <c r="E82" s="3009">
        <f t="shared" si="2"/>
        <v>100</v>
      </c>
      <c r="F82" s="3013" t="s">
        <v>3522</v>
      </c>
      <c r="G82" s="3009">
        <f t="shared" si="3"/>
        <v>100</v>
      </c>
      <c r="H82" s="3013" t="s">
        <v>3522</v>
      </c>
      <c r="I82" s="3009">
        <f t="shared" si="4"/>
        <v>100</v>
      </c>
    </row>
    <row r="83" spans="2:9" ht="14.25" thickBot="1">
      <c r="B83" s="3386"/>
      <c r="C83" s="3006" t="str">
        <f t="shared" si="7"/>
        <v>公共部分装修</v>
      </c>
      <c r="D83" s="3013" t="s">
        <v>3522</v>
      </c>
      <c r="E83" s="3009">
        <f t="shared" si="2"/>
        <v>97</v>
      </c>
      <c r="F83" s="3013" t="s">
        <v>3522</v>
      </c>
      <c r="G83" s="3009">
        <f t="shared" si="3"/>
        <v>100</v>
      </c>
      <c r="H83" s="3013" t="s">
        <v>3522</v>
      </c>
      <c r="I83" s="3009">
        <f t="shared" si="4"/>
        <v>100</v>
      </c>
    </row>
    <row r="84" spans="2:9" ht="14.25" thickBot="1">
      <c r="B84" s="3386"/>
      <c r="C84" s="3006" t="str">
        <f t="shared" si="7"/>
        <v>成新率</v>
      </c>
      <c r="D84" s="3013" t="s">
        <v>3522</v>
      </c>
      <c r="E84" s="3009">
        <f t="shared" si="2"/>
        <v>100</v>
      </c>
      <c r="F84" s="3013" t="s">
        <v>3522</v>
      </c>
      <c r="G84" s="3009">
        <f t="shared" si="3"/>
        <v>100</v>
      </c>
      <c r="H84" s="3013" t="s">
        <v>3522</v>
      </c>
      <c r="I84" s="3009">
        <f t="shared" si="4"/>
        <v>100</v>
      </c>
    </row>
    <row r="85" spans="2:9" ht="14.25" thickBot="1">
      <c r="B85" s="3386"/>
      <c r="C85" s="3006" t="str">
        <f t="shared" si="7"/>
        <v>市政基础设施</v>
      </c>
      <c r="D85" s="3013" t="s">
        <v>3522</v>
      </c>
      <c r="E85" s="3009">
        <f t="shared" si="2"/>
        <v>100</v>
      </c>
      <c r="F85" s="3013" t="s">
        <v>3522</v>
      </c>
      <c r="G85" s="3009">
        <f t="shared" si="3"/>
        <v>100</v>
      </c>
      <c r="H85" s="3013" t="s">
        <v>3522</v>
      </c>
      <c r="I85" s="3009">
        <f t="shared" si="4"/>
        <v>100</v>
      </c>
    </row>
    <row r="86" spans="2:9" ht="14.25" thickBot="1">
      <c r="B86" s="3386"/>
      <c r="C86" s="3006" t="str">
        <f t="shared" si="7"/>
        <v>业态</v>
      </c>
      <c r="D86" s="3013" t="s">
        <v>3522</v>
      </c>
      <c r="E86" s="3009">
        <f t="shared" si="2"/>
        <v>95</v>
      </c>
      <c r="F86" s="3013" t="s">
        <v>3522</v>
      </c>
      <c r="G86" s="3009">
        <f t="shared" si="3"/>
        <v>100</v>
      </c>
      <c r="H86" s="3013" t="s">
        <v>3522</v>
      </c>
      <c r="I86" s="3009">
        <f t="shared" si="4"/>
        <v>90</v>
      </c>
    </row>
    <row r="87" spans="2:9" ht="14.25" thickBot="1">
      <c r="B87" s="3386"/>
      <c r="C87" s="3006" t="str">
        <f t="shared" si="7"/>
        <v>层高</v>
      </c>
      <c r="D87" s="3013" t="s">
        <v>3522</v>
      </c>
      <c r="E87" s="3009">
        <f t="shared" si="2"/>
        <v>100</v>
      </c>
      <c r="F87" s="3013" t="s">
        <v>3522</v>
      </c>
      <c r="G87" s="3009">
        <f t="shared" si="3"/>
        <v>100</v>
      </c>
      <c r="H87" s="3013" t="s">
        <v>3522</v>
      </c>
      <c r="I87" s="3009">
        <f t="shared" si="4"/>
        <v>100</v>
      </c>
    </row>
    <row r="88" spans="2:9" ht="14.25" thickBot="1">
      <c r="B88" s="3386"/>
      <c r="C88" s="3006" t="str">
        <f t="shared" si="7"/>
        <v>单套建筑面积（平方米）</v>
      </c>
      <c r="D88" s="3013" t="s">
        <v>3522</v>
      </c>
      <c r="E88" s="3009">
        <f t="shared" si="2"/>
        <v>100</v>
      </c>
      <c r="F88" s="3013" t="s">
        <v>3522</v>
      </c>
      <c r="G88" s="3009">
        <f t="shared" si="3"/>
        <v>100</v>
      </c>
      <c r="H88" s="3013" t="s">
        <v>3522</v>
      </c>
      <c r="I88" s="3009">
        <f t="shared" si="4"/>
        <v>100</v>
      </c>
    </row>
    <row r="89" spans="2:9" ht="14.25" thickBot="1">
      <c r="B89" s="3386"/>
      <c r="C89" s="3006" t="str">
        <f t="shared" si="7"/>
        <v>进深比</v>
      </c>
      <c r="D89" s="3013" t="s">
        <v>3522</v>
      </c>
      <c r="E89" s="3009">
        <f t="shared" si="2"/>
        <v>100</v>
      </c>
      <c r="F89" s="3013" t="s">
        <v>3522</v>
      </c>
      <c r="G89" s="3009">
        <f t="shared" si="3"/>
        <v>100</v>
      </c>
      <c r="H89" s="3013" t="s">
        <v>3522</v>
      </c>
      <c r="I89" s="3009">
        <f t="shared" si="4"/>
        <v>100</v>
      </c>
    </row>
    <row r="90" spans="2:9" ht="14.25" thickBot="1">
      <c r="B90" s="3386"/>
      <c r="C90" s="3006" t="str">
        <f t="shared" si="7"/>
        <v>内部装修</v>
      </c>
      <c r="D90" s="3013" t="s">
        <v>3522</v>
      </c>
      <c r="E90" s="3009">
        <f t="shared" si="2"/>
        <v>97</v>
      </c>
      <c r="F90" s="3013" t="s">
        <v>3522</v>
      </c>
      <c r="G90" s="3009">
        <f t="shared" si="3"/>
        <v>97</v>
      </c>
      <c r="H90" s="3013" t="s">
        <v>3522</v>
      </c>
      <c r="I90" s="3009">
        <f t="shared" si="4"/>
        <v>97</v>
      </c>
    </row>
    <row r="91" spans="2:9" ht="14.25" thickBot="1">
      <c r="B91" s="3386"/>
      <c r="C91" s="3006" t="str">
        <f t="shared" si="7"/>
        <v>内部装修维护状况</v>
      </c>
      <c r="D91" s="3013" t="s">
        <v>3522</v>
      </c>
      <c r="E91" s="3009">
        <f t="shared" si="2"/>
        <v>100</v>
      </c>
      <c r="F91" s="3013" t="s">
        <v>3522</v>
      </c>
      <c r="G91" s="3009">
        <f>F60</f>
        <v>100</v>
      </c>
      <c r="H91" s="3013" t="s">
        <v>3522</v>
      </c>
      <c r="I91" s="3009">
        <f t="shared" si="4"/>
        <v>100</v>
      </c>
    </row>
    <row r="92" spans="2:9" ht="14.25" thickBot="1">
      <c r="B92" s="3381" t="s">
        <v>3523</v>
      </c>
      <c r="C92" s="3382"/>
      <c r="D92" s="3383">
        <v>36575</v>
      </c>
      <c r="E92" s="3384"/>
      <c r="F92" s="3383">
        <v>38800</v>
      </c>
      <c r="G92" s="3384"/>
      <c r="H92" s="3383">
        <v>40740</v>
      </c>
      <c r="I92" s="3384"/>
    </row>
    <row r="93" spans="2:9" ht="14.25" thickBot="1">
      <c r="B93" s="3381" t="s">
        <v>3524</v>
      </c>
      <c r="C93" s="3382"/>
      <c r="D93" s="3383">
        <v>45768</v>
      </c>
      <c r="E93" s="3384"/>
      <c r="F93" s="3383">
        <v>44316</v>
      </c>
      <c r="G93" s="3384"/>
      <c r="H93" s="3383">
        <v>52816</v>
      </c>
      <c r="I93" s="3384"/>
    </row>
  </sheetData>
  <mergeCells count="29">
    <mergeCell ref="B2:C4"/>
    <mergeCell ref="B5:C5"/>
    <mergeCell ref="B6:C6"/>
    <mergeCell ref="B19:B30"/>
    <mergeCell ref="B7:B9"/>
    <mergeCell ref="B10:B18"/>
    <mergeCell ref="B34:C34"/>
    <mergeCell ref="B35:C35"/>
    <mergeCell ref="B36:C36"/>
    <mergeCell ref="B37:B39"/>
    <mergeCell ref="B49:B60"/>
    <mergeCell ref="B40:B48"/>
    <mergeCell ref="D65:E65"/>
    <mergeCell ref="F65:G65"/>
    <mergeCell ref="H65:I65"/>
    <mergeCell ref="B66:C66"/>
    <mergeCell ref="B68:B70"/>
    <mergeCell ref="B67:C67"/>
    <mergeCell ref="B65:C65"/>
    <mergeCell ref="B71:B79"/>
    <mergeCell ref="B80:B91"/>
    <mergeCell ref="B92:C92"/>
    <mergeCell ref="D92:E92"/>
    <mergeCell ref="H92:I92"/>
    <mergeCell ref="B93:C93"/>
    <mergeCell ref="D93:E93"/>
    <mergeCell ref="F93:G93"/>
    <mergeCell ref="H93:I93"/>
    <mergeCell ref="F92:G9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51" t="str">
        <f>IF(项目基本情况!B9="房地产市场价值","估价结果一览表","结果表-2")</f>
        <v>结果表-2</v>
      </c>
      <c r="B1" s="3051"/>
      <c r="C1" s="3051"/>
      <c r="D1" s="3051"/>
      <c r="E1" s="3051"/>
      <c r="F1" s="3051"/>
      <c r="G1" s="3051"/>
      <c r="H1" s="3051"/>
      <c r="I1" s="3051"/>
    </row>
    <row r="2" spans="1:9" ht="30" customHeight="1" thickTop="1">
      <c r="A2" s="3052" t="s">
        <v>1640</v>
      </c>
      <c r="B2" s="3052" t="s">
        <v>1641</v>
      </c>
      <c r="C2" s="3052" t="s">
        <v>1642</v>
      </c>
      <c r="D2" s="3052" t="str">
        <f>结果表!D116</f>
        <v>出让国有建设用地使用权价值</v>
      </c>
      <c r="E2" s="3052"/>
      <c r="F2" s="3052" t="str">
        <f>结果表!F116</f>
        <v>在建建筑物价值</v>
      </c>
      <c r="G2" s="3052"/>
      <c r="H2" s="3052" t="str">
        <f>IF(项目基本情况!B9="房地产市场价值","房地产市场价值","房地产价值")</f>
        <v>房地产价值</v>
      </c>
      <c r="I2" s="3052"/>
    </row>
    <row r="3" spans="1:9" ht="15">
      <c r="A3" s="3053"/>
      <c r="B3" s="3053"/>
      <c r="C3" s="3053"/>
      <c r="D3" s="1046" t="s">
        <v>1637</v>
      </c>
      <c r="E3" s="1046" t="s">
        <v>1643</v>
      </c>
      <c r="F3" s="1046" t="s">
        <v>1637</v>
      </c>
      <c r="G3" s="1046" t="s">
        <v>1638</v>
      </c>
      <c r="H3" s="1046" t="s">
        <v>1637</v>
      </c>
      <c r="I3" s="1046" t="s">
        <v>1638</v>
      </c>
    </row>
    <row r="4" spans="1:9" ht="30">
      <c r="A4" s="1975" t="str">
        <f>项目基本情况!S2</f>
        <v>江苏省宿迁市宿城区水韵城项目部分商业用途房地产</v>
      </c>
      <c r="B4" s="1046">
        <f>项目基本情况!C17</f>
        <v>4833.9999999999973</v>
      </c>
      <c r="C4" s="1046">
        <f>项目基本情况!C18</f>
        <v>909.82</v>
      </c>
      <c r="D4" s="1046" t="e">
        <f ca="1">结果表!D118</f>
        <v>#REF!</v>
      </c>
      <c r="E4" s="1046" t="e">
        <f ca="1">结果表!E118</f>
        <v>#REF!</v>
      </c>
      <c r="F4" s="1046" t="e">
        <f ca="1">结果表!F118</f>
        <v>#REF!</v>
      </c>
      <c r="G4" s="1046" t="e">
        <f ca="1">结果表!G118</f>
        <v>#REF!</v>
      </c>
      <c r="H4" s="1046">
        <f ca="1">结果表!H118</f>
        <v>666</v>
      </c>
      <c r="I4" s="1046">
        <f ca="1">结果表!I118</f>
        <v>39429</v>
      </c>
    </row>
    <row r="5" spans="1:9" ht="30" customHeight="1">
      <c r="A5" s="3053" t="s">
        <v>1639</v>
      </c>
      <c r="B5" s="3053"/>
      <c r="C5" s="3053"/>
      <c r="D5" s="3054" t="e">
        <f ca="1">结果表!D119</f>
        <v>#REF!</v>
      </c>
      <c r="E5" s="3054"/>
      <c r="F5" s="3054" t="e">
        <f ca="1">结果表!F119</f>
        <v>#REF!</v>
      </c>
      <c r="G5" s="3054"/>
      <c r="H5" s="3054" t="str">
        <f ca="1">结果表!H119</f>
        <v>陆佰陆拾陆万元整</v>
      </c>
      <c r="I5" s="3054"/>
    </row>
    <row r="6" spans="1:9" ht="15.75">
      <c r="A6" s="3055" t="str">
        <f>结果表!A120</f>
        <v>估价师知悉的法定优先受偿款</v>
      </c>
      <c r="B6" s="3055"/>
      <c r="C6" s="3055"/>
      <c r="D6" s="3055">
        <f>结果表!D120</f>
        <v>0</v>
      </c>
      <c r="E6" s="3055"/>
      <c r="F6" s="3055"/>
      <c r="G6" s="3055"/>
      <c r="H6" s="3055"/>
      <c r="I6" s="3055"/>
    </row>
    <row r="7" spans="1:9" ht="15">
      <c r="A7" s="3053" t="s">
        <v>1639</v>
      </c>
      <c r="B7" s="3053"/>
      <c r="C7" s="3053"/>
      <c r="D7" s="3056" t="str">
        <f>结果表!D121</f>
        <v>零元整</v>
      </c>
      <c r="E7" s="3057"/>
      <c r="F7" s="3057"/>
      <c r="G7" s="3057"/>
      <c r="H7" s="3057"/>
      <c r="I7" s="3058"/>
    </row>
    <row r="8" spans="1:9" ht="15.75">
      <c r="A8" s="3055" t="str">
        <f>结果表!A122</f>
        <v>房地产抵押价值</v>
      </c>
      <c r="B8" s="3055"/>
      <c r="C8" s="3055"/>
      <c r="D8" s="3055">
        <f ca="1">结果表!D122</f>
        <v>666</v>
      </c>
      <c r="E8" s="3055"/>
      <c r="F8" s="3055"/>
      <c r="G8" s="3055"/>
      <c r="H8" s="3055"/>
      <c r="I8" s="3055"/>
    </row>
    <row r="9" spans="1:9" ht="15">
      <c r="A9" s="3053" t="s">
        <v>1639</v>
      </c>
      <c r="B9" s="3053"/>
      <c r="C9" s="3053"/>
      <c r="D9" s="3054" t="str">
        <f ca="1">结果表!D123</f>
        <v>陆佰陆拾陆万元整</v>
      </c>
      <c r="E9" s="3054"/>
      <c r="F9" s="3054"/>
      <c r="G9" s="3054"/>
      <c r="H9" s="3054"/>
      <c r="I9" s="3054"/>
    </row>
    <row r="10" spans="1:9" ht="15.75">
      <c r="A10" s="3055" t="str">
        <f>结果表!A124</f>
        <v/>
      </c>
      <c r="B10" s="3055"/>
      <c r="C10" s="3055"/>
      <c r="D10" s="3055" t="str">
        <f>结果表!D124</f>
        <v>——</v>
      </c>
      <c r="E10" s="3055"/>
      <c r="F10" s="3055"/>
      <c r="G10" s="3055"/>
      <c r="H10" s="3055"/>
      <c r="I10" s="3055"/>
    </row>
    <row r="11" spans="1:9" ht="15">
      <c r="A11" s="3053" t="s">
        <v>1639</v>
      </c>
      <c r="B11" s="3053"/>
      <c r="C11" s="3053"/>
      <c r="D11" s="3054" t="e">
        <f>结果表!D125</f>
        <v>#VALUE!</v>
      </c>
      <c r="E11" s="3054"/>
      <c r="F11" s="3054"/>
      <c r="G11" s="3054"/>
      <c r="H11" s="3054"/>
      <c r="I11" s="3054"/>
    </row>
    <row r="12" spans="1:9" ht="15.75">
      <c r="A12" s="3055" t="str">
        <f>结果表!A126</f>
        <v/>
      </c>
      <c r="B12" s="3055"/>
      <c r="C12" s="3055"/>
      <c r="D12" s="3055" t="str">
        <f>结果表!D126</f>
        <v>——</v>
      </c>
      <c r="E12" s="3055"/>
      <c r="F12" s="3055"/>
      <c r="G12" s="3055"/>
      <c r="H12" s="3055"/>
      <c r="I12" s="3055"/>
    </row>
    <row r="13" spans="1:9" ht="15.75" thickBot="1">
      <c r="A13" s="3059" t="s">
        <v>1639</v>
      </c>
      <c r="B13" s="3059"/>
      <c r="C13" s="3059"/>
      <c r="D13" s="3060" t="e">
        <f>结果表!D127</f>
        <v>#VALUE!</v>
      </c>
      <c r="E13" s="3060"/>
      <c r="F13" s="3060"/>
      <c r="G13" s="3060"/>
      <c r="H13" s="3060"/>
      <c r="I13" s="3060"/>
    </row>
    <row r="14" spans="1:9" ht="15" thickTop="1">
      <c r="A14" s="3061" t="s">
        <v>1644</v>
      </c>
      <c r="B14" s="3061"/>
      <c r="C14" s="3061"/>
      <c r="D14" s="3061"/>
      <c r="E14" s="3061"/>
      <c r="F14" s="3061"/>
      <c r="G14" s="3061"/>
      <c r="H14" s="3061"/>
      <c r="I14" s="3061"/>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62" t="s">
        <v>1661</v>
      </c>
      <c r="B1" s="3062"/>
      <c r="C1" s="3062"/>
      <c r="D1" s="3062"/>
    </row>
    <row r="2" spans="1:4" ht="18">
      <c r="A2" s="3063" t="s">
        <v>1645</v>
      </c>
      <c r="B2" s="3063"/>
      <c r="C2" s="3063"/>
      <c r="D2" s="3063"/>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063" t="s">
        <v>1651</v>
      </c>
      <c r="B6" s="3063"/>
      <c r="C6" s="3063"/>
      <c r="D6" s="3063"/>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64" t="s">
        <v>1654</v>
      </c>
      <c r="B11" s="3065"/>
      <c r="C11" s="3065"/>
      <c r="D11" s="3065"/>
    </row>
    <row r="12" spans="1:4" ht="15.75">
      <c r="A12" s="30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6"/>
      <c r="C12" s="3066"/>
      <c r="D12" s="3066"/>
    </row>
    <row r="13" spans="1:4" ht="30" customHeight="1">
      <c r="A13" s="30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6"/>
      <c r="C13" s="3066"/>
      <c r="D13" s="3066"/>
    </row>
    <row r="14" spans="1:4" ht="15.75" customHeight="1">
      <c r="A14" s="3065" t="str">
        <f>IF(项目基本情况!B8="抵押","4.本次评估估价师所知悉的法定优先受偿款情况说明如下：","——")</f>
        <v>4.本次评估估价师所知悉的法定优先受偿款情况说明如下：</v>
      </c>
      <c r="B14" s="3066"/>
      <c r="C14" s="3066"/>
      <c r="D14" s="3066"/>
    </row>
    <row r="15" spans="1:4" ht="42" customHeight="1">
      <c r="A15" s="3065" t="str">
        <f>IF(项目基本情况!B8="抵押","（1）"&amp;CONCATENATE(项目基本情况!L20,项目基本情况!L21,项目基本情况!L22),"——")</f>
        <v>（1）根据估价对象《房屋所有权证》原件、《国有土地使用权》原件，截至价值时点，估价对象抵押权未见登记。</v>
      </c>
      <c r="B15" s="3065"/>
      <c r="C15" s="3065"/>
      <c r="D15" s="3065"/>
    </row>
    <row r="16" spans="1:4" ht="30" customHeight="1">
      <c r="A16" s="3068" t="s">
        <v>1655</v>
      </c>
      <c r="B16" s="3068"/>
      <c r="C16" s="3068"/>
      <c r="D16" s="3068"/>
    </row>
    <row r="17" spans="1:4" ht="144" customHeight="1">
      <c r="A17" s="3068" t="s">
        <v>1656</v>
      </c>
      <c r="B17" s="3068"/>
      <c r="C17" s="3068"/>
      <c r="D17" s="3068"/>
    </row>
    <row r="18" spans="1:4" ht="15.75" customHeight="1">
      <c r="A18" s="3065" t="str">
        <f>IF(项目基本情况!B8="抵押",结果表!K120,"——")</f>
        <v>故，本次评估不存在估价师知悉的法定优先受偿款</v>
      </c>
      <c r="B18" s="3065"/>
      <c r="C18" s="3065"/>
      <c r="D18" s="3065"/>
    </row>
    <row r="19" spans="1:4" ht="46.5" customHeight="1">
      <c r="A19" s="30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5"/>
      <c r="C19" s="3065"/>
      <c r="D19" s="3065"/>
    </row>
    <row r="20" spans="1:4" ht="57.75" customHeight="1">
      <c r="A20" s="30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5"/>
      <c r="C20" s="3065"/>
      <c r="D20" s="3065"/>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9"/>
      <c r="C21" s="3069"/>
      <c r="D21" s="3069"/>
    </row>
    <row r="22" spans="1:4" ht="18.75" customHeight="1">
      <c r="A22" s="3070" t="s">
        <v>1657</v>
      </c>
      <c r="B22" s="3070"/>
      <c r="C22" s="3070"/>
      <c r="D22" s="3070"/>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67">
        <v>42551</v>
      </c>
      <c r="D31" s="30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76" t="s">
        <v>1668</v>
      </c>
      <c r="B15" s="3071" t="s">
        <v>136</v>
      </c>
      <c r="C15" s="3072"/>
    </row>
    <row r="16" spans="1:7" ht="13.5">
      <c r="A16" s="3077"/>
      <c r="B16" s="3071" t="s">
        <v>69</v>
      </c>
      <c r="C16" s="3072"/>
    </row>
    <row r="17" spans="1:3" ht="13.5">
      <c r="A17" s="3077"/>
      <c r="B17" s="3074" t="s">
        <v>1669</v>
      </c>
      <c r="C17" s="2002" t="s">
        <v>1668</v>
      </c>
    </row>
    <row r="18" spans="1:3" ht="13.5">
      <c r="A18" s="3077"/>
      <c r="B18" s="3074"/>
      <c r="C18" s="2002" t="s">
        <v>1670</v>
      </c>
    </row>
    <row r="19" spans="1:3" ht="13.5">
      <c r="A19" s="3077"/>
      <c r="B19" s="3074"/>
      <c r="C19" s="2002" t="s">
        <v>1671</v>
      </c>
    </row>
    <row r="20" spans="1:3" ht="13.5">
      <c r="A20" s="3078"/>
      <c r="B20" s="3073" t="s">
        <v>1672</v>
      </c>
      <c r="C20" s="3072"/>
    </row>
    <row r="21" spans="1:3" ht="13.5">
      <c r="A21" s="2003" t="s">
        <v>1673</v>
      </c>
      <c r="B21" s="2004"/>
      <c r="C21" s="2005"/>
    </row>
    <row r="22" spans="1:3" ht="13.5">
      <c r="A22" s="3075" t="s">
        <v>1674</v>
      </c>
      <c r="B22" s="3073" t="s">
        <v>1675</v>
      </c>
      <c r="C22" s="3072"/>
    </row>
    <row r="23" spans="1:3" ht="13.5">
      <c r="A23" s="3075"/>
      <c r="B23" s="3073" t="s">
        <v>1676</v>
      </c>
      <c r="C23" s="3072"/>
    </row>
    <row r="24" spans="1:3" ht="13.5">
      <c r="A24" s="3075"/>
      <c r="B24" s="3073" t="s">
        <v>1677</v>
      </c>
      <c r="C24" s="3072"/>
    </row>
    <row r="25" spans="1:3" ht="13.5">
      <c r="A25" s="3075"/>
      <c r="B25" s="3074" t="s">
        <v>1678</v>
      </c>
      <c r="C25" s="2002" t="s">
        <v>1679</v>
      </c>
    </row>
    <row r="26" spans="1:3" ht="13.5">
      <c r="A26" s="3075"/>
      <c r="B26" s="3074"/>
      <c r="C26" s="2002" t="s">
        <v>1680</v>
      </c>
    </row>
    <row r="27" spans="1:3" ht="13.5">
      <c r="A27" s="3075"/>
      <c r="B27" s="3074"/>
      <c r="C27" s="2002" t="s">
        <v>1681</v>
      </c>
    </row>
    <row r="28" spans="1:3" ht="13.5">
      <c r="A28" s="3075"/>
      <c r="B28" s="3074"/>
      <c r="C28" s="2002" t="s">
        <v>1682</v>
      </c>
    </row>
    <row r="29" spans="1:3" ht="13.5">
      <c r="A29" s="3075"/>
      <c r="B29" s="3074"/>
      <c r="C29" s="2002" t="s">
        <v>1683</v>
      </c>
    </row>
    <row r="30" spans="1:3" ht="13.5">
      <c r="A30" s="3075"/>
      <c r="B30" s="3074"/>
      <c r="C30" s="2002" t="s">
        <v>1684</v>
      </c>
    </row>
    <row r="31" spans="1:3" ht="13.5">
      <c r="A31" s="3075"/>
      <c r="B31" s="3074"/>
      <c r="C31" s="2002" t="s">
        <v>1685</v>
      </c>
    </row>
    <row r="32" spans="1:3" ht="13.5">
      <c r="A32" s="3075"/>
      <c r="B32" s="3074"/>
      <c r="C32" s="2002" t="s">
        <v>1686</v>
      </c>
    </row>
    <row r="33" spans="1:3" ht="13.5">
      <c r="A33" s="3075"/>
      <c r="B33" s="3074"/>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43216</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79" t="s">
        <v>846</v>
      </c>
      <c r="B25" s="3079"/>
      <c r="C25" s="3079"/>
      <c r="D25" s="3079"/>
      <c r="E25" s="3079"/>
      <c r="F25" s="3079"/>
      <c r="G25" s="3079"/>
    </row>
    <row r="26" spans="1:7" s="1027" customFormat="1" ht="24" customHeight="1">
      <c r="A26" s="3080" t="s">
        <v>847</v>
      </c>
      <c r="B26" s="3080"/>
      <c r="C26" s="3081"/>
      <c r="D26" s="3082" t="s">
        <v>848</v>
      </c>
      <c r="E26" s="3080"/>
      <c r="F26" s="3080"/>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2018-04-26T09:31:15Z</dcterms:modified>
</cp:coreProperties>
</file>