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10" windowHeight="1032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F49" i="15"/>
  <c r="X29" i="1"/>
  <c r="V26" i="1"/>
  <c r="V27" i="1"/>
  <c r="V28" i="1"/>
  <c r="V25" i="1"/>
  <c r="F20" i="80"/>
  <c r="Z6" i="1"/>
  <c r="L32" i="80"/>
  <c r="L31" i="80"/>
  <c r="K31" i="80"/>
  <c r="J31" i="80"/>
  <c r="I30" i="80"/>
  <c r="I31" i="80"/>
  <c r="E26" i="80"/>
  <c r="H31" i="80"/>
  <c r="G31" i="80"/>
  <c r="G28" i="80"/>
  <c r="H28" i="80"/>
  <c r="I28" i="80"/>
  <c r="J28" i="80"/>
  <c r="K28" i="80"/>
  <c r="G29" i="80"/>
  <c r="H29" i="80"/>
  <c r="I29" i="80"/>
  <c r="J29" i="80"/>
  <c r="K29" i="80"/>
  <c r="G30" i="80"/>
  <c r="H30" i="80"/>
  <c r="J30" i="80"/>
  <c r="K30" i="80"/>
  <c r="H27" i="80"/>
  <c r="I27" i="80"/>
  <c r="J27" i="80"/>
  <c r="K27" i="80"/>
  <c r="G27" i="80"/>
  <c r="K26" i="80"/>
  <c r="J26" i="80"/>
  <c r="I26" i="80"/>
  <c r="H26" i="80"/>
  <c r="J9" i="80"/>
  <c r="J10" i="80"/>
  <c r="J11" i="80"/>
  <c r="J5" i="80"/>
  <c r="J4" i="80"/>
  <c r="G26" i="80" s="1"/>
  <c r="D17" i="80"/>
  <c r="I12" i="80"/>
  <c r="X28" i="1"/>
  <c r="X27" i="1"/>
  <c r="X26" i="1"/>
  <c r="AD6" i="1"/>
  <c r="AF6" i="1"/>
  <c r="U22" i="1"/>
  <c r="U21" i="1"/>
  <c r="F26" i="80" l="1"/>
  <c r="C26" i="80"/>
  <c r="E27" i="80"/>
  <c r="F27" i="80" s="1"/>
  <c r="C15" i="80"/>
  <c r="E28" i="80" l="1"/>
  <c r="E29" i="80" s="1"/>
  <c r="E30" i="80" s="1"/>
  <c r="F30" i="80" s="1"/>
  <c r="C16" i="80"/>
  <c r="D18" i="80"/>
  <c r="C20" i="80"/>
  <c r="L8" i="80"/>
  <c r="L7" i="80"/>
  <c r="L9" i="80" s="1"/>
  <c r="I10" i="80"/>
  <c r="I11" i="80"/>
  <c r="I9" i="80"/>
  <c r="I5" i="80"/>
  <c r="I4" i="80"/>
  <c r="U3" i="43"/>
  <c r="U4" i="43"/>
  <c r="C19" i="80"/>
  <c r="C18" i="80"/>
  <c r="C17" i="80"/>
  <c r="B19" i="80"/>
  <c r="C9" i="80"/>
  <c r="C4" i="80"/>
  <c r="N6" i="1"/>
  <c r="F28" i="80" l="1"/>
  <c r="F29" i="80"/>
  <c r="C12" i="80"/>
  <c r="D20" i="80"/>
  <c r="D21" i="80" s="1"/>
  <c r="U2" i="43"/>
  <c r="I13" i="3"/>
  <c r="K13" i="3" s="1"/>
  <c r="G19" i="6" s="1"/>
  <c r="U20" i="1"/>
  <c r="T23" i="31" l="1"/>
  <c r="T22" i="31"/>
  <c r="D37" i="43" l="1"/>
  <c r="Y6" i="1" l="1"/>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7"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12" i="3"/>
  <c r="E416" i="3"/>
  <c r="E520" i="3"/>
  <c r="E187" i="3"/>
  <c r="E297" i="3"/>
  <c r="E348" i="3"/>
  <c r="E375" i="3"/>
  <c r="E58" i="3"/>
  <c r="E488" i="3"/>
  <c r="E521"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09" i="3"/>
  <c r="E373" i="3"/>
  <c r="E513"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F40" i="15"/>
  <c r="B10" i="76"/>
  <c r="M28" i="15"/>
  <c r="M28" i="67"/>
  <c r="B12" i="76"/>
  <c r="F4" i="73"/>
  <c r="J15" i="15"/>
  <c r="F9" i="15"/>
  <c r="E10" i="76"/>
  <c r="F26" i="15"/>
  <c r="B8" i="76"/>
  <c r="C76" i="15"/>
  <c r="B11" i="76"/>
  <c r="F42" i="67"/>
  <c r="F16" i="15"/>
  <c r="M8" i="67"/>
  <c r="E11" i="76"/>
  <c r="F5" i="73"/>
  <c r="D7" i="73"/>
  <c r="M22" i="67"/>
  <c r="F13" i="67"/>
  <c r="F16" i="67"/>
  <c r="E7" i="76"/>
  <c r="M24" i="67"/>
  <c r="F8" i="15"/>
  <c r="F9" i="67"/>
  <c r="F37" i="67"/>
  <c r="F26" i="67"/>
  <c r="M22" i="15"/>
  <c r="M26" i="67"/>
  <c r="F36" i="15"/>
  <c r="M26" i="15"/>
  <c r="F7" i="73"/>
  <c r="E2" i="69"/>
  <c r="D6" i="73"/>
  <c r="E12" i="76"/>
  <c r="L47" i="15"/>
  <c r="C76" i="67"/>
  <c r="D3" i="73"/>
  <c r="F36" i="67"/>
  <c r="D5" i="73"/>
  <c r="B9" i="76"/>
  <c r="F38" i="15"/>
  <c r="J15" i="67"/>
  <c r="F40" i="67"/>
  <c r="F20" i="31"/>
  <c r="AO13" i="1"/>
  <c r="E2" i="68"/>
  <c r="L47" i="67"/>
  <c r="F42" i="15"/>
  <c r="F13" i="15"/>
  <c r="M9" i="15"/>
  <c r="B7" i="76"/>
  <c r="F6" i="73"/>
  <c r="D4" i="73"/>
  <c r="F37" i="15"/>
  <c r="M8" i="15"/>
  <c r="E13" i="76"/>
  <c r="M23" i="67"/>
  <c r="B13" i="76"/>
  <c r="M9" i="67"/>
  <c r="E8" i="76"/>
  <c r="F8" i="67"/>
  <c r="M23" i="15"/>
  <c r="F38" i="67"/>
  <c r="M24" i="15"/>
  <c r="F3" i="73"/>
  <c r="E83" i="3" l="1"/>
  <c r="E101" i="3"/>
  <c r="E22" i="3"/>
  <c r="E524" i="3"/>
  <c r="E326"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46" i="3"/>
  <c r="E462" i="3"/>
  <c r="E110" i="3"/>
  <c r="E504" i="3"/>
  <c r="E378" i="3"/>
  <c r="E259" i="3"/>
  <c r="E240" i="3"/>
  <c r="E57" i="3"/>
  <c r="E500" i="3"/>
  <c r="E421" i="3"/>
  <c r="E244" i="3"/>
  <c r="E155" i="3"/>
  <c r="E131" i="3"/>
  <c r="E39" i="3"/>
  <c r="E413" i="3"/>
  <c r="E374" i="3"/>
  <c r="E487" i="3"/>
  <c r="E542" i="3"/>
  <c r="F19" i="6"/>
  <c r="E19" i="6" s="1"/>
  <c r="K6" i="1" s="1"/>
  <c r="AZ15" i="3"/>
  <c r="BL5" i="3"/>
  <c r="D53" i="43"/>
  <c r="D54" i="43"/>
  <c r="F30" i="68"/>
  <c r="F48" i="68" s="1"/>
  <c r="F6" i="1"/>
  <c r="D52" i="43"/>
  <c r="D51" i="43"/>
  <c r="D56" i="43"/>
  <c r="H67" i="43"/>
  <c r="F32" i="15"/>
  <c r="F60" i="15" s="1"/>
  <c r="F54" i="9"/>
  <c r="F52" i="9"/>
  <c r="E539" i="3"/>
  <c r="E165" i="3"/>
  <c r="E149" i="3"/>
  <c r="E141" i="3"/>
  <c r="AD6" i="3"/>
  <c r="E552" i="3"/>
  <c r="E464" i="3"/>
  <c r="E398" i="3"/>
  <c r="E459" i="3"/>
  <c r="E566" i="3"/>
  <c r="E582" i="3"/>
  <c r="E460" i="3"/>
  <c r="E436" i="3"/>
  <c r="E90"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F28" i="15"/>
  <c r="C28" i="15" s="1"/>
  <c r="F32" i="67"/>
  <c r="F60" i="67" s="1"/>
  <c r="F28" i="67"/>
  <c r="C28" i="67" s="1"/>
  <c r="D68" i="9"/>
  <c r="M18" i="15"/>
  <c r="F30" i="69"/>
  <c r="F48" i="69" s="1"/>
  <c r="M18" i="67"/>
  <c r="F31" i="12"/>
  <c r="C31" i="12" s="1"/>
  <c r="F30" i="11"/>
  <c r="C48" i="11" s="1"/>
  <c r="AP6" i="1"/>
  <c r="C36" i="69" s="1"/>
  <c r="J51" i="67"/>
  <c r="AB9" i="33"/>
  <c r="U9" i="33"/>
  <c r="W9" i="33"/>
  <c r="D55" i="43"/>
  <c r="D58" i="43"/>
  <c r="H50" i="43"/>
  <c r="C21" i="68"/>
  <c r="C40" i="69"/>
  <c r="G28" i="6"/>
  <c r="E28" i="6" s="1"/>
  <c r="K14" i="1" s="1"/>
  <c r="F29" i="6"/>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C36" i="68"/>
  <c r="D9" i="69"/>
  <c r="D9" i="68"/>
  <c r="F7" i="15"/>
  <c r="F7" i="67"/>
  <c r="M29" i="15"/>
  <c r="G1" i="73"/>
  <c r="M29" i="67"/>
  <c r="F43" i="15"/>
  <c r="F43" i="67"/>
  <c r="L48" i="15"/>
  <c r="L48" i="67"/>
  <c r="V29" i="1" l="1"/>
  <c r="Q16" i="1"/>
  <c r="F27" i="69" s="1"/>
  <c r="C47" i="69" s="1"/>
  <c r="D45" i="69" s="1"/>
  <c r="H16" i="1"/>
  <c r="M6" i="1"/>
  <c r="F71" i="67"/>
  <c r="F50" i="67"/>
  <c r="C49" i="67" s="1"/>
  <c r="M7" i="67"/>
  <c r="F71" i="15"/>
  <c r="F50" i="15"/>
  <c r="C49" i="15" s="1"/>
  <c r="M7" i="15"/>
  <c r="J53" i="15"/>
  <c r="L56" i="15" s="1"/>
  <c r="I54" i="15"/>
  <c r="J57" i="15"/>
  <c r="J55" i="15" s="1"/>
  <c r="J58" i="15" s="1"/>
  <c r="Q50" i="15" s="1"/>
  <c r="L58" i="15"/>
  <c r="Q73" i="15" s="1"/>
  <c r="G6" i="1"/>
  <c r="G16" i="1" s="1"/>
  <c r="F10" i="39" s="1"/>
  <c r="AA10" i="39" s="1"/>
  <c r="C30" i="11"/>
  <c r="C48" i="69"/>
  <c r="G26" i="43"/>
  <c r="I24" i="43"/>
  <c r="C24" i="43" s="1"/>
  <c r="J57" i="67"/>
  <c r="J55" i="67" s="1"/>
  <c r="J58" i="67" s="1"/>
  <c r="Q50" i="67" s="1"/>
  <c r="I54" i="67"/>
  <c r="L58" i="67"/>
  <c r="Q73" i="67" s="1"/>
  <c r="J53" i="67"/>
  <c r="F1" i="67" s="1"/>
  <c r="L56" i="67"/>
  <c r="E50" i="43"/>
  <c r="B48" i="43" s="1"/>
  <c r="C30" i="69"/>
  <c r="N94" i="46"/>
  <c r="E26" i="43"/>
  <c r="J26" i="43"/>
  <c r="F7" i="36"/>
  <c r="J7" i="37"/>
  <c r="H7" i="36"/>
  <c r="K16" i="1"/>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F11" i="67"/>
  <c r="Q61" i="67"/>
  <c r="Q74" i="67"/>
  <c r="Q74" i="15"/>
  <c r="Q61" i="15"/>
  <c r="AE11" i="1"/>
  <c r="AE9" i="1"/>
  <c r="F27" i="68"/>
  <c r="AE7" i="1"/>
  <c r="AE8" i="1"/>
  <c r="AE12" i="1"/>
  <c r="AE10" i="1"/>
  <c r="C16" i="67"/>
  <c r="C16" i="15"/>
  <c r="C29" i="69" l="1"/>
  <c r="D27" i="69" s="1"/>
  <c r="O6" i="1"/>
  <c r="Q60" i="15"/>
  <c r="Q60" i="67"/>
  <c r="F1" i="15"/>
  <c r="J10" i="39"/>
  <c r="W10" i="39" s="1"/>
  <c r="Q52" i="15"/>
  <c r="S10" i="39"/>
  <c r="H10" i="39"/>
  <c r="U10" i="39" s="1"/>
  <c r="H10" i="40"/>
  <c r="AB10" i="40" s="1"/>
  <c r="F10" i="40"/>
  <c r="S10" i="40" s="1"/>
  <c r="J10" i="40"/>
  <c r="AC10" i="40" s="1"/>
  <c r="C28" i="43"/>
  <c r="T13" i="43" s="1"/>
  <c r="V13" i="43" s="1"/>
  <c r="Q52" i="67"/>
  <c r="E65" i="39"/>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 i="3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D3" i="37"/>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48" i="67" s="1"/>
  <c r="C53" i="15"/>
  <c r="C48" i="15" s="1"/>
  <c r="C66" i="15" s="1"/>
  <c r="F25" i="12"/>
  <c r="F22" i="69"/>
  <c r="F41" i="69" s="1"/>
  <c r="F24" i="67"/>
  <c r="C24" i="67" s="1"/>
  <c r="F22" i="11"/>
  <c r="F22" i="68"/>
  <c r="F24" i="15"/>
  <c r="C24" i="15" s="1"/>
  <c r="AE6" i="1"/>
  <c r="F41" i="67"/>
  <c r="F41" i="15"/>
  <c r="B4" i="52" l="1"/>
  <c r="B43" i="72" s="1"/>
  <c r="B31" i="80"/>
  <c r="AG6" i="1"/>
  <c r="W10" i="40"/>
  <c r="AA10" i="40"/>
  <c r="T15" i="43"/>
  <c r="V15" i="43" s="1"/>
  <c r="C38" i="43"/>
  <c r="G38" i="43" s="1"/>
  <c r="I38" i="43" s="1"/>
  <c r="C40" i="43"/>
  <c r="G40" i="43" s="1"/>
  <c r="I40" i="43" s="1"/>
  <c r="T10" i="43"/>
  <c r="V10" i="43" s="1"/>
  <c r="T2" i="43"/>
  <c r="V2" i="43" s="1"/>
  <c r="T7" i="43"/>
  <c r="V7" i="43" s="1"/>
  <c r="C39" i="43"/>
  <c r="G39" i="43" s="1"/>
  <c r="I39" i="43" s="1"/>
  <c r="C41" i="43"/>
  <c r="E41" i="43" s="1"/>
  <c r="T5" i="43"/>
  <c r="V5" i="43" s="1"/>
  <c r="T4" i="43"/>
  <c r="V4" i="43" s="1"/>
  <c r="T14" i="43"/>
  <c r="V14" i="43" s="1"/>
  <c r="T11" i="43"/>
  <c r="V11" i="43" s="1"/>
  <c r="C42" i="43"/>
  <c r="E42" i="43" s="1"/>
  <c r="C37" i="43"/>
  <c r="G37" i="43" s="1"/>
  <c r="I37" i="43" s="1"/>
  <c r="C33" i="43"/>
  <c r="T6" i="43"/>
  <c r="V6" i="43" s="1"/>
  <c r="T3" i="43"/>
  <c r="T8" i="43"/>
  <c r="V8" i="43" s="1"/>
  <c r="T12" i="43"/>
  <c r="V12" i="43" s="1"/>
  <c r="T16" i="43"/>
  <c r="V16" i="43" s="1"/>
  <c r="T9" i="43"/>
  <c r="V9" i="43" s="1"/>
  <c r="F69" i="67"/>
  <c r="V3" i="43"/>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M27" i="15"/>
  <c r="M27" i="67"/>
  <c r="C17" i="67"/>
  <c r="C17" i="15"/>
  <c r="C14" i="67"/>
  <c r="J12" i="80" l="1"/>
  <c r="C31" i="80"/>
  <c r="E39" i="43"/>
  <c r="E38" i="43"/>
  <c r="E37" i="43"/>
  <c r="C6" i="68" s="1"/>
  <c r="G41" i="43"/>
  <c r="I41" i="43" s="1"/>
  <c r="C34" i="43"/>
  <c r="E34" i="43" s="1"/>
  <c r="G42" i="43"/>
  <c r="I42" i="43" s="1"/>
  <c r="C6" i="69"/>
  <c r="C7"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4" i="68"/>
  <c r="C14" i="15"/>
  <c r="U6" i="1" l="1"/>
  <c r="C18" i="12"/>
  <c r="C5" i="69"/>
  <c r="C31" i="43"/>
  <c r="D1" i="43"/>
  <c r="E33" i="43"/>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F6" i="67"/>
  <c r="F6" i="15"/>
  <c r="M6" i="15"/>
  <c r="M6" i="67"/>
  <c r="J6" i="67" l="1"/>
  <c r="J6" i="15"/>
  <c r="C6" i="15"/>
  <c r="C6" i="67"/>
  <c r="U23" i="1"/>
  <c r="C21" i="12"/>
  <c r="C22" i="12" s="1"/>
  <c r="C30" i="43"/>
  <c r="F7" i="21"/>
  <c r="AA7" i="21" s="1"/>
  <c r="R48"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J63" i="40"/>
  <c r="I65" i="40"/>
  <c r="K48" i="35"/>
  <c r="L48" i="35" s="1"/>
  <c r="M48" i="35" s="1"/>
  <c r="N48" i="35" s="1"/>
  <c r="O48" i="35" s="1"/>
  <c r="H7" i="35" s="1"/>
  <c r="W7" i="21"/>
  <c r="E6" i="76"/>
  <c r="C32" i="67" l="1"/>
  <c r="C10" i="67"/>
  <c r="C5" i="67" s="1"/>
  <c r="C38" i="67" s="1"/>
  <c r="C33" i="67"/>
  <c r="J18" i="15"/>
  <c r="J10" i="15"/>
  <c r="J5" i="15" s="1"/>
  <c r="J24" i="15" s="1"/>
  <c r="C32" i="15"/>
  <c r="C10" i="15"/>
  <c r="C5" i="15" s="1"/>
  <c r="C38" i="15" s="1"/>
  <c r="C33" i="15"/>
  <c r="J18" i="67"/>
  <c r="J5" i="67"/>
  <c r="J24" i="67" s="1"/>
  <c r="J19" i="67"/>
  <c r="E2" i="76"/>
  <c r="B2" i="43"/>
  <c r="C27" i="12"/>
  <c r="C25" i="12" s="1"/>
  <c r="C30" i="12"/>
  <c r="C28" i="12" s="1"/>
  <c r="C7" i="68"/>
  <c r="C5" i="68" s="1"/>
  <c r="J7" i="35"/>
  <c r="AC7" i="35" s="1"/>
  <c r="V38" i="35" s="1"/>
  <c r="I38"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B6" i="76"/>
  <c r="F35" i="15"/>
  <c r="M21" i="67"/>
  <c r="W7" i="35" l="1"/>
  <c r="B2" i="76"/>
  <c r="B3" i="76" s="1"/>
  <c r="B3" i="43"/>
  <c r="C32" i="12"/>
  <c r="B2" i="12" s="1"/>
  <c r="B3" i="12" s="1"/>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B2" i="68"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B3" i="68" l="1"/>
  <c r="Q69" i="15"/>
  <c r="Q68" i="15" s="1"/>
  <c r="H36" i="15"/>
  <c r="C57" i="68"/>
  <c r="C56" i="68"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34" i="9"/>
  <c r="D35" i="9"/>
  <c r="D2" i="34"/>
  <c r="C19" i="9"/>
  <c r="D2" i="37"/>
  <c r="L51" i="15"/>
  <c r="D2" i="36"/>
  <c r="D2" i="35"/>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7" i="1"/>
  <c r="AO9" i="1"/>
  <c r="AO11" i="1"/>
  <c r="AO10" i="1"/>
  <c r="C20" i="9"/>
  <c r="L46" i="15" l="1"/>
  <c r="B2" i="15" s="1"/>
  <c r="C103" i="9"/>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B2" i="70" s="1"/>
  <c r="B3" i="70" s="1"/>
  <c r="D102" i="9"/>
  <c r="G19" i="9"/>
  <c r="D21" i="9"/>
  <c r="D22"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D27" i="9" s="1"/>
  <c r="D103" i="9"/>
  <c r="G21" i="9"/>
  <c r="C42" i="40"/>
  <c r="C43" i="40"/>
  <c r="E47" i="40"/>
  <c r="F47" i="40" s="1"/>
  <c r="E46" i="40"/>
  <c r="F46" i="40" s="1"/>
  <c r="I47" i="40"/>
  <c r="J47" i="40" s="1"/>
  <c r="C32" i="9" l="1"/>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R25" i="31" l="1"/>
  <c r="S25" i="31" s="1"/>
  <c r="S24" i="31"/>
  <c r="S22" i="31" l="1"/>
  <c r="R22" i="31" l="1"/>
  <c r="B20" i="31"/>
  <c r="B21" i="31" s="1"/>
  <c r="D118" i="9"/>
  <c r="D119" i="9" s="1"/>
  <c r="D5" i="52" s="1"/>
  <c r="B49" i="72" s="1"/>
  <c r="H118" i="9"/>
  <c r="G14" i="74" s="1"/>
  <c r="B6" i="74" s="1"/>
  <c r="D6" i="74" s="1"/>
  <c r="F118" i="9"/>
  <c r="F4" i="52" s="1"/>
  <c r="B51" i="72" s="1"/>
  <c r="H4" i="52" l="1"/>
  <c r="D14" i="74"/>
  <c r="F119" i="9"/>
  <c r="F5" i="52" s="1"/>
  <c r="B53" i="72" s="1"/>
  <c r="G118" i="9"/>
  <c r="G4" i="52" s="1"/>
  <c r="B52" i="72" s="1"/>
  <c r="H101" i="9"/>
  <c r="M48" i="9" s="1"/>
  <c r="I118" i="9"/>
  <c r="C105" i="9" s="1"/>
  <c r="D5" i="53"/>
  <c r="D4" i="52"/>
  <c r="B47" i="72" s="1"/>
  <c r="H119" i="9"/>
  <c r="H5" i="52" s="1"/>
  <c r="C104" i="9"/>
  <c r="B5" i="74" l="1"/>
  <c r="D5" i="74" s="1"/>
  <c r="F14" i="74"/>
  <c r="E14" i="74"/>
  <c r="H102" i="9"/>
  <c r="E118" i="9"/>
  <c r="E4" i="52" s="1"/>
  <c r="B48" i="72" s="1"/>
  <c r="H107" i="9"/>
  <c r="H108" i="9" s="1"/>
  <c r="D45" i="9"/>
  <c r="C85" i="9" s="1"/>
  <c r="I4" i="52"/>
  <c r="C5" i="74"/>
  <c r="D7" i="53"/>
  <c r="B21" i="72" s="1"/>
  <c r="D52" i="9"/>
  <c r="B20" i="72"/>
  <c r="D6" i="53"/>
  <c r="B22" i="72" s="1"/>
  <c r="C78" i="9" l="1"/>
  <c r="C73" i="9" s="1"/>
  <c r="D55" i="9"/>
  <c r="M53" i="9" s="1"/>
  <c r="D53" i="9"/>
  <c r="C64" i="9"/>
  <c r="C63" i="9" s="1"/>
  <c r="C67" i="9" s="1"/>
  <c r="D59" i="9" s="1"/>
  <c r="M55" i="9" s="1"/>
  <c r="C72" i="9"/>
  <c r="C79" i="9" s="1"/>
  <c r="C80" i="9" s="1"/>
  <c r="E80" i="9" s="1"/>
  <c r="E81" i="9" s="1"/>
  <c r="C93" i="9"/>
  <c r="C86" i="9" s="1"/>
  <c r="C95" i="9" s="1"/>
  <c r="D122" i="9"/>
  <c r="D123" i="9" s="1"/>
  <c r="D9" i="52" s="1"/>
  <c r="D13" i="53"/>
  <c r="B30" i="72" s="1"/>
  <c r="D14" i="53"/>
  <c r="B32" i="72" s="1"/>
  <c r="C6" i="74"/>
  <c r="D15" i="53"/>
  <c r="B31" i="72" s="1"/>
  <c r="C68" i="9" l="1"/>
  <c r="D54" i="9" s="1"/>
  <c r="D8" i="52"/>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<sst xmlns="http://schemas.openxmlformats.org/spreadsheetml/2006/main" count="7885" uniqueCount="3450">
  <si>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</si>
  <si>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</si>
  <si>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</si>
  <si>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</si>
  <si>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</si>
  <si>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</si>
  <si>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</si>
  <si>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</si>
  <si>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</si>
  <si>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</si>
  <si>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</si>
  <si>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</si>
  <si>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</si>
  <si>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</si>
  <si>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</si>
  <si>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</si>
  <si>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</si>
  <si>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</si>
  <si>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</si>
  <si>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</si>
  <si>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</si>
  <si>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</si>
  <si>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</si>
  <si>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</si>
  <si>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</si>
  <si>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</si>
  <si>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</si>
  <si>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</si>
  <si>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</si>
  <si>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</si>
  <si>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</si>
  <si>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</si>
  <si>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</si>
  <si>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</si>
  <si>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</si>
  <si>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</si>
  <si>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</si>
  <si>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</si>
  <si>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</si>
  <si>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</si>
  <si>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</si>
  <si>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</si>
  <si>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</si>
  <si>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</si>
  <si>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</si>
  <si>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</si>
  <si>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</si>
  <si>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</si>
  <si>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</si>
  <si>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</si>
  <si>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</si>
  <si>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</si>
  <si>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</si>
  <si>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</si>
  <si>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</si>
  <si>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</si>
  <si>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</si>
  <si>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</si>
  <si>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</si>
  <si>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</si>
  <si>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</si>
  <si>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</si>
  <si>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</si>
  <si>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</si>
  <si>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</si>
  <si>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</si>
  <si>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</si>
  <si>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</si>
  <si>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</si>
  <si>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</si>
  <si>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</si>
  <si>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</si>
  <si>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</si>
  <si>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</si>
  <si>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</si>
  <si>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</si>
  <si>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</si>
  <si>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</si>
  <si>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</si>
  <si>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</si>
  <si>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</si>
  <si>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</si>
  <si>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</si>
  <si>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</si>
  <si>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</si>
  <si>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</si>
  <si>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</si>
  <si>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</si>
  <si>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</si>
  <si>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</si>
  <si>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</si>
  <si>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</si>
  <si>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</si>
  <si>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</si>
  <si>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</si>
  <si>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</si>
  <si>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</si>
  <si>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</si>
  <si>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</si>
  <si>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</si>
  <si>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</si>
  <si>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</si>
  <si>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</si>
  <si>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</si>
  <si>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</si>
  <si>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</si>
  <si>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</si>
  <si>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</si>
  <si>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</si>
  <si>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</si>
  <si>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</si>
  <si>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</si>
  <si>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</si>
  <si>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</si>
  <si>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</si>
  <si>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</si>
  <si>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</si>
  <si>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</si>
  <si>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</si>
  <si>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</si>
  <si>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</si>
  <si>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</si>
  <si>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</si>
  <si>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</si>
  <si>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</si>
  <si>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</si>
  <si>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</si>
  <si>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</si>
  <si>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</si>
  <si>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</si>
  <si>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</si>
  <si>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</si>
  <si>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</si>
  <si>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</si>
  <si>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</si>
  <si>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</si>
  <si>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</si>
  <si>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</si>
  <si>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</si>
  <si>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</si>
  <si>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</si>
  <si>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</si>
  <si>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</si>
  <si>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</si>
  <si>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</si>
  <si>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</si>
  <si>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</si>
  <si>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</si>
  <si>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</si>
  <si>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</si>
  <si>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</si>
  <si>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</si>
  <si>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</si>
  <si>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</si>
  <si>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</si>
  <si>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</si>
  <si>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</si>
  <si>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</si>
  <si>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</si>
  <si>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</si>
  <si>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</si>
  <si>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</si>
  <si>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</si>
  <si>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</si>
  <si>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</si>
  <si>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</si>
  <si>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</si>
  <si>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</si>
  <si>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</si>
  <si>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</si>
  <si>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</si>
  <si>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</si>
  <si>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</si>
  <si>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</si>
  <si>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</si>
  <si>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</si>
  <si>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</si>
  <si>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</si>
  <si>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</si>
  <si>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</si>
  <si>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</si>
  <si>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</si>
  <si>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</si>
  <si>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</si>
  <si>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</si>
  <si>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</si>
  <si>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</si>
  <si>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</si>
  <si>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</si>
  <si>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</si>
  <si>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</si>
  <si>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</si>
  <si>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</si>
  <si>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</si>
  <si>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</si>
  <si>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</si>
  <si>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</si>
  <si>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</si>
  <si>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</si>
  <si>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</si>
  <si>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</si>
  <si>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</si>
  <si>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</si>
  <si>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</si>
  <si>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</si>
  <si>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</si>
  <si>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</si>
  <si>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</si>
  <si>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</si>
  <si>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</si>
  <si>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</si>
  <si>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</si>
  <si>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</si>
  <si>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</si>
  <si>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</si>
  <si>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</si>
  <si>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</si>
  <si>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</si>
  <si>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</si>
  <si>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</si>
  <si>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</si>
  <si>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</si>
  <si>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</si>
  <si>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</si>
  <si>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</si>
  <si>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</si>
  <si>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</si>
  <si>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</si>
  <si>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</si>
  <si>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</si>
  <si>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</si>
  <si>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</si>
  <si>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</si>
  <si>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</si>
  <si>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</si>
  <si>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</si>
  <si>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</si>
  <si>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</si>
  <si>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</si>
  <si>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</si>
  <si>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</si>
  <si>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</si>
  <si>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</si>
  <si>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</si>
  <si>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</si>
  <si>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</si>
  <si>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</si>
  <si>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</si>
  <si>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</si>
  <si>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</si>
  <si>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</si>
  <si>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</si>
  <si>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</si>
  <si>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</si>
  <si>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</si>
  <si>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</si>
  <si>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</si>
  <si>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</si>
  <si>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</si>
  <si>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</si>
  <si>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</si>
  <si>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</si>
  <si>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</si>
  <si>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</si>
  <si>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</si>
  <si>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</si>
  <si>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</si>
  <si>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</si>
  <si>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</si>
  <si>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</si>
  <si>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</si>
  <si>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</si>
  <si>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</si>
  <si>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</si>
  <si>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</si>
  <si>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</si>
  <si>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</si>
  <si>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</si>
  <si>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</si>
  <si>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</si>
  <si>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</si>
  <si>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</si>
  <si>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</si>
  <si>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</si>
  <si>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</si>
  <si>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</si>
  <si>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</si>
  <si>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</si>
  <si>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</si>
  <si>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</si>
  <si>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</si>
  <si>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</si>
  <si>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</si>
  <si>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</si>
  <si>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</si>
  <si>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</si>
  <si>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</si>
  <si>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</si>
  <si>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</si>
  <si>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</si>
  <si>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</si>
  <si>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</si>
  <si>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</si>
  <si>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</si>
  <si>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</si>
  <si>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</si>
  <si>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</si>
  <si>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</si>
  <si>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</si>
  <si>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</si>
  <si>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</si>
  <si>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</si>
  <si>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</si>
  <si>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</si>
  <si>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</si>
  <si>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</si>
  <si>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</si>
  <si>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</si>
  <si>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</si>
  <si>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</si>
  <si>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</si>
  <si>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</si>
  <si>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</si>
  <si>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</si>
  <si>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</si>
  <si>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</si>
  <si>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</si>
  <si>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</si>
  <si>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</si>
  <si>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</si>
  <si>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</si>
  <si>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</si>
  <si>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</si>
  <si>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</si>
  <si>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</si>
  <si>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</si>
  <si>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</si>
  <si>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</si>
  <si>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</si>
  <si>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</si>
  <si>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</si>
  <si>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</si>
  <si>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</si>
  <si>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</si>
  <si>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</si>
  <si>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</si>
  <si>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</si>
  <si>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</si>
  <si>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</si>
  <si>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</si>
  <si>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</si>
  <si>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</si>
  <si>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</si>
  <si>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</si>
  <si>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</si>
  <si>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</si>
  <si>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</si>
  <si>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</si>
  <si>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</si>
  <si>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</si>
  <si>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</si>
  <si>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</si>
  <si>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</si>
  <si>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</si>
  <si>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</si>
  <si>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</si>
  <si>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</si>
  <si>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</si>
  <si>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</si>
  <si>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</si>
  <si>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</si>
  <si>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</si>
  <si>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</si>
  <si>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</si>
  <si>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</si>
  <si>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</si>
  <si>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</si>
  <si>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</si>
  <si>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</si>
  <si>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</si>
  <si>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</si>
  <si>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</si>
  <si>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</si>
  <si>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</si>
  <si>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</si>
  <si>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</si>
  <si>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</si>
  <si>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</si>
  <si>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</si>
  <si>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</si>
  <si>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</si>
  <si>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</si>
  <si>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</si>
  <si>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</si>
  <si>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</si>
  <si>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</si>
  <si>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</si>
  <si>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</si>
  <si>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</si>
  <si>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</si>
  <si>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</si>
  <si>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</si>
  <si>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</si>
  <si>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</si>
  <si>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</si>
  <si>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</si>
  <si>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</si>
  <si>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</si>
  <si>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</si>
  <si>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</si>
  <si>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</si>
  <si>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</si>
  <si>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</si>
  <si>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</si>
  <si>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</si>
  <si>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</si>
  <si>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</si>
  <si>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</si>
  <si>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</si>
  <si>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</si>
  <si>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</si>
  <si>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</si>
  <si>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</si>
  <si>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</si>
  <si>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</si>
  <si>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</si>
  <si>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</si>
  <si>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</si>
  <si>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</si>
  <si>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</si>
  <si>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</si>
  <si>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</si>
  <si>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</si>
  <si>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</si>
  <si>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</si>
  <si>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</si>
  <si>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</si>
  <si>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</si>
  <si>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</si>
  <si>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</si>
  <si>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</si>
  <si>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</si>
  <si>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</si>
  <si>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</si>
  <si>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</si>
  <si>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</si>
  <si>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</si>
  <si>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</si>
  <si>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</si>
  <si>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</si>
  <si>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</si>
  <si>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</si>
  <si>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</si>
  <si>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</si>
  <si>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</si>
  <si>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</si>
  <si>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</si>
  <si>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</si>
  <si>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</si>
  <si>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</si>
  <si>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</si>
  <si>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</si>
  <si>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</si>
  <si>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</si>
  <si>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</si>
  <si>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</si>
  <si>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</si>
  <si>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</si>
  <si>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</si>
  <si>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</si>
  <si>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</si>
  <si>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</si>
  <si>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</si>
  <si>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</si>
  <si>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</si>
  <si>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</si>
  <si>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</si>
  <si>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</si>
  <si>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</si>
  <si>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</si>
  <si>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</si>
  <si>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</si>
  <si>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</si>
  <si>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</si>
  <si>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</si>
  <si>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</si>
  <si>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</si>
  <si>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</si>
  <si>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</si>
  <si>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</si>
  <si>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</si>
  <si>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</si>
  <si>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</si>
  <si>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</si>
  <si>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</si>
  <si>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</si>
  <si>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</si>
  <si>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</si>
  <si>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</si>
  <si>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</si>
  <si>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</si>
  <si>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</si>
  <si>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</si>
  <si>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</si>
  <si>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</si>
  <si>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</si>
  <si>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</si>
  <si>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</si>
  <si>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</si>
  <si>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</si>
  <si>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</si>
  <si>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</si>
  <si>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</si>
  <si>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</si>
  <si>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</si>
  <si>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</si>
  <si>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</si>
  <si>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</si>
  <si>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</si>
  <si>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</si>
  <si>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</si>
  <si>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</si>
  <si>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</si>
  <si>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</si>
  <si>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</si>
  <si>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</si>
  <si>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</si>
  <si>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</si>
  <si>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</si>
  <si>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</si>
  <si>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</si>
  <si>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</si>
  <si>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</si>
  <si>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</si>
  <si>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</si>
  <si>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</si>
  <si>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</si>
  <si>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</si>
  <si>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</si>
  <si>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</si>
  <si>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</si>
  <si>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</si>
  <si>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</si>
  <si>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</si>
  <si>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</si>
  <si>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</si>
  <si>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</si>
  <si>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</si>
  <si>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</si>
  <si>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</si>
  <si>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</si>
  <si>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</si>
  <si>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</si>
  <si>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</si>
  <si>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</si>
  <si>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</si>
  <si>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</si>
  <si>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</si>
  <si>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</si>
  <si>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</si>
  <si>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</si>
  <si>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</si>
  <si>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</si>
  <si>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</si>
  <si>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</si>
  <si>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</si>
  <si>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</si>
  <si>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</si>
  <si>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</si>
  <si>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</si>
  <si>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</si>
  <si>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</si>
  <si>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</si>
  <si>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</si>
  <si>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</si>
  <si>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</si>
  <si>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</si>
  <si>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</si>
  <si>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</si>
  <si>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</si>
  <si>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</si>
  <si>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</si>
  <si>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</si>
  <si>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</si>
  <si>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</si>
  <si>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</si>
  <si>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</si>
  <si>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</si>
  <si>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</si>
  <si>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</si>
  <si>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</si>
  <si>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</si>
  <si>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</si>
  <si>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</si>
  <si>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</si>
  <si>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</si>
  <si>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</si>
  <si>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</si>
  <si>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</si>
  <si>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</si>
  <si>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</si>
  <si>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</si>
  <si>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</si>
  <si>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</si>
  <si>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</si>
  <si>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</si>
  <si>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</si>
  <si>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</si>
  <si>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</si>
  <si>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</si>
  <si>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</si>
  <si>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</si>
  <si>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</si>
  <si>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</si>
  <si>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</si>
  <si>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</si>
  <si>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</si>
  <si>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</si>
  <si>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</si>
  <si>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</si>
  <si>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</si>
  <si>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</si>
  <si>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</si>
  <si>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</si>
  <si>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</si>
  <si>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</si>
  <si>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</si>
  <si>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</si>
  <si>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</si>
  <si>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</si>
  <si>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</si>
  <si>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</si>
  <si>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</si>
  <si>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</si>
  <si>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</si>
  <si>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</si>
  <si>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</si>
  <si>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</si>
  <si>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</si>
  <si>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</si>
  <si>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</si>
  <si>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</si>
  <si>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</si>
  <si>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</si>
  <si>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</si>
  <si>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</si>
  <si>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</si>
  <si>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</si>
  <si>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</si>
  <si>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</si>
  <si>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</si>
  <si>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</si>
  <si>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</si>
  <si>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</si>
  <si>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</si>
  <si>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</si>
  <si>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</si>
  <si>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</si>
  <si>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</si>
  <si>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</si>
  <si>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</si>
  <si>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</si>
  <si>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</si>
  <si>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</si>
  <si>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</si>
  <si>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</si>
  <si>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</si>
  <si>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</si>
  <si>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</si>
  <si>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</si>
  <si>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</si>
  <si>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</si>
  <si>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</si>
  <si>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</si>
  <si>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</si>
  <si>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</si>
  <si>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</si>
  <si>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</si>
  <si>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</si>
  <si>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</si>
  <si>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</si>
  <si>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</si>
  <si>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</si>
  <si>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</si>
  <si>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</si>
  <si>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</si>
  <si>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</si>
  <si>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</si>
  <si>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</si>
  <si>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</si>
  <si>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</si>
  <si>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</si>
  <si>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</si>
  <si>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</si>
  <si>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</si>
  <si>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</si>
  <si>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</si>
  <si>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</si>
  <si>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</si>
  <si>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</si>
  <si>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</si>
  <si>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</si>
  <si>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</si>
  <si>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</si>
  <si>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</si>
  <si>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</si>
  <si>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</si>
  <si>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</si>
  <si>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</si>
  <si>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</si>
  <si>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</si>
  <si>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</si>
  <si>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</si>
  <si>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</si>
  <si>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</si>
  <si>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</si>
  <si>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</si>
  <si>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</si>
  <si>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</si>
  <si>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</si>
  <si>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</si>
  <si>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</si>
  <si>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</si>
  <si>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</si>
  <si>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</si>
  <si>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</si>
  <si>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</si>
  <si>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</si>
  <si>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</si>
  <si>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</si>
  <si>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</si>
  <si>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</si>
  <si>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</si>
  <si>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</si>
  <si>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</si>
  <si>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</si>
  <si>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</si>
  <si>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</si>
  <si>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</si>
  <si>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</si>
  <si>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</si>
  <si>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</si>
  <si>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</si>
  <si>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</si>
  <si>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</si>
  <si>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</si>
  <si>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</si>
  <si>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</si>
  <si>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</si>
  <si>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</si>
  <si>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</si>
  <si>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</si>
  <si>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</si>
  <si>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</si>
  <si>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</si>
  <si>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</si>
  <si>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</si>
  <si>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</si>
  <si>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</si>
  <si>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</si>
  <si>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</si>
  <si>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</si>
  <si>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</si>
  <si>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</si>
  <si>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</si>
  <si>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</si>
  <si>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</si>
  <si>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</si>
  <si>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</si>
  <si>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</si>
  <si>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</si>
  <si>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</si>
  <si>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</si>
  <si>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</si>
  <si>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</si>
  <si>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</si>
  <si>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</si>
  <si>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</si>
  <si>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</si>
  <si>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</si>
  <si>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</si>
  <si>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</si>
  <si>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</si>
  <si>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</si>
  <si>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</si>
  <si>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</si>
  <si>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</si>
  <si>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</si>
  <si>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</si>
  <si>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</si>
  <si>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</si>
  <si>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</si>
  <si>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</si>
  <si>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</si>
  <si>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</si>
  <si>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</si>
  <si>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</si>
  <si>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</si>
  <si>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</si>
  <si>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</si>
  <si>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</si>
  <si>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</si>
  <si>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</si>
  <si>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</si>
  <si>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</si>
  <si>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</si>
  <si>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</si>
  <si>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</si>
  <si>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</si>
  <si>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</si>
  <si>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</si>
  <si>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</si>
  <si>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</si>
  <si>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</si>
  <si>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</si>
  <si>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</si>
  <si>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</si>
  <si>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</si>
  <si>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</si>
  <si>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</si>
  <si>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</si>
  <si>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</si>
  <si>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</si>
  <si>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</si>
  <si>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</si>
  <si>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</si>
  <si>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</si>
  <si>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</si>
  <si>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</si>
  <si>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</si>
  <si>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</si>
  <si>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</si>
  <si>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</si>
  <si>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</si>
  <si>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</si>
  <si>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</si>
  <si>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</si>
  <si>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</si>
  <si>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</si>
  <si>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</si>
  <si>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</si>
  <si>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</si>
  <si>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</si>
  <si>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</si>
  <si>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</si>
  <si>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</si>
  <si>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</si>
  <si>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</si>
  <si>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</si>
  <si>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</si>
  <si>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</si>
  <si>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</si>
  <si>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</si>
  <si>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</si>
  <si>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</si>
  <si>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</si>
  <si>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</si>
  <si>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</si>
  <si>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</si>
  <si>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</si>
  <si>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</si>
  <si>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</si>
  <si>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</si>
  <si>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</si>
  <si>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</si>
  <si>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</si>
  <si>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</si>
  <si>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</si>
  <si>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</si>
  <si>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</si>
  <si>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</si>
  <si>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</si>
  <si>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</si>
  <si>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</si>
  <si>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</si>
  <si>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</si>
  <si>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</si>
  <si>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</si>
  <si>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</si>
  <si>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</si>
  <si>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</si>
  <si>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</si>
  <si>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</si>
  <si>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</si>
  <si>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</si>
  <si>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</si>
  <si>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</si>
  <si>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</si>
  <si>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</si>
  <si>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</si>
  <si>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</si>
  <si>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</si>
  <si>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</si>
  <si>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</si>
  <si>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</si>
  <si>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</si>
  <si>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</si>
  <si>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</si>
  <si>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</si>
  <si>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</si>
  <si>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</si>
  <si>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</si>
  <si>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</si>
  <si>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</si>
  <si>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</si>
  <si>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</si>
  <si>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</si>
  <si>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</si>
  <si>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</si>
  <si>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</si>
  <si>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</si>
  <si>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</si>
  <si>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</si>
  <si>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</si>
  <si>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</si>
  <si>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</si>
  <si>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</si>
  <si>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</si>
  <si>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</si>
  <si>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</si>
  <si>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</si>
  <si>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</si>
  <si>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</si>
  <si>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</si>
  <si>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</si>
  <si>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</si>
  <si>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</si>
  <si>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</si>
  <si>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</si>
  <si>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</si>
  <si>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</si>
  <si>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</si>
  <si>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</si>
  <si>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</si>
  <si>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</si>
  <si>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</si>
  <si>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</si>
  <si>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</si>
  <si>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</si>
  <si>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</si>
  <si>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</si>
  <si>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</si>
  <si>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</si>
  <si>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</si>
  <si>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</si>
  <si>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</si>
  <si>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</si>
  <si>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</si>
  <si>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</si>
  <si>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</si>
  <si>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</si>
  <si>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</si>
  <si>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</si>
  <si>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</si>
  <si>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</si>
  <si>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</si>
  <si>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</si>
  <si>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</si>
  <si>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</si>
  <si>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</si>
  <si>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</si>
  <si>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</si>
  <si>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</si>
  <si>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</si>
  <si>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</si>
  <si>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</si>
  <si>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</si>
  <si>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</si>
  <si>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</si>
  <si>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</si>
  <si>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</si>
  <si>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</si>
  <si>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</si>
  <si>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</si>
  <si>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</si>
  <si>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</si>
  <si>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</si>
  <si>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</si>
  <si>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</si>
  <si>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</si>
  <si>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</si>
  <si>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</si>
  <si>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</si>
  <si>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</si>
  <si>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</si>
  <si>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</si>
  <si>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</si>
  <si>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</si>
  <si>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</si>
  <si>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</si>
  <si>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</si>
  <si>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</si>
  <si>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</si>
  <si>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</si>
  <si>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</si>
  <si>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</si>
  <si>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</si>
  <si>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</si>
  <si>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</si>
  <si>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</si>
  <si>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</si>
  <si>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</si>
  <si>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</si>
  <si>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</si>
  <si>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</si>
  <si>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</si>
  <si>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</si>
  <si>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</si>
  <si>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</si>
  <si>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</si>
  <si>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</si>
  <si>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</si>
  <si>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</si>
  <si>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</si>
  <si>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</si>
  <si>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</si>
  <si>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</si>
  <si>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</si>
  <si>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</si>
  <si>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</si>
  <si>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</si>
  <si>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</si>
  <si>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</si>
  <si>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</si>
  <si>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</si>
  <si>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</si>
  <si>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</si>
  <si>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</si>
  <si>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</si>
  <si>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</si>
  <si>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</si>
  <si>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</si>
  <si>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</si>
  <si>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</si>
  <si>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</si>
  <si>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</si>
  <si>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</si>
  <si>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</si>
  <si>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</si>
  <si>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</si>
  <si>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</si>
  <si>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</si>
  <si>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</si>
  <si>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</si>
  <si>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</si>
  <si>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</si>
  <si>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</si>
  <si>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</si>
  <si>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</si>
  <si>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</si>
  <si>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</si>
  <si>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</si>
  <si>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</si>
  <si>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</si>
  <si>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</si>
  <si>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</si>
  <si>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</si>
  <si>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</si>
  <si>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</si>
  <si>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</si>
  <si>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</si>
  <si>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</si>
  <si>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</si>
  <si>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</si>
  <si>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</si>
  <si>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</si>
  <si>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</si>
  <si>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</si>
  <si>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</si>
  <si>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</si>
  <si>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</si>
  <si>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</si>
  <si>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</si>
  <si>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</si>
  <si>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</si>
  <si>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</si>
  <si>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</si>
  <si>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</si>
  <si>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</si>
  <si>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</si>
  <si>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</si>
  <si>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</si>
  <si>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</si>
  <si>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</si>
  <si>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</si>
  <si>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</si>
  <si>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</si>
  <si>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</si>
  <si>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</si>
  <si>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</si>
  <si>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</si>
  <si>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</si>
  <si>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</si>
  <si>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</si>
  <si>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</si>
  <si>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</si>
  <si>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</si>
  <si>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</si>
  <si>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</si>
  <si>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</si>
  <si>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</si>
  <si>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</si>
  <si>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</si>
  <si>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</si>
  <si>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</si>
  <si>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</si>
  <si>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</si>
  <si>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</si>
  <si>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</si>
  <si>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</si>
  <si>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</si>
  <si>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</si>
  <si>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</si>
  <si>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</si>
  <si>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</si>
  <si>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</si>
  <si>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</si>
  <si>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</si>
  <si>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</si>
  <si>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</si>
  <si>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</si>
  <si>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</si>
  <si>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</si>
  <si>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</si>
  <si>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</si>
  <si>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</si>
  <si>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</si>
  <si>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</si>
  <si>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</si>
  <si>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</si>
  <si>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</si>
  <si>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</si>
  <si>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</si>
  <si>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</si>
  <si>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</si>
  <si>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</si>
  <si>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</si>
  <si>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</si>
  <si>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</si>
  <si>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</si>
  <si>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</si>
  <si>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</si>
  <si>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</si>
  <si>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</si>
  <si>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</si>
  <si>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</si>
  <si>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</si>
  <si>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</si>
  <si>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</si>
  <si>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</si>
  <si>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</si>
  <si>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</si>
  <si>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</si>
  <si>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</si>
  <si>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</si>
  <si>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</si>
  <si>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</si>
  <si>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</si>
  <si>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</si>
  <si>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</si>
  <si>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</si>
  <si>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</si>
  <si>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</si>
  <si>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</si>
  <si>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</si>
  <si>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</si>
  <si>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</si>
  <si>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</si>
  <si>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</si>
  <si>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</si>
  <si>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</si>
  <si>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</si>
  <si>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</si>
  <si>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</si>
  <si>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</si>
  <si>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</si>
  <si>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</si>
  <si>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</si>
  <si>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</si>
  <si>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</si>
  <si>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</si>
  <si>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</si>
  <si>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</si>
  <si>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</si>
  <si>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</si>
  <si>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</si>
  <si>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</si>
  <si>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</si>
  <si>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</si>
  <si>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</si>
  <si>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</si>
  <si>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</si>
  <si>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</si>
  <si>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</si>
  <si>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</si>
  <si>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</si>
  <si>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</si>
  <si>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</si>
  <si>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</si>
  <si>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</si>
  <si>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</si>
  <si>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</si>
  <si>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</si>
  <si>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</si>
  <si>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</si>
  <si>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</si>
  <si>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</si>
  <si>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</si>
  <si>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</si>
  <si>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</si>
  <si>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</si>
  <si>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</si>
  <si>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</si>
  <si>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</si>
  <si>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</si>
  <si>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</si>
  <si>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</si>
  <si>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</si>
  <si>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</si>
  <si>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</si>
  <si>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</si>
  <si>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</si>
  <si>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</si>
  <si>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</si>
  <si>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</si>
  <si>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</si>
  <si>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</si>
  <si>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</si>
  <si>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</si>
  <si>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</si>
  <si>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</si>
  <si>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</si>
  <si>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</si>
  <si>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</si>
  <si>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</si>
  <si>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</si>
  <si>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</si>
  <si>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</si>
  <si>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</si>
  <si>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</si>
  <si>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</si>
  <si>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</si>
  <si>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</si>
  <si>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</si>
  <si>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</si>
  <si>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</si>
  <si>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</si>
  <si>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</si>
  <si>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</si>
  <si>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</si>
  <si>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</si>
  <si>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</si>
  <si>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</si>
  <si>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</si>
  <si>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</si>
  <si>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</si>
  <si>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</si>
  <si>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</si>
  <si>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</si>
  <si>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</si>
  <si>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</si>
  <si>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</si>
  <si>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</si>
  <si>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</si>
  <si>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</si>
  <si>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</si>
  <si>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</si>
  <si>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</si>
  <si>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</si>
  <si>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</si>
  <si>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</si>
  <si>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</si>
  <si>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</si>
  <si>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</si>
  <si>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</si>
  <si>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</si>
  <si>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</si>
  <si>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</si>
  <si>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</si>
  <si>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</si>
  <si>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</si>
  <si>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</si>
  <si>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</si>
  <si>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</si>
  <si>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</si>
  <si>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</si>
  <si>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</si>
  <si>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</si>
  <si>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</si>
  <si>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</si>
  <si>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</si>
  <si>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</si>
  <si>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</si>
  <si>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</si>
  <si>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</si>
  <si>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</si>
  <si>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</si>
  <si>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</si>
  <si>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</si>
  <si>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</si>
  <si>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</si>
  <si>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</si>
  <si>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</si>
  <si>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</si>
  <si>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</si>
  <si>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</si>
  <si>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</si>
  <si>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</si>
  <si>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</si>
  <si>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</si>
  <si>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</si>
  <si>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</si>
  <si>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</si>
  <si>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</si>
  <si>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</si>
  <si>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</si>
  <si>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</si>
  <si>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</si>
  <si>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</si>
  <si>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</si>
  <si>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</si>
  <si>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</si>
  <si>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</si>
  <si>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</si>
  <si>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</si>
  <si>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</si>
  <si>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</si>
  <si>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</si>
  <si>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</si>
  <si>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</si>
  <si>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</si>
  <si>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</si>
  <si>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</si>
  <si>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</si>
  <si>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</si>
  <si>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</si>
  <si>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</si>
  <si>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</si>
  <si>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</si>
  <si>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</si>
  <si>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</si>
  <si>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</si>
  <si>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</si>
  <si>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</si>
  <si>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</si>
  <si>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</si>
  <si>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</si>
  <si>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</si>
  <si>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</si>
  <si>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</si>
  <si>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</si>
  <si>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</si>
  <si>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</si>
  <si>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</si>
  <si>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</si>
  <si>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</si>
  <si>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</si>
  <si>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</si>
  <si>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</si>
  <si>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</si>
  <si>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</si>
  <si>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</si>
  <si>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</si>
  <si>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</si>
  <si>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</si>
  <si>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</si>
  <si>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</si>
  <si>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</si>
  <si>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</si>
  <si>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</si>
  <si>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</si>
  <si>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</si>
  <si>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</si>
  <si>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</si>
  <si>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</si>
  <si>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</si>
  <si>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</si>
  <si>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</si>
  <si>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</si>
  <si>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</si>
  <si>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</si>
  <si>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</si>
  <si>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</si>
  <si>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</si>
  <si>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</si>
  <si>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</si>
  <si>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</si>
  <si>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</si>
  <si>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</si>
  <si>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</si>
  <si>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</si>
  <si>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</si>
  <si>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</si>
  <si>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</si>
  <si>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</si>
  <si>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</si>
  <si>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</si>
  <si>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</si>
  <si>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</si>
  <si>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</si>
  <si>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</si>
  <si>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</si>
  <si>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</si>
  <si>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</si>
  <si>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</si>
  <si>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</si>
  <si>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</si>
  <si>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</si>
  <si>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</si>
  <si>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</si>
  <si>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</si>
  <si>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</si>
  <si>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</si>
  <si>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</si>
  <si>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</si>
  <si>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</si>
  <si>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</si>
  <si>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</si>
  <si>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</si>
  <si>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</si>
  <si>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</si>
  <si>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</si>
  <si>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</si>
  <si>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</si>
  <si>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</si>
  <si>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</si>
  <si>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</si>
  <si>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</si>
  <si>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</si>
  <si>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</si>
  <si>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</si>
  <si>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</si>
  <si>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</si>
  <si>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</si>
  <si>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</si>
  <si>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</si>
  <si>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</si>
  <si>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</si>
  <si>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</si>
  <si>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</si>
  <si>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</si>
  <si>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</si>
  <si>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</si>
  <si>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</si>
  <si>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</si>
  <si>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</si>
  <si>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</si>
  <si>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</si>
  <si>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</si>
  <si>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</si>
  <si>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</si>
  <si>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</si>
  <si>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</si>
  <si>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</si>
  <si>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</si>
  <si>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</si>
  <si>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</si>
  <si>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</si>
  <si>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</si>
  <si>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</si>
  <si>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</si>
  <si>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</si>
  <si>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</si>
  <si>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</si>
  <si>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</si>
  <si>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</si>
  <si>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</si>
  <si>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</si>
  <si>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</si>
  <si>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</si>
  <si>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</si>
  <si>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</si>
  <si>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</si>
  <si>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</si>
  <si>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</si>
  <si>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</si>
  <si>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</si>
  <si>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</si>
  <si>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</si>
  <si>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</si>
  <si>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</si>
  <si>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</si>
  <si>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</si>
  <si>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</si>
  <si>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</si>
  <si>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</si>
  <si>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</si>
  <si>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</si>
  <si>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</si>
  <si>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</si>
  <si>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</si>
  <si>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</si>
  <si>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</si>
  <si>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</si>
  <si>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</si>
  <si>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</si>
  <si>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</si>
  <si>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</si>
  <si>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</si>
  <si>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</si>
  <si>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</si>
  <si>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</si>
  <si>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</si>
  <si>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</si>
  <si>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</si>
  <si>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</si>
  <si>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</si>
  <si>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</si>
  <si>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</si>
  <si>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</si>
  <si>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</si>
  <si>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</si>
  <si>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</si>
  <si>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</si>
  <si>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</si>
  <si>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</si>
  <si>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</si>
  <si>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</si>
  <si>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</si>
  <si>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</si>
  <si>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</si>
  <si>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</si>
  <si>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</si>
  <si>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</si>
  <si>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</si>
  <si>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</si>
  <si>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</si>
  <si>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</si>
  <si>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</si>
  <si>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</si>
  <si>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</si>
  <si>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</si>
  <si>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</si>
  <si>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</si>
  <si>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</si>
  <si>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</si>
  <si>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</si>
  <si>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</si>
  <si>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</si>
  <si>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</si>
  <si>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</si>
  <si>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</si>
  <si>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</si>
  <si>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</si>
  <si>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</si>
  <si>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</si>
  <si>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</si>
  <si>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</si>
  <si>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</si>
  <si>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</si>
  <si>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</si>
  <si>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</si>
  <si>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</si>
  <si>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</si>
  <si>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</si>
  <si>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</si>
  <si>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</si>
  <si>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</si>
  <si>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</si>
  <si>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</si>
  <si>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</si>
  <si>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</si>
  <si>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</si>
  <si>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</si>
  <si>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</si>
  <si>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</si>
  <si>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</si>
  <si>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</si>
  <si>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</si>
  <si>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</si>
  <si>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</si>
  <si>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</si>
  <si>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</si>
  <si>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</si>
  <si>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</si>
  <si>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</si>
  <si>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</si>
  <si>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</si>
  <si>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</si>
  <si>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</si>
  <si>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</si>
  <si>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</si>
  <si>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</si>
  <si>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</si>
  <si>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</si>
  <si>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</si>
  <si>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</si>
  <si>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</si>
  <si>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</si>
  <si>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</si>
  <si>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</si>
  <si>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</si>
  <si>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</si>
  <si>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</si>
  <si>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</si>
  <si>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</si>
  <si>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</si>
  <si>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</si>
  <si>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</si>
  <si>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</si>
  <si>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</si>
  <si>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</si>
  <si>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</si>
  <si>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</si>
  <si>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</si>
  <si>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</si>
  <si>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</si>
  <si>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</si>
  <si>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</si>
  <si>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</si>
  <si>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</si>
  <si>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</si>
  <si>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</si>
  <si>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</si>
  <si>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</si>
  <si>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</si>
  <si>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</si>
  <si>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</si>
  <si>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</si>
  <si>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</si>
  <si>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</si>
  <si>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</si>
  <si>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</si>
  <si>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</si>
  <si>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</si>
  <si>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</si>
  <si>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</si>
  <si>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</si>
  <si>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</si>
  <si>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</si>
  <si>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</si>
  <si>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</si>
  <si>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</si>
  <si>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</si>
  <si>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</si>
  <si>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</si>
  <si>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</si>
  <si>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</si>
  <si>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</si>
  <si>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</si>
  <si>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</si>
  <si>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</si>
  <si>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</si>
  <si>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</si>
  <si>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</si>
  <si>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</si>
  <si>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</si>
  <si>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</si>
  <si>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</si>
  <si>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</si>
  <si>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</si>
  <si>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</si>
  <si>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</si>
  <si>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</si>
  <si>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</si>
  <si>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</si>
  <si>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</si>
  <si>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</si>
  <si>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</si>
  <si>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</si>
  <si>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</si>
  <si>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</si>
  <si>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</si>
  <si>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</si>
  <si>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</si>
  <si>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</si>
  <si>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</si>
  <si>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</si>
  <si>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</si>
  <si>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</si>
  <si>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</si>
  <si>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</si>
  <si>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</si>
  <si>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</si>
  <si>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</si>
  <si>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</si>
  <si>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</si>
  <si>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</si>
  <si>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</si>
  <si>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</si>
  <si>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</si>
  <si>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</si>
  <si>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</si>
  <si>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</si>
  <si>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</si>
  <si>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</si>
  <si>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</si>
  <si>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</si>
  <si>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</si>
  <si>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</si>
  <si>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</si>
  <si>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</si>
  <si>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</si>
  <si>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</si>
  <si>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</si>
  <si>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</si>
  <si>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</si>
  <si>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</si>
  <si>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</si>
  <si>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</si>
  <si>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</si>
  <si>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</si>
  <si>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</si>
  <si>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</si>
  <si>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</si>
  <si>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</si>
  <si>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</si>
  <si>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</si>
  <si>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</si>
  <si>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</si>
  <si>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</si>
  <si>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</si>
  <si>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</si>
  <si>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</si>
  <si>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</si>
  <si>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</si>
  <si>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</si>
  <si>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</si>
  <si>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</si>
  <si>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</si>
  <si>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</si>
  <si>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</si>
  <si>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</si>
  <si>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</si>
  <si>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</si>
  <si>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</si>
  <si>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</si>
  <si>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</si>
  <si>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</si>
  <si>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</si>
  <si>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</si>
  <si>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</si>
  <si>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</si>
  <si>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</si>
  <si>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</si>
  <si>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</si>
  <si>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</si>
  <si>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</si>
  <si>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</si>
  <si>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</si>
  <si>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</si>
  <si>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</si>
  <si>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</si>
  <si>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</si>
  <si>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</si>
  <si>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</si>
  <si>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</si>
  <si>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</si>
  <si>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</si>
  <si>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</si>
  <si>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</si>
  <si>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</si>
  <si>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</si>
  <si>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</si>
  <si>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</si>
  <si>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</si>
  <si>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</si>
  <si>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</si>
  <si>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</si>
  <si>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</si>
  <si>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</si>
  <si>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</si>
  <si>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</si>
  <si>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</si>
  <si>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</si>
  <si>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</si>
  <si>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</si>
  <si>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</si>
  <si>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</si>
  <si>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</si>
  <si>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</si>
  <si>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</si>
  <si>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</si>
  <si>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</si>
  <si>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</si>
  <si>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</si>
  <si>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</si>
  <si>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</si>
  <si>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</si>
  <si>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</si>
  <si>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</si>
  <si>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</si>
  <si>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</si>
  <si>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</si>
  <si>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</si>
  <si>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</si>
  <si>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</si>
  <si>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</si>
  <si>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</si>
  <si>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</si>
  <si>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</si>
  <si>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</si>
  <si>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</si>
  <si>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</si>
  <si>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</si>
  <si>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</si>
  <si>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</si>
  <si>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</si>
  <si>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</si>
  <si>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</si>
  <si>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</si>
  <si>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</si>
  <si>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</si>
  <si>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</si>
  <si>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</si>
  <si>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</si>
  <si>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</si>
  <si>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</si>
  <si>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</si>
  <si>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</si>
  <si>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</si>
  <si>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</si>
  <si>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</si>
  <si>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</si>
  <si>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</si>
  <si>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</si>
  <si>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</si>
  <si>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</si>
  <si>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</si>
  <si>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</si>
  <si>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</si>
  <si>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</si>
  <si>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</si>
  <si>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</si>
  <si>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</si>
  <si>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</si>
  <si>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</si>
  <si>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</si>
  <si>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</si>
  <si>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</si>
  <si>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</si>
  <si>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</si>
  <si>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</si>
  <si>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</si>
  <si>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</si>
  <si>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</si>
  <si>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</si>
  <si>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</si>
  <si>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</si>
  <si>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</si>
  <si>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</si>
  <si>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</si>
  <si>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</si>
  <si>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</si>
  <si>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</si>
  <si>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</si>
  <si>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</si>
  <si>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</si>
  <si>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</si>
  <si>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</si>
  <si>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</si>
  <si>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</si>
  <si>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</si>
  <si>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</si>
  <si>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</si>
  <si>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</si>
  <si>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</si>
  <si>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</si>
  <si>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</si>
  <si>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</si>
  <si>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</si>
  <si>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</si>
  <si>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</si>
  <si>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</si>
  <si>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</si>
  <si>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</si>
  <si>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</si>
  <si>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</si>
  <si>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</si>
  <si>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</si>
  <si>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</si>
  <si>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</si>
  <si>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</si>
  <si>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</si>
  <si>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</si>
  <si>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</si>
  <si>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</si>
  <si>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</si>
  <si>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</si>
  <si>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</si>
  <si>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</si>
  <si>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</si>
  <si>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</si>
  <si>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</si>
  <si>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</si>
  <si>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</si>
  <si>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</si>
  <si>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</si>
  <si>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</si>
  <si>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</si>
  <si>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</si>
  <si>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</si>
  <si>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</si>
  <si>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</si>
  <si>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</si>
  <si>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</si>
  <si>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</si>
  <si>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</si>
  <si>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</si>
  <si>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</si>
  <si>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</si>
  <si>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</si>
  <si>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</si>
  <si>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</si>
  <si>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</si>
  <si>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</si>
  <si>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</si>
  <si>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</si>
  <si>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</si>
  <si>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</si>
  <si>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</si>
  <si>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</si>
  <si>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</si>
  <si>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</si>
  <si>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</si>
  <si>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</si>
  <si>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</si>
  <si>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</si>
  <si>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</si>
  <si>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</si>
  <si>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</si>
  <si>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</si>
  <si>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</si>
  <si>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</si>
  <si>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</si>
  <si>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</si>
  <si>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</si>
  <si>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</si>
  <si>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</si>
  <si>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</si>
  <si>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</si>
  <si>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</si>
  <si>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</si>
  <si>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</si>
  <si>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</si>
  <si>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</si>
  <si>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</si>
  <si>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</si>
  <si>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</si>
  <si>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</si>
  <si>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</si>
  <si>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</si>
  <si>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</si>
  <si>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</si>
  <si>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</si>
  <si>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</si>
  <si>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</si>
  <si>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</si>
  <si>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</si>
  <si>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</si>
  <si>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</si>
  <si>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</si>
  <si>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</si>
  <si>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</si>
  <si>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</si>
  <si>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</si>
  <si>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</si>
  <si>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</si>
  <si>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</si>
  <si>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</si>
  <si>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</si>
  <si>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</si>
  <si>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</si>
  <si>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</si>
  <si>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</si>
  <si>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</si>
  <si>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</si>
  <si>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</si>
  <si>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</si>
  <si>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</si>
  <si>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</si>
  <si>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</si>
  <si>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</si>
  <si>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</si>
  <si>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</si>
  <si>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</si>
  <si>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</si>
  <si>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</si>
  <si>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</si>
  <si>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</si>
  <si>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</si>
  <si>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</si>
  <si>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</si>
  <si>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</si>
  <si>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</si>
  <si>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</si>
  <si>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</si>
  <si>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</si>
  <si>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</si>
  <si>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</si>
  <si>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</si>
  <si>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</si>
  <si>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</si>
  <si>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</si>
  <si>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</si>
  <si>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</si>
  <si>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</si>
  <si>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</si>
  <si>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</si>
  <si>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</si>
  <si>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</si>
  <si>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</si>
  <si>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</si>
  <si>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</si>
  <si>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</si>
  <si>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</si>
  <si>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</si>
  <si>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</si>
  <si>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</si>
  <si>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</si>
  <si>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</si>
  <si>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</si>
  <si>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</si>
  <si>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</si>
  <si>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</si>
  <si>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</si>
  <si>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</si>
  <si>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</si>
  <si>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</si>
  <si>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</si>
  <si>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</si>
  <si>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</si>
  <si>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</si>
  <si>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</si>
  <si>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</si>
  <si>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</si>
  <si>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</si>
  <si>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</si>
  <si>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</si>
  <si>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</si>
  <si>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</si>
  <si>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</si>
  <si>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</si>
  <si>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</si>
  <si>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</si>
  <si>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</si>
  <si>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</si>
  <si>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</si>
  <si>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</si>
  <si>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</si>
  <si>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</si>
  <si>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</si>
  <si>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</si>
  <si>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</si>
  <si>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</si>
  <si>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</si>
  <si>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</si>
  <si>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</si>
  <si>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</si>
  <si>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</si>
  <si>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</si>
  <si>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</si>
  <si>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</si>
  <si>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</si>
  <si>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</si>
  <si>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</si>
  <si>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</si>
  <si>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</si>
  <si>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</si>
  <si>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</si>
  <si>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</si>
  <si>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</si>
  <si>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</si>
  <si>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</si>
  <si>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</si>
  <si>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</si>
  <si>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</si>
  <si>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</si>
  <si>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</si>
  <si>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</si>
  <si>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</si>
  <si>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</si>
  <si>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</si>
  <si>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</si>
  <si>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</si>
  <si>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</si>
  <si>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</si>
  <si>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</si>
  <si>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</si>
  <si>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</si>
  <si>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</si>
  <si>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</si>
  <si>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</si>
  <si>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</si>
  <si>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</si>
  <si>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</si>
  <si>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</si>
  <si>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</si>
  <si>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</si>
  <si>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</si>
  <si>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</si>
  <si>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</si>
  <si>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</si>
  <si>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</si>
  <si>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</si>
  <si>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</si>
  <si>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</si>
  <si>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</si>
  <si>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</si>
  <si>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</si>
  <si>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</si>
  <si>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</si>
  <si>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</si>
  <si>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</si>
  <si>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</si>
  <si>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</si>
  <si>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</si>
  <si>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</si>
  <si>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</si>
  <si>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</si>
  <si>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</si>
  <si>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</si>
  <si>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</si>
  <si>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</si>
  <si>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</si>
  <si>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</si>
  <si>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</si>
  <si>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</si>
  <si>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</si>
  <si>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</si>
  <si>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</si>
  <si>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</si>
  <si>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</si>
  <si>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</si>
  <si>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</si>
  <si>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</si>
  <si>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</si>
  <si>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</si>
  <si>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</si>
  <si>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</si>
  <si>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</si>
  <si>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</si>
  <si>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</si>
  <si>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</si>
  <si>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</si>
  <si>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</si>
  <si>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</si>
  <si>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</si>
  <si>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</si>
  <si>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</si>
  <si>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</si>
  <si>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</si>
  <si>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</si>
  <si>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</si>
  <si>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</si>
  <si>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</si>
  <si>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</si>
  <si>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</si>
  <si>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</si>
  <si>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</si>
  <si>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</si>
  <si>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</si>
  <si>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</si>
  <si>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</si>
  <si>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</si>
  <si>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</si>
  <si>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</si>
  <si>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</si>
  <si>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</si>
  <si>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</si>
  <si>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</si>
  <si>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</si>
  <si>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</si>
  <si>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</si>
  <si>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</si>
  <si>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</si>
  <si>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</si>
  <si>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</si>
  <si>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</si>
  <si>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</si>
  <si>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</si>
  <si>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</si>
  <si>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</si>
  <si>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</si>
  <si>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</si>
  <si>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</si>
  <si>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</si>
  <si>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</si>
  <si>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</si>
  <si>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</si>
  <si>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</si>
  <si>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</si>
  <si>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</si>
  <si>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</si>
  <si>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</si>
  <si>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</si>
  <si>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</si>
  <si>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</si>
  <si>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</si>
  <si>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</si>
  <si>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</si>
  <si>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</si>
  <si>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</si>
  <si>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</si>
  <si>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</si>
  <si>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</si>
  <si>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</si>
  <si>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</si>
  <si>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</si>
  <si>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</si>
  <si>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</si>
  <si>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</si>
  <si>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</si>
  <si>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</si>
  <si>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</si>
  <si>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</si>
  <si>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</si>
  <si>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</si>
  <si>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</si>
  <si>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</si>
  <si>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</si>
  <si>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</si>
  <si>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</si>
  <si>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</si>
  <si>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</si>
  <si>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</si>
  <si>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</si>
  <si>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</si>
  <si>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</si>
  <si>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</si>
  <si>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</si>
  <si>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</si>
  <si>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</si>
  <si>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</si>
  <si>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</si>
  <si>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</si>
  <si>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</si>
  <si>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</si>
  <si>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</si>
  <si>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</si>
  <si>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</si>
  <si>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</si>
  <si>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</si>
  <si>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</si>
  <si>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</si>
  <si>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</si>
  <si>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</si>
  <si>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</si>
  <si>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</si>
  <si>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</si>
  <si>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</si>
  <si>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</si>
  <si>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</si>
  <si>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</si>
  <si>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</si>
  <si>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</si>
  <si>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</si>
  <si>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</si>
  <si>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</si>
  <si>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</si>
  <si>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</si>
  <si>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</si>
  <si>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</si>
  <si>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</si>
  <si>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</si>
  <si>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</si>
  <si>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</si>
  <si>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</si>
  <si>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</si>
  <si>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</si>
  <si>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</si>
  <si>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</si>
  <si>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</si>
  <si>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</si>
  <si>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</si>
  <si>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</si>
  <si>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</si>
  <si>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</si>
  <si>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</si>
  <si>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</si>
  <si>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</si>
  <si>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</si>
  <si>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</si>
  <si>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</si>
  <si>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</si>
  <si>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</si>
  <si>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</si>
  <si>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</si>
  <si>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</si>
  <si>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</si>
  <si>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</si>
  <si>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</si>
  <si>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</si>
  <si>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</si>
  <si>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</si>
  <si>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</si>
  <si>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</si>
  <si>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</si>
  <si>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</si>
  <si>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</si>
  <si>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</si>
  <si>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</si>
  <si>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</si>
  <si>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</si>
  <si>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</si>
  <si>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</si>
  <si>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</si>
  <si>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</si>
  <si>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</si>
  <si>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</si>
  <si>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</si>
  <si>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</si>
  <si>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</si>
  <si>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</si>
  <si>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</si>
  <si>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</si>
  <si>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</si>
  <si>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</si>
  <si>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</si>
  <si>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</si>
  <si>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</si>
  <si>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</si>
  <si>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</si>
  <si>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</si>
  <si>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</si>
  <si>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</si>
  <si>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</si>
  <si>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</si>
  <si>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</si>
  <si>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</si>
  <si>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</si>
  <si>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</si>
  <si>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</si>
  <si>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</si>
  <si>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</si>
  <si>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</si>
  <si>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</si>
  <si>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</si>
  <si>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</si>
  <si>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</si>
  <si>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</si>
  <si>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</si>
  <si>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</si>
  <si>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</si>
  <si>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</si>
  <si>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</si>
  <si>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</si>
  <si>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</si>
  <si>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</si>
  <si>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</si>
  <si>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</si>
  <si>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</si>
  <si>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</si>
  <si>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</si>
  <si>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</si>
  <si>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</si>
  <si>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</si>
  <si>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</si>
  <si>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</si>
  <si>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</si>
  <si>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</si>
  <si>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</si>
  <si>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</si>
  <si>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</si>
  <si>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</si>
  <si>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</si>
  <si>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</si>
  <si>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</si>
  <si>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</si>
  <si>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</si>
  <si>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</si>
  <si>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</si>
  <si>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</si>
  <si>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</si>
  <si>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</si>
  <si>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</si>
  <si>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</si>
  <si>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</si>
  <si>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</si>
  <si>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</si>
  <si>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</si>
  <si>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</si>
  <si>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</si>
  <si>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</si>
  <si>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</si>
  <si>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</si>
  <si>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</si>
  <si>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</si>
  <si>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</si>
  <si>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</si>
  <si>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</si>
  <si>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</si>
  <si>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</si>
  <si>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</si>
  <si>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</si>
  <si>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</si>
  <si>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</si>
  <si>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</si>
  <si>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</si>
  <si>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</si>
  <si>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</si>
  <si>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</si>
  <si>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</si>
  <si>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</si>
  <si>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</si>
  <si>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</si>
  <si>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</si>
  <si>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</si>
  <si>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</si>
  <si>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</si>
  <si>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</si>
  <si>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</si>
  <si>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</si>
  <si>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</si>
  <si>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</si>
  <si>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</si>
  <si>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</si>
  <si>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</si>
  <si>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</si>
  <si>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</si>
  <si>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</si>
  <si>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</si>
  <si>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</si>
  <si>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</si>
  <si>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</si>
  <si>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</si>
  <si>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</si>
  <si>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</si>
  <si>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</si>
  <si>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</si>
  <si>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</si>
  <si>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</si>
  <si>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</si>
  <si>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</si>
  <si>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</si>
  <si>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</si>
  <si>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</si>
  <si>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</si>
  <si>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</si>
  <si>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</si>
  <si>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</si>
  <si>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</si>
  <si>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</si>
  <si>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</si>
  <si>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</si>
  <si>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</si>
  <si>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</si>
  <si>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</si>
  <si>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</si>
  <si>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</si>
  <si>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</si>
  <si>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</si>
  <si>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</si>
  <si>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</si>
  <si>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</si>
  <si>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</si>
  <si>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</si>
  <si>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</si>
  <si>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</si>
  <si>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</si>
  <si>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</si>
  <si>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</si>
  <si>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</si>
  <si>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</si>
  <si>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</si>
  <si>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</si>
  <si>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</si>
  <si>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</si>
  <si>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</si>
  <si>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</si>
  <si>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</si>
  <si>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</si>
  <si>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</si>
  <si>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</si>
  <si>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</si>
  <si>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</si>
  <si>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</si>
  <si>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</si>
  <si>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</si>
  <si>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</si>
  <si>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</si>
  <si>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</si>
  <si>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</si>
  <si>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</si>
  <si>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</si>
  <si>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</si>
  <si>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</si>
  <si>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</si>
  <si>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</si>
  <si>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</si>
  <si>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</si>
  <si>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</si>
  <si>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</si>
  <si>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</si>
  <si>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</si>
  <si>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</si>
  <si>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</si>
  <si>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</si>
  <si>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</si>
  <si>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</si>
  <si>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</si>
  <si>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</si>
  <si>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</si>
  <si>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</si>
  <si>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</si>
  <si>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</si>
  <si>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</si>
  <si>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</si>
  <si>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</si>
  <si>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</si>
  <si>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</si>
  <si>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</si>
  <si>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</si>
  <si>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</si>
  <si>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</si>
  <si>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</si>
  <si>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</si>
  <si>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</si>
  <si>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</si>
  <si>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</si>
  <si>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</si>
  <si>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</si>
  <si>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</si>
  <si>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</si>
  <si>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</si>
  <si>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</si>
  <si>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</si>
  <si>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</si>
  <si>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</si>
  <si>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</si>
  <si>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</si>
  <si>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</si>
  <si>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</si>
  <si>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</si>
  <si>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</si>
  <si>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</si>
  <si>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</si>
  <si>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</si>
  <si>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</si>
  <si>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</si>
  <si>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</si>
  <si>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</si>
  <si>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</si>
  <si>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</si>
  <si>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</si>
  <si>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</si>
  <si>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</si>
  <si>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</si>
  <si>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</si>
  <si>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</si>
  <si>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</si>
  <si>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</si>
  <si>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</si>
  <si>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</si>
  <si>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</si>
  <si>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</si>
  <si>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</si>
  <si>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</si>
  <si>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</si>
  <si>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</si>
  <si>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</si>
  <si>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</si>
  <si>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</si>
  <si>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</si>
  <si>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</si>
  <si>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</si>
  <si>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</si>
  <si>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</si>
  <si>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</si>
  <si>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</si>
  <si>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</si>
  <si>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</si>
  <si>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</si>
  <si>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</si>
  <si>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</si>
  <si>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</si>
  <si>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</si>
  <si>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</si>
  <si>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</si>
  <si>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</si>
  <si>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</si>
  <si>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</si>
  <si>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</si>
  <si>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</si>
  <si>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</si>
  <si>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</si>
  <si>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</si>
  <si>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</si>
  <si>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</si>
  <si>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</si>
  <si>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</si>
  <si>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</si>
  <si>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</si>
  <si>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</si>
  <si>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</si>
  <si>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</si>
  <si>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</si>
  <si>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</si>
  <si>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</si>
  <si>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</si>
  <si>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</si>
  <si>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</si>
  <si>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</si>
  <si>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</si>
  <si>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</si>
  <si>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</si>
  <si>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</si>
  <si>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</si>
  <si>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</si>
  <si>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</si>
  <si>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</si>
  <si>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</si>
  <si>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</si>
  <si>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</si>
  <si>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</si>
  <si>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</si>
  <si>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</si>
  <si>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</si>
  <si>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</si>
  <si>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</si>
  <si>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</si>
  <si>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</si>
  <si>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</si>
  <si>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</si>
  <si>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</si>
  <si>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</si>
  <si>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</si>
  <si>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</si>
  <si>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</si>
  <si>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</si>
  <si>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</si>
  <si>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</si>
  <si>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</si>
  <si>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</si>
  <si>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</si>
  <si>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</si>
  <si>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</si>
  <si>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</si>
  <si>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</si>
  <si>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</si>
  <si>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</si>
  <si>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</si>
  <si>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</si>
  <si>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</si>
  <si>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</si>
  <si>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</si>
  <si>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</si>
  <si>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</si>
  <si>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</si>
  <si>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</si>
  <si>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</si>
  <si>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</si>
  <si>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</si>
  <si>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</si>
  <si>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</si>
  <si>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</si>
  <si>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</si>
  <si>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</si>
  <si>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</si>
  <si>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</si>
  <si>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</si>
  <si>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</si>
  <si>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</si>
  <si>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</si>
  <si>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</si>
  <si>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</si>
  <si>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</si>
  <si>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</si>
  <si>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</si>
  <si>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</si>
  <si>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</si>
  <si>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</si>
  <si>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</si>
  <si>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</si>
  <si>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</si>
  <si>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</si>
  <si>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</si>
  <si>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</si>
  <si>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</si>
  <si>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</si>
  <si>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</si>
  <si>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</si>
  <si>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</si>
  <si>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</si>
  <si>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</si>
  <si>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</si>
  <si>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</si>
  <si>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</si>
  <si>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</si>
  <si>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</si>
  <si>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</si>
  <si>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</si>
  <si>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</si>
  <si>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</si>
  <si>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</si>
  <si>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</si>
  <si>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</si>
  <si>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</si>
  <si>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</si>
  <si>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</si>
  <si>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</si>
  <si>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</si>
  <si>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</si>
  <si>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</si>
  <si>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</si>
  <si>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</si>
  <si>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</si>
  <si>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</si>
  <si>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</si>
  <si>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</si>
  <si>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</si>
  <si>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</si>
  <si>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</si>
  <si>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</si>
  <si>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</si>
  <si>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</si>
  <si>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</si>
  <si>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</si>
  <si>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</si>
  <si>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</si>
  <si>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</si>
  <si>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</si>
  <si>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</si>
  <si>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</si>
  <si>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</si>
  <si>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</si>
  <si>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</si>
  <si>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</si>
  <si>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</si>
  <si>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</si>
  <si>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</si>
  <si>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</si>
  <si>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</si>
  <si>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</si>
  <si>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</si>
  <si>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</si>
  <si>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</si>
  <si>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</si>
  <si>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</si>
  <si>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</si>
  <si>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</si>
  <si>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</si>
  <si>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</si>
  <si>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</si>
  <si>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</si>
  <si>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</si>
  <si>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</si>
  <si>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</si>
  <si>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</si>
  <si>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</si>
  <si>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</si>
  <si>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</si>
  <si>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</si>
  <si>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</si>
  <si>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</si>
  <si>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</si>
  <si>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</si>
  <si>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</si>
  <si>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</si>
  <si>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</si>
  <si>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</si>
  <si>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</si>
  <si>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</si>
  <si>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</si>
  <si>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</si>
  <si>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</si>
  <si>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</si>
  <si>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</si>
  <si>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</si>
  <si>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</si>
  <si>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</si>
  <si>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</si>
  <si>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</si>
  <si>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</si>
  <si>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</si>
  <si>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</si>
  <si>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</si>
  <si>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</si>
  <si>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</si>
  <si>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</si>
  <si>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</si>
  <si>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</si>
  <si>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</si>
  <si>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</si>
  <si>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</si>
  <si>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</si>
  <si>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</si>
  <si>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</si>
  <si>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</si>
  <si>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</si>
  <si>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</si>
  <si>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</si>
  <si>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</si>
  <si>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</si>
  <si>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</si>
  <si>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</si>
  <si>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</si>
  <si>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</si>
  <si>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</si>
  <si>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</si>
  <si>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</si>
  <si>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</si>
  <si>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</si>
  <si>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</si>
  <si>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</si>
  <si>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</si>
  <si>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</si>
  <si>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</si>
  <si>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</si>
  <si>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</si>
  <si>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</si>
  <si>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</si>
  <si>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</si>
  <si>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</si>
  <si>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</si>
  <si>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</si>
  <si>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</si>
  <si>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</si>
  <si>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</si>
  <si>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</si>
  <si>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</si>
  <si>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</si>
  <si>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</si>
  <si>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</si>
  <si>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</si>
  <si>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</si>
  <si>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</si>
  <si>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</si>
  <si>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</si>
  <si>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</si>
  <si>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</si>
  <si>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</si>
  <si>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</si>
  <si>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</si>
  <si>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</si>
  <si>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</si>
  <si>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</si>
  <si>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</si>
  <si>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</si>
  <si>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</si>
  <si>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</si>
  <si>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</si>
  <si>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</si>
  <si>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</si>
  <si>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</si>
  <si>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</si>
  <si>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</si>
  <si>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</si>
  <si>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</si>
  <si>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</si>
  <si>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</si>
  <si>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</si>
  <si>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</si>
  <si>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</si>
  <si>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</si>
  <si>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</si>
  <si>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</si>
  <si>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</si>
  <si>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</si>
  <si>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</si>
  <si>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</si>
  <si>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</si>
  <si>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</si>
  <si>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</si>
  <si>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</si>
  <si>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</si>
  <si>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</si>
  <si>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</si>
  <si>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</si>
  <si>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</si>
  <si>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</si>
  <si>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</si>
  <si>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</si>
  <si>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</si>
  <si>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</si>
  <si>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</si>
  <si>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</si>
  <si>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</si>
  <si>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</si>
  <si>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</si>
  <si>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</si>
  <si>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</si>
  <si>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</si>
  <si>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</si>
  <si>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</si>
  <si>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</si>
  <si>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</si>
  <si>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</si>
  <si>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</si>
  <si>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</si>
  <si>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</si>
  <si>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</si>
  <si>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</si>
  <si>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</si>
  <si>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</si>
  <si>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</si>
  <si>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</si>
  <si>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</si>
  <si>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</si>
  <si>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</si>
  <si>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</si>
  <si>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</si>
  <si>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</si>
  <si>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</si>
  <si>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</si>
  <si>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</si>
  <si>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</si>
  <si>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</si>
  <si>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</si>
  <si>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</si>
  <si>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</si>
  <si>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</si>
  <si>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</si>
  <si>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</si>
  <si>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</si>
  <si>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</si>
  <si>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</si>
  <si>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</si>
  <si>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</si>
  <si>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</si>
  <si>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</si>
  <si>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</si>
  <si>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</si>
  <si>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</si>
  <si>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</si>
  <si>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</si>
  <si>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</si>
  <si>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</si>
  <si>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</si>
  <si>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</si>
  <si>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</si>
  <si>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</si>
  <si>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</si>
  <si>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</si>
  <si>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</si>
  <si>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</si>
  <si>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</si>
  <si>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</si>
  <si>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</si>
  <si>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</si>
  <si>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</si>
  <si>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</si>
  <si>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</si>
  <si>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</si>
  <si>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</si>
  <si>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</si>
  <si>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</si>
  <si>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</si>
  <si>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</si>
  <si>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</si>
  <si>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</si>
  <si>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</si>
  <si>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</si>
  <si>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</si>
  <si>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</si>
  <si>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</si>
  <si>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</si>
  <si>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</si>
  <si>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</si>
  <si>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</si>
  <si>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</si>
  <si>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</si>
  <si>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</si>
  <si>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</si>
  <si>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</si>
  <si>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</si>
  <si>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</si>
  <si>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</si>
  <si>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</si>
  <si>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</si>
  <si>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</si>
  <si>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</si>
  <si>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</si>
  <si>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</si>
  <si>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</si>
  <si>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</si>
  <si>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</si>
  <si>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</si>
  <si>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</si>
  <si>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</si>
  <si>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</si>
  <si>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</si>
  <si>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</si>
  <si>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</si>
  <si>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</si>
  <si>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</si>
  <si>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</si>
  <si>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</si>
  <si>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</si>
  <si>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</si>
  <si>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</si>
  <si>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</si>
  <si>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</si>
  <si>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</si>
  <si>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</si>
  <si>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</si>
  <si>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</si>
  <si>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</si>
  <si>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</si>
  <si>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</si>
  <si>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</si>
  <si>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</si>
  <si>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</si>
  <si>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</si>
  <si>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</si>
  <si>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</si>
  <si>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</si>
  <si>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</si>
  <si>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</si>
  <si>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</si>
  <si>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</si>
  <si>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</si>
  <si>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</si>
  <si>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</si>
  <si>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</si>
  <si>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</si>
  <si>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</si>
  <si>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</si>
  <si>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</si>
  <si>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</si>
  <si>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</si>
  <si>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</si>
  <si>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</si>
  <si>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</si>
  <si>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</si>
  <si>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</si>
  <si>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</si>
  <si>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</si>
  <si>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</si>
  <si>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</si>
  <si>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</si>
  <si>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</si>
  <si>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</si>
  <si>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</si>
  <si>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</si>
  <si>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</si>
  <si>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</si>
  <si>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</si>
  <si>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</si>
  <si>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</si>
  <si>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</si>
  <si>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</si>
  <si>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</si>
  <si>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</si>
  <si>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</si>
  <si>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</si>
  <si>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</si>
  <si>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</si>
  <si>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</si>
  <si>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</si>
  <si>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</si>
  <si>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</si>
  <si>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</si>
  <si>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</si>
  <si>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</si>
  <si>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</si>
  <si>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</si>
  <si>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</si>
  <si>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</si>
  <si>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</si>
  <si>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</si>
  <si>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</si>
  <si>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</si>
  <si>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</si>
  <si>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</si>
  <si>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</si>
  <si>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</si>
  <si>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</si>
  <si>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</si>
  <si>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</si>
  <si>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</si>
  <si>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</si>
  <si>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</si>
  <si>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</si>
  <si>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</si>
  <si>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</si>
  <si>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</si>
  <si>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</si>
  <si>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</si>
  <si>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</si>
  <si>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</si>
  <si>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</si>
  <si>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</si>
  <si>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</si>
  <si>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</si>
  <si>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</si>
  <si>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</si>
  <si>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</si>
  <si>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</si>
  <si>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</si>
  <si>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</si>
  <si>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</si>
  <si>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</si>
  <si>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</si>
  <si>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</si>
  <si>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</si>
  <si>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</si>
  <si>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</si>
  <si>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</si>
  <si>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</si>
  <si>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</si>
  <si>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</si>
  <si>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</si>
  <si>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</si>
  <si>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</si>
  <si>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</si>
  <si>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</si>
  <si>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</si>
  <si>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</si>
  <si>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</si>
  <si>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</si>
  <si>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</si>
  <si>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</si>
  <si>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</si>
  <si>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</si>
  <si>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</si>
  <si>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</si>
  <si>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</si>
  <si>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</si>
  <si>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</si>
  <si>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</si>
  <si>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</si>
  <si>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</si>
  <si>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</si>
  <si>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</si>
  <si>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</si>
  <si>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</si>
  <si>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</si>
  <si>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</si>
  <si>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</si>
  <si>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</si>
  <si>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</si>
  <si>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</si>
  <si>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</si>
  <si>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</si>
  <si>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</si>
  <si>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</si>
  <si>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</si>
  <si>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</si>
  <si>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</si>
  <si>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</si>
  <si>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</si>
  <si>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</si>
  <si>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</si>
  <si>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</si>
  <si>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</si>
  <si>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</si>
  <si>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</si>
  <si>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</si>
  <si>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</si>
  <si>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</si>
  <si>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</si>
  <si>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</si>
  <si>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</si>
  <si>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</si>
  <si>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</si>
  <si>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</si>
  <si>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</si>
  <si>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</si>
  <si>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</si>
  <si>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</si>
  <si>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</si>
  <si>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</si>
  <si>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</si>
  <si>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</si>
  <si>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</si>
  <si>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</si>
  <si>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</si>
  <si>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</si>
  <si>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</si>
  <si>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</si>
  <si>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</si>
  <si>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</si>
  <si>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</si>
  <si>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</si>
  <si>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</si>
  <si>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</si>
  <si>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</si>
  <si>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</si>
  <si>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</si>
  <si>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</si>
  <si>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</si>
  <si>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</si>
  <si>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</si>
  <si>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</si>
  <si>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</si>
  <si>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</si>
  <si>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</si>
  <si>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</si>
  <si>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</si>
  <si>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</si>
  <si>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</si>
  <si>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</si>
  <si>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</si>
  <si>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</si>
  <si>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</si>
  <si>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</si>
  <si>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</si>
  <si>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</si>
  <si>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</si>
  <si>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</si>
  <si>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</si>
  <si>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</si>
  <si>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</si>
  <si>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</si>
  <si>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</si>
  <si>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</si>
  <si>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</si>
  <si>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</si>
  <si>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</si>
  <si>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</si>
  <si>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</si>
  <si>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</si>
  <si>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</si>
  <si>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</si>
  <si>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</si>
  <si>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</si>
  <si>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</si>
  <si>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</si>
  <si>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</si>
  <si>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</si>
  <si>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</si>
  <si>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</si>
  <si>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</si>
  <si>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</si>
  <si>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</si>
  <si>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</si>
  <si>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</si>
  <si>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</si>
  <si>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</si>
  <si>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</si>
  <si>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</si>
  <si>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</si>
  <si>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</si>
  <si>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</si>
  <si>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</si>
  <si>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</si>
  <si>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</si>
  <si>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</si>
  <si>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</si>
  <si>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</si>
  <si>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</si>
  <si>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</si>
  <si>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</si>
  <si>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</si>
  <si>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</si>
  <si>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</si>
  <si>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</si>
  <si>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</si>
  <si>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</si>
  <si>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</si>
  <si>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</si>
  <si>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</si>
  <si>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</si>
  <si>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</si>
  <si>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</si>
  <si>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</si>
  <si>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</si>
  <si>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</si>
  <si>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</si>
  <si>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</si>
  <si>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</si>
  <si>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</si>
  <si>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</si>
  <si>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</si>
  <si>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</si>
  <si>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</si>
  <si>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</si>
  <si>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</si>
  <si>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</si>
  <si>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</si>
  <si>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</si>
  <si>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</si>
  <si>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</si>
  <si>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</si>
  <si>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</si>
  <si>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</si>
  <si>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</si>
  <si>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</si>
  <si>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</si>
  <si>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</si>
  <si>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</si>
  <si>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</si>
  <si>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</si>
  <si>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</si>
  <si>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</si>
  <si>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</si>
  <si>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</si>
  <si>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</si>
  <si>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</si>
  <si>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</si>
  <si>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</si>
  <si>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</si>
  <si>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</si>
  <si>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</si>
  <si>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</si>
  <si>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</si>
  <si>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</si>
  <si>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</si>
  <si>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</si>
  <si>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</si>
  <si>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</si>
  <si>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</si>
  <si>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</si>
  <si>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</si>
  <si>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</si>
  <si>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</si>
  <si>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</si>
  <si>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</si>
  <si>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</si>
  <si>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</si>
  <si>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</si>
  <si>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</si>
  <si>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</si>
  <si>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</si>
  <si>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</si>
  <si>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</si>
  <si>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</si>
  <si>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</si>
  <si>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</si>
  <si>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</si>
  <si>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</si>
  <si>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</si>
  <si>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</si>
  <si>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</si>
  <si>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</si>
  <si>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</si>
  <si>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</si>
  <si>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</si>
  <si>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</si>
  <si>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</si>
  <si>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</si>
  <si>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</si>
  <si>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</si>
  <si>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</si>
  <si>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</si>
  <si>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</si>
  <si>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</si>
  <si>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</si>
  <si>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</si>
  <si>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</si>
  <si>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</si>
  <si>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</si>
  <si>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</si>
  <si>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</si>
  <si>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</si>
  <si>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</si>
  <si>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</si>
  <si>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</si>
  <si>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</si>
  <si>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</si>
  <si>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</si>
  <si>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</si>
  <si>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</si>
  <si>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</si>
  <si>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</si>
  <si>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</si>
  <si>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</si>
  <si>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</si>
  <si>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</si>
  <si>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</si>
  <si>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</si>
  <si>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</si>
  <si>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</si>
  <si>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</si>
  <si>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</si>
  <si>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</si>
  <si>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</si>
  <si>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</si>
  <si>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</si>
  <si>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</si>
  <si>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</si>
  <si>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</si>
  <si>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</si>
  <si>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</si>
  <si>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</si>
  <si>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</si>
  <si>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</si>
  <si>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</si>
  <si>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</si>
  <si>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</si>
  <si>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</si>
  <si>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</si>
  <si>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</si>
  <si>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</si>
  <si>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</si>
  <si>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</si>
  <si>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</si>
  <si>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成新度</t>
  </si>
  <si>
    <t>不临65条商业街</t>
  </si>
  <si>
    <t>通路</t>
  </si>
  <si>
    <t>通电</t>
  </si>
  <si>
    <t>通讯</t>
  </si>
  <si>
    <t>通上水</t>
  </si>
  <si>
    <t>通下水</t>
  </si>
  <si>
    <t>平整</t>
  </si>
  <si>
    <t>与级别开发程度不一致</t>
  </si>
  <si>
    <t>一般</t>
  </si>
  <si>
    <t>较差</t>
  </si>
  <si>
    <t>较好</t>
  </si>
  <si>
    <t>未包含在土地购买价格中</t>
  </si>
  <si>
    <t>已包含在土地取得成本中</t>
  </si>
  <si>
    <t>押一</t>
  </si>
  <si>
    <t>钢混</t>
  </si>
  <si>
    <t>非生产用房</t>
  </si>
  <si>
    <t>否</t>
  </si>
  <si>
    <t>住宅</t>
    <phoneticPr fontId="30" type="noConversion"/>
  </si>
  <si>
    <t>商业</t>
    <phoneticPr fontId="30" type="noConversion"/>
  </si>
  <si>
    <t>售价</t>
  </si>
  <si>
    <t>利息：取LPR加浮动点数</t>
  </si>
  <si>
    <t>北京市</t>
  </si>
  <si>
    <t>自定义容积率</t>
  </si>
  <si>
    <t>单套模式</t>
  </si>
  <si>
    <t>独立商业</t>
  </si>
  <si>
    <t>企业</t>
  </si>
  <si>
    <t>楼层修正</t>
  </si>
  <si>
    <t>好</t>
  </si>
  <si>
    <t>地上</t>
  </si>
  <si>
    <t>中心城区</t>
  </si>
  <si>
    <t>全部缴纳</t>
  </si>
  <si>
    <t>成本法</t>
  </si>
  <si>
    <t>收益法</t>
  </si>
  <si>
    <t>地下</t>
  </si>
  <si>
    <t>差</t>
  </si>
  <si>
    <t>承租方</t>
    <phoneticPr fontId="134" type="noConversion"/>
  </si>
  <si>
    <t>位置</t>
    <phoneticPr fontId="134" type="noConversion"/>
  </si>
  <si>
    <t>建筑面积</t>
    <phoneticPr fontId="134" type="noConversion"/>
  </si>
  <si>
    <t>李航</t>
    <phoneticPr fontId="134" type="noConversion"/>
  </si>
  <si>
    <t>1层</t>
    <phoneticPr fontId="134" type="noConversion"/>
  </si>
  <si>
    <t>地下1层</t>
    <phoneticPr fontId="134" type="noConversion"/>
  </si>
  <si>
    <t>租期</t>
    <phoneticPr fontId="134" type="noConversion"/>
  </si>
  <si>
    <r>
      <t>2</t>
    </r>
    <r>
      <rPr>
        <sz val="11"/>
        <color theme="1"/>
        <rFont val="宋体"/>
        <family val="3"/>
        <charset val="134"/>
        <scheme val="minor"/>
      </rPr>
      <t>023.6.1-2031.5.31</t>
    </r>
    <phoneticPr fontId="134" type="noConversion"/>
  </si>
  <si>
    <t>年租金</t>
    <phoneticPr fontId="134" type="noConversion"/>
  </si>
  <si>
    <t>不含税</t>
    <phoneticPr fontId="134" type="noConversion"/>
  </si>
  <si>
    <t>押金</t>
    <phoneticPr fontId="134" type="noConversion"/>
  </si>
  <si>
    <t>建行</t>
    <phoneticPr fontId="134" type="noConversion"/>
  </si>
  <si>
    <t>含税</t>
    <phoneticPr fontId="134" type="noConversion"/>
  </si>
  <si>
    <t>2023.9.10-2026.9.9</t>
    <phoneticPr fontId="134" type="noConversion"/>
  </si>
  <si>
    <t>刘增文</t>
    <phoneticPr fontId="134" type="noConversion"/>
  </si>
  <si>
    <t>2层</t>
    <phoneticPr fontId="134" type="noConversion"/>
  </si>
  <si>
    <t>3层</t>
    <phoneticPr fontId="134" type="noConversion"/>
  </si>
  <si>
    <r>
      <t>2</t>
    </r>
    <r>
      <rPr>
        <sz val="11"/>
        <color theme="1"/>
        <rFont val="宋体"/>
        <family val="3"/>
        <charset val="134"/>
        <scheme val="minor"/>
      </rPr>
      <t>023.1.3-2038.1.2</t>
    </r>
    <phoneticPr fontId="134" type="noConversion"/>
  </si>
  <si>
    <r>
      <t>第四年起每3年递增</t>
    </r>
    <r>
      <rPr>
        <sz val="11"/>
        <color theme="1"/>
        <rFont val="宋体"/>
        <family val="3"/>
        <charset val="134"/>
        <scheme val="minor"/>
      </rPr>
      <t>5%</t>
    </r>
    <phoneticPr fontId="134" type="noConversion"/>
  </si>
  <si>
    <t>超市</t>
    <phoneticPr fontId="134" type="noConversion"/>
  </si>
  <si>
    <r>
      <t>2</t>
    </r>
    <r>
      <rPr>
        <sz val="11"/>
        <color theme="1"/>
        <rFont val="宋体"/>
        <family val="3"/>
        <charset val="134"/>
        <scheme val="minor"/>
      </rPr>
      <t>022.12.5-2024.12.4</t>
    </r>
    <phoneticPr fontId="134" type="noConversion"/>
  </si>
  <si>
    <t>北京京雅康商贸有限公司</t>
    <phoneticPr fontId="134" type="noConversion"/>
  </si>
  <si>
    <r>
      <t>2</t>
    </r>
    <r>
      <rPr>
        <sz val="11"/>
        <color theme="1"/>
        <rFont val="宋体"/>
        <family val="3"/>
        <charset val="134"/>
        <scheme val="minor"/>
      </rPr>
      <t>022.12.5-2027.12.4</t>
    </r>
    <phoneticPr fontId="134" type="noConversion"/>
  </si>
  <si>
    <t>小计</t>
    <phoneticPr fontId="134" type="noConversion"/>
  </si>
  <si>
    <t>调整为含税年租金</t>
    <phoneticPr fontId="134" type="noConversion"/>
  </si>
  <si>
    <t>单价</t>
    <phoneticPr fontId="134" type="noConversion"/>
  </si>
  <si>
    <t xml:space="preserve"> </t>
    <phoneticPr fontId="3" type="noConversion"/>
  </si>
  <si>
    <t>商业</t>
    <phoneticPr fontId="7" type="noConversion"/>
  </si>
  <si>
    <t>剩余租赁期</t>
    <phoneticPr fontId="134" type="noConversion"/>
  </si>
  <si>
    <r>
      <t>1</t>
    </r>
    <r>
      <rPr>
        <sz val="11"/>
        <color theme="1"/>
        <rFont val="宋体"/>
        <family val="3"/>
        <charset val="134"/>
        <scheme val="minor"/>
      </rPr>
      <t>-3</t>
    </r>
    <phoneticPr fontId="134" type="noConversion"/>
  </si>
  <si>
    <r>
      <t>4</t>
    </r>
    <r>
      <rPr>
        <sz val="11"/>
        <color theme="1"/>
        <rFont val="宋体"/>
        <family val="3"/>
        <charset val="134"/>
        <scheme val="minor"/>
      </rPr>
      <t>-6</t>
    </r>
    <phoneticPr fontId="134" type="noConversion"/>
  </si>
  <si>
    <r>
      <t>7</t>
    </r>
    <r>
      <rPr>
        <sz val="11"/>
        <color theme="1"/>
        <rFont val="宋体"/>
        <family val="3"/>
        <charset val="134"/>
        <scheme val="minor"/>
      </rPr>
      <t>-9</t>
    </r>
    <phoneticPr fontId="134" type="noConversion"/>
  </si>
  <si>
    <r>
      <t>9</t>
    </r>
    <r>
      <rPr>
        <sz val="11"/>
        <color theme="1"/>
        <rFont val="宋体"/>
        <family val="3"/>
        <charset val="134"/>
        <scheme val="minor"/>
      </rPr>
      <t>-11</t>
    </r>
    <phoneticPr fontId="134" type="noConversion"/>
  </si>
  <si>
    <r>
      <t>1</t>
    </r>
    <r>
      <rPr>
        <sz val="11"/>
        <color theme="1"/>
        <rFont val="宋体"/>
        <family val="3"/>
        <charset val="134"/>
        <scheme val="minor"/>
      </rPr>
      <t>2-15</t>
    </r>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</si>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</sst>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0" fontId="95" fillId="0" borderId="0" xfId="0" applyFont="1">
      <alignment vertical="center"/>
    </xf>
    <xf numFmtId="0" fontId="95" fillId="0" borderId="1" xfId="0" applyFont="1" applyBorder="1" applyAlignment="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0"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1" xfId="0" applyFont="1" applyBorder="1" applyAlignment="1">
      <alignment horizontal="center" vertical="center"/>
    </xf>
    <xf numFmtId="49" fontId="0" fillId="0" borderId="0" xfId="0" applyNumberFormat="1">
      <alignment vertical="center"/>
    </xf>
    <xf numFmtId="49" fontId="95" fillId="0" borderId="0" xfId="0" applyNumberFormat="1"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估价对象为北京市房地产，为所有。根据《国有土地使用证》[]，估价对象（分摊）出让国有建设用地使用权面积为0平方米，建筑面积为3450.08平方米。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估价对象为北京市房地产,属开发建设的，该项目尚在开发建设中。根据《国有土地使用证》[]，估价对象（分摊）出让国有建设用地使用权面积为0平方米，规划建筑面积为3450.08平方米。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2023年10月16日</v>
      </c>
    </row>
    <row r="13" spans="1:2" s="1203" customFormat="1">
      <c r="A13" s="1201" t="s">
        <v>529</v>
      </c>
      <c r="B13" s="1202"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7599</v>
      </c>
    </row>
    <row r="21" spans="1:2" s="1203" customFormat="1">
      <c r="A21" s="1201" t="s">
        <v>537</v>
      </c>
      <c r="B21" s="1202">
        <f ca="1">'预评函-2'!D7</f>
        <v>22026</v>
      </c>
    </row>
    <row r="22" spans="1:2" s="1203" customFormat="1">
      <c r="A22" s="1201" t="s">
        <v>538</v>
      </c>
      <c r="B22" s="1202" t="str">
        <f ca="1">'预评函-2'!D6</f>
        <v>柒仟伍佰玖拾玖万元整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7599</v>
      </c>
    </row>
    <row r="31" spans="1:2" s="1203" customFormat="1">
      <c r="A31" s="1201" t="s">
        <v>576</v>
      </c>
      <c r="B31" s="1202">
        <f ca="1">'预评函-2'!D15</f>
        <v>22026</v>
      </c>
    </row>
    <row r="32" spans="1:2" s="1203" customFormat="1">
      <c r="A32" s="1201" t="s">
        <v>543</v>
      </c>
      <c r="B32" s="1202" t="str">
        <f ca="1">'预评函-2'!D14</f>
        <v>柒仟伍佰玖拾玖万元整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3450.08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6376</v>
      </c>
    </row>
    <row r="48" spans="1:2" s="1203" customFormat="1">
      <c r="A48" s="1201" t="s">
        <v>549</v>
      </c>
      <c r="B48" s="1202">
        <f ca="1">'预评函-3'!E4</f>
        <v>18481</v>
      </c>
    </row>
    <row r="49" spans="1:2" s="1203" customFormat="1">
      <c r="A49" s="1201" t="s">
        <v>550</v>
      </c>
      <c r="B49" s="1202" t="str">
        <f ca="1">'预评函-3'!D5</f>
        <v>陆仟叁佰柒拾陆万元整</v>
      </c>
    </row>
    <row r="50" spans="1:2" s="1203" customFormat="1">
      <c r="A50" s="1201" t="s">
        <v>574</v>
      </c>
      <c r="B50" s="1202" t="str">
        <f>'预评函-3'!F2</f>
        <v>在建建筑物价值</v>
      </c>
    </row>
    <row r="51" spans="1:2" s="1203" customFormat="1">
      <c r="A51" s="1201" t="s">
        <v>551</v>
      </c>
      <c r="B51" s="1202">
        <f ca="1">'预评函-3'!F4</f>
        <v>1223</v>
      </c>
    </row>
    <row r="52" spans="1:2" s="1203" customFormat="1">
      <c r="A52" s="1201" t="s">
        <v>552</v>
      </c>
      <c r="B52" s="1202">
        <f ca="1">'预评函-3'!G4</f>
        <v>3545</v>
      </c>
    </row>
    <row r="53" spans="1:2" s="1203" customFormat="1">
      <c r="A53" s="1201" t="s">
        <v>580</v>
      </c>
      <c r="B53" s="1202" t="str">
        <f ca="1">'预评函-3'!F5</f>
        <v>壹仟贰佰贰拾叁万元整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7" sqref="D57"/>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9" t="s">
        <v>2583</v>
      </c>
      <c r="J2" s="3499"/>
      <c r="K2" s="3499"/>
      <c r="L2" s="3499"/>
      <c r="M2" s="3499"/>
      <c r="N2" s="3499"/>
      <c r="O2" s="3499"/>
      <c r="P2" s="3499"/>
      <c r="Q2" s="3499"/>
      <c r="R2" s="3499"/>
    </row>
    <row r="3" spans="1:18">
      <c r="A3" s="3020" t="s">
        <v>2504</v>
      </c>
      <c r="B3" s="3021">
        <f>项目基本情况!D3</f>
        <v>45215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3.17</v>
      </c>
      <c r="D5" s="3025">
        <f>IF(ISERROR(ROUND(POWER(1+E5,A5-C5)*(POWER(1+E5,C5)-1)/(POWER(1+E5,A5)-1),3)),0,ROUND(POWER(1+E5,A5-C5)*(POWER(1+E5,C5)-1)/(POWER(1+E5,A5)-1),4))</f>
        <v>0.1477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13.18</v>
      </c>
      <c r="D6" s="3025">
        <f>IF(ISERROR(ROUND(POWER(1+E6,A6-C6)*(POWER(1+E6,C6)-1)/(POWER(1+E6,A6)-1),3)),0,ROUND(POWER(1+E6,A6-C6)*(POWER(1+E6,C6)-1)/(POWER(1+E6,A6)-1),4))</f>
        <v>0.4698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33.200000000000003</v>
      </c>
      <c r="D7" s="3025">
        <f>IF(ISERROR(ROUND(POWER(1+E7,A7-C7)*(POWER(1+E7,C7)-1)/(POWER(1+E7,A7)-1),3)),0,ROUND(POWER(1+E7,A7-C7)*(POWER(1+E7,C7)-1)/(POWER(1+E7,A7)-1),4))</f>
        <v>0.77800000000000002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45215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t="s">
        <v>3400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52878</v>
      </c>
      <c r="E13" s="856"/>
      <c r="F13" s="856"/>
      <c r="G13" s="856"/>
      <c r="H13" s="856"/>
      <c r="I13" s="856">
        <v>46725</v>
      </c>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20.99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f>IF(A13="出让",IF(I13="","",ROUNDDOWN(MIN((I13-$D$3)/365,I14),2)),I14)</f>
        <v>4.13</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3450.08</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3450.08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3450.08</v>
      </c>
      <c r="H5" s="13">
        <f t="shared" ref="H5:AT5" si="0">SUM(H13:H656)</f>
        <v>3450.08</v>
      </c>
      <c r="I5" s="13">
        <f t="shared" si="0"/>
        <v>2270.67</v>
      </c>
      <c r="J5" s="13">
        <f t="shared" si="0"/>
        <v>0</v>
      </c>
      <c r="K5" s="13">
        <f t="shared" si="0"/>
        <v>1179.4099999999999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3450.08</v>
      </c>
      <c r="BA5" s="15">
        <f t="shared" si="1"/>
        <v>3450.08</v>
      </c>
      <c r="BB5" s="15">
        <f t="shared" si="1"/>
        <v>2270.67</v>
      </c>
      <c r="BC5" s="15">
        <f t="shared" si="1"/>
        <v>1179.4099999999999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3407</v>
      </c>
      <c r="J9" s="809"/>
      <c r="K9" s="1603" t="s">
        <v>3412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3403</v>
      </c>
      <c r="J11" s="1615"/>
      <c r="K11" s="1614" t="s">
        <v>3403</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3377</v>
      </c>
      <c r="E13" s="13">
        <f>IF($C$3="是",ROUND($A$3*G13/$B$3,2),ROUND($A$3*(G13-AT13)/$B$3,2))</f>
        <v>0</v>
      </c>
      <c r="F13" s="29"/>
      <c r="G13" s="30">
        <f>H13+AC13+AT13</f>
        <v>3450.08</v>
      </c>
      <c r="H13" s="17">
        <f>SUMIF(I$12:AB$12,"总值",I13:AB13)</f>
        <v>3450.08</v>
      </c>
      <c r="I13" s="1626">
        <f>Sheet1!C16+Sheet1!C17+Sheet1!C18</f>
        <v>2270.67</v>
      </c>
      <c r="J13" s="1626"/>
      <c r="K13" s="1626">
        <f>3450.08-I13</f>
        <v>1179.4099999999999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3450.08</v>
      </c>
      <c r="BA13" s="13">
        <f>SUM(BB13:BK13)</f>
        <v>3450.08</v>
      </c>
      <c r="BB13" s="13">
        <f>IF($D13="是",I13-J13,0)</f>
        <v>2270.67</v>
      </c>
      <c r="BC13" s="13">
        <f>IF($D13="是",K13-L13,0)</f>
        <v>1179.4099999999999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3377</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3377</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3377</v>
      </c>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20" sqref="E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0</v>
      </c>
      <c r="E3" s="43">
        <f>'数据-基础表'!AZ5</f>
        <v>3450.08</v>
      </c>
      <c r="F3" s="2659"/>
      <c r="G3" s="1145"/>
      <c r="H3" s="1026" t="s">
        <v>1106</v>
      </c>
      <c r="I3" s="855" t="e">
        <f>ROUND('数据-基础表'!B3/'数据-基础表'!A3,2)</f>
        <v>#DIV/0!</v>
      </c>
      <c r="J3" s="2659"/>
      <c r="K3" s="2659"/>
      <c r="L3" s="2659"/>
      <c r="M3" s="2659"/>
      <c r="N3" s="2661"/>
      <c r="O3" s="2659"/>
      <c r="P3" s="2659"/>
    </row>
    <row r="4" spans="1:16" ht="15">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f>ROUND($D$3*E6/$E$3,2)</f>
        <v>0</v>
      </c>
      <c r="E6" s="46">
        <f>E3-E5</f>
        <v>3450.08</v>
      </c>
      <c r="F6" s="2659"/>
      <c r="G6" s="2653" t="s">
        <v>1112</v>
      </c>
      <c r="H6" s="1146" t="s">
        <v>1113</v>
      </c>
      <c r="I6" s="2654" t="e">
        <f>ROUND(F31/D31,2)</f>
        <v>#DIV/0!</v>
      </c>
      <c r="J6" s="2659"/>
      <c r="K6" s="2659"/>
      <c r="L6" s="2659"/>
      <c r="M6" s="2659"/>
      <c r="N6" s="2659"/>
      <c r="O6" s="2659"/>
      <c r="P6" s="2659"/>
    </row>
    <row r="7" spans="1:16" ht="15.75" thickBot="1">
      <c r="A7" s="3536"/>
      <c r="B7" s="3537"/>
      <c r="C7" s="3538"/>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2270.67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1179.4099999999999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3450.08</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3441</v>
      </c>
      <c r="D19" s="45">
        <f>ROUND($D$3*E19/$E$3,2)</f>
        <v>0</v>
      </c>
      <c r="E19" s="53">
        <f t="shared" ref="E19:E26" si="1">SUM(F19:G19)</f>
        <v>3450.08</v>
      </c>
      <c r="F19" s="2795">
        <f>'数据-基础表'!I5</f>
        <v>2270.67</v>
      </c>
      <c r="G19" s="2796">
        <f>'数据-基础表'!K13</f>
        <v>1179.4099999999999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3450.08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3450.08</v>
      </c>
      <c r="F27" s="1140">
        <f>IF(SUM(F19:F26)=E8,SUM(F19:F26),"地上面积有误")</f>
        <v>2270.67</v>
      </c>
      <c r="G27" s="1142">
        <f>SUM(G19:G26)</f>
        <v>1179.4099999999999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3450.08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3450.08</v>
      </c>
      <c r="F31" s="677">
        <f>F27+F30</f>
        <v>2270.67</v>
      </c>
      <c r="G31" s="678">
        <f>G27+G30</f>
        <v>1179.4099999999999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2" width="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45215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52878</v>
      </c>
      <c r="F6" s="64">
        <f>SUMIF(项目基本情况!C$12:I$12,C6,项目基本情况!C$15:I$15)</f>
        <v>20.99</v>
      </c>
      <c r="G6" s="65">
        <f>IF(ISERROR(ROUND(POWER(1+H6,D6-F6)*(POWER(1+H6,F6)-1)/(POWER(1+H6,D6)-1),3)),0,ROUND(POWER(1+H6,D6-F6)*(POWER(1+H6,F6)-1)/(POWER(1+H6,D6)-1),3))</f>
        <v>0.747</v>
      </c>
      <c r="H6" s="732">
        <v>0.05</v>
      </c>
      <c r="I6" s="732">
        <v>5.5E-2</v>
      </c>
      <c r="J6" s="66">
        <v>7.4999999999999997E-2</v>
      </c>
      <c r="K6" s="1030">
        <f>SUMIF('数据-汇总表'!C$19:C$33,A6,'数据-汇总表'!E$19:E$33)</f>
        <v>3450.08</v>
      </c>
      <c r="L6" s="733">
        <v>4000</v>
      </c>
      <c r="M6" s="67">
        <f t="shared" ref="M6:M14" si="0">ROUND(K6*L6/10000,0)</f>
        <v>1380</v>
      </c>
      <c r="N6" s="731">
        <f>ROUND(1-(2023-2006)/60,2)</f>
        <v>0.72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2">
        <f>Sheet1!J12</f>
        <v>4.3499999999999996</v>
      </c>
      <c r="V6" s="70">
        <v>0.02</v>
      </c>
      <c r="W6" s="70">
        <v>0</v>
      </c>
      <c r="X6" s="1040"/>
      <c r="Y6" s="71">
        <f>N6</f>
        <v>0.72</v>
      </c>
      <c r="Z6" s="72">
        <f>ROUND(Sheet1!J12*(1+AA6)^AF6,2)</f>
        <v>6.18</v>
      </c>
      <c r="AA6" s="66">
        <v>2.5000000000000001E-2</v>
      </c>
      <c r="AB6" s="66">
        <v>0.1</v>
      </c>
      <c r="AC6" s="1040"/>
      <c r="AD6" s="73">
        <f>ROUND((1-0%)-(2038-2006)/60,2)</f>
        <v>0.47</v>
      </c>
      <c r="AE6" s="1041">
        <f ca="1">IF(AN6="",0,SUMIF(INDIRECT("'"&amp;AN6&amp;"'"&amp;"!E:E"),$AE$5,INDIRECT("'"&amp;AN6&amp;"'"&amp;"!F:F")))</f>
        <v>20.99</v>
      </c>
      <c r="AF6" s="1348">
        <f>Sheet1!E9</f>
        <v>14.23</v>
      </c>
      <c r="AG6" s="138">
        <f ca="1">IF(AF6="",0,AE6-AF6)</f>
        <v>6.759999999999998</v>
      </c>
      <c r="AH6" s="74"/>
      <c r="AI6" s="76">
        <v>365</v>
      </c>
      <c r="AJ6" s="77"/>
      <c r="AK6" s="78">
        <v>5.0000000000000001E-3</v>
      </c>
      <c r="AL6" s="79">
        <v>1E-3</v>
      </c>
      <c r="AM6" s="80">
        <v>5.0000000000000001E-3</v>
      </c>
      <c r="AN6" s="1715" t="s">
        <v>3411</v>
      </c>
      <c r="AO6" s="52">
        <f ca="1">SUMIF(INDIRECT("'"&amp;AN6&amp;"'"&amp;"!A:A"),"总价",INDIRECT("'"&amp;AN6&amp;"'"&amp;"!B:B"))</f>
        <v>6573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3450.08</v>
      </c>
      <c r="L16" s="93">
        <f>ROUND(M16*10000/SUM(K6:K14),0)</f>
        <v>4000</v>
      </c>
      <c r="M16" s="93">
        <f>SUM(M6:M14)</f>
        <v>1380</v>
      </c>
      <c r="N16" s="94">
        <f>ROUND(SUMPRODUCT(M6:M14,N6:N14)/M16,3)</f>
        <v>0.72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f>1+0.7+0.6+0.5</f>
        <v>2.8</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f>U20/4</f>
        <v>0.7</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t="s">
        <v>3440</v>
      </c>
      <c r="U22" s="2671">
        <f>U21*7</f>
        <v>4.8999999999999995</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f>U6/0.7</f>
        <v>6.2142857142857144</v>
      </c>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v>1</v>
      </c>
      <c r="V25" s="2671">
        <f>Sheet1!F16</f>
        <v>962.06</v>
      </c>
      <c r="W25" s="2671"/>
      <c r="X25" s="2671">
        <v>7</v>
      </c>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v>2</v>
      </c>
      <c r="V26" s="2671">
        <f>Sheet1!F17</f>
        <v>1018.71</v>
      </c>
      <c r="W26" s="2671">
        <v>0.7</v>
      </c>
      <c r="X26" s="2671">
        <f>ROUND(W26*X25,2)</f>
        <v>4.9000000000000004</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v>3</v>
      </c>
      <c r="V27" s="2671">
        <f>Sheet1!F18</f>
        <v>534.46</v>
      </c>
      <c r="W27" s="2671">
        <v>0.6</v>
      </c>
      <c r="X27" s="2671">
        <f>ROUND(W27*X25,2)</f>
        <v>4.2</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v>-1</v>
      </c>
      <c r="V28" s="2671">
        <f>Sheet1!F19</f>
        <v>934.85</v>
      </c>
      <c r="W28" s="2671">
        <v>0.5</v>
      </c>
      <c r="X28" s="2671">
        <f>ROUND(W28*X25,2)</f>
        <v>3.5</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66</v>
      </c>
      <c r="C29" s="2802" t="s">
        <v>2294</v>
      </c>
      <c r="D29" s="2679"/>
      <c r="E29" s="2661"/>
      <c r="F29" s="2661"/>
      <c r="G29" s="2673"/>
      <c r="H29" s="2673"/>
      <c r="I29" s="2673"/>
      <c r="J29" s="2673"/>
      <c r="K29" s="2672"/>
      <c r="L29" s="2672"/>
      <c r="M29" s="2671"/>
      <c r="N29" s="2671"/>
      <c r="O29" s="2671"/>
      <c r="P29" s="2671"/>
      <c r="Q29" s="2671"/>
      <c r="R29" s="2671"/>
      <c r="S29" s="2671"/>
      <c r="T29" s="2671"/>
      <c r="U29" s="2671"/>
      <c r="V29" s="2675">
        <f>V25+V26+V27+V28</f>
        <v>3450.08</v>
      </c>
      <c r="W29" s="2671"/>
      <c r="X29" s="2671">
        <f>ROUND((X25*V25+X26*V26+X27*V27+X28*V28)/V29,2)</f>
        <v>5</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3399</v>
      </c>
      <c r="B40" s="1078">
        <f ca="1">IF(A40="利息：取LPR",存贷款利率!G1,存贷款利率!G1+C40)</f>
        <v>3.4499999999999996E-2</v>
      </c>
      <c r="C40" s="2814">
        <v>-1E-3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32"/>
  <sheetViews>
    <sheetView workbookViewId="0">
      <selection activeCell="D20" sqref="D20"/>
    </sheetView>
  </sheetViews>
  <sheetFormatPr defaultRowHeight="13.5"/>
  <cols>
    <col min="2" max="2" width="23" customWidth="1"/>
    <col min="4" max="4" width="22.375" customWidth="1"/>
    <col min="5" max="5" width="10.5" customWidth="1"/>
  </cols>
  <sheetData>
    <row r="1" spans="1:12">
      <c r="A1" s="3454" t="s">
        <v>3414</v>
      </c>
      <c r="B1" s="3454" t="s">
        <v>3415</v>
      </c>
      <c r="C1" s="3454" t="s">
        <v>3416</v>
      </c>
      <c r="D1" s="3454" t="s">
        <v>3420</v>
      </c>
      <c r="E1" s="3455" t="s">
        <v>3442</v>
      </c>
      <c r="F1" s="3454" t="s">
        <v>3422</v>
      </c>
      <c r="H1" s="3453" t="s">
        <v>3424</v>
      </c>
      <c r="I1" s="3457" t="s">
        <v>3438</v>
      </c>
      <c r="J1" s="3457" t="s">
        <v>3439</v>
      </c>
    </row>
    <row r="2" spans="1:12">
      <c r="A2" s="3797" t="s">
        <v>3417</v>
      </c>
      <c r="B2" s="3454" t="s">
        <v>3418</v>
      </c>
      <c r="C2" s="3456">
        <v>38.67</v>
      </c>
      <c r="D2" s="3456"/>
      <c r="E2" s="3456"/>
      <c r="F2" s="3456"/>
    </row>
    <row r="3" spans="1:12">
      <c r="A3" s="3797"/>
      <c r="B3" s="3454" t="s">
        <v>3419</v>
      </c>
      <c r="C3" s="3456">
        <v>948.55</v>
      </c>
      <c r="D3" s="3456"/>
      <c r="E3" s="3456"/>
      <c r="F3" s="3456"/>
    </row>
    <row r="4" spans="1:12">
      <c r="A4" s="3797"/>
      <c r="B4" s="3454" t="s">
        <v>3437</v>
      </c>
      <c r="C4" s="3456">
        <f>SUM(C2:C3)</f>
        <v>987.21999999999991</v>
      </c>
      <c r="D4" s="3454" t="s">
        <v>3421</v>
      </c>
      <c r="E4" s="3455">
        <v>11.64</v>
      </c>
      <c r="F4" s="3456">
        <v>800000</v>
      </c>
      <c r="G4" s="3453" t="s">
        <v>3423</v>
      </c>
      <c r="H4">
        <v>133333</v>
      </c>
      <c r="I4">
        <f>F4*1.06</f>
        <v>848000</v>
      </c>
      <c r="J4">
        <f>ROUND(I4/C4/365,2)</f>
        <v>2.35</v>
      </c>
    </row>
    <row r="5" spans="1:12">
      <c r="A5" s="3454" t="s">
        <v>3425</v>
      </c>
      <c r="B5" s="3454" t="s">
        <v>3418</v>
      </c>
      <c r="C5" s="3456">
        <v>717.5</v>
      </c>
      <c r="D5" s="3454" t="s">
        <v>3427</v>
      </c>
      <c r="E5" s="3455">
        <v>2.91</v>
      </c>
      <c r="F5" s="3456">
        <v>2477455.75</v>
      </c>
      <c r="G5" s="3453" t="s">
        <v>3426</v>
      </c>
      <c r="I5">
        <f>F5</f>
        <v>2477455.75</v>
      </c>
      <c r="J5">
        <f>ROUND(I5/C5/365,2)</f>
        <v>9.4600000000000009</v>
      </c>
    </row>
    <row r="6" spans="1:12">
      <c r="A6" s="3797" t="s">
        <v>3428</v>
      </c>
      <c r="B6" s="3454" t="s">
        <v>3418</v>
      </c>
      <c r="C6" s="3456">
        <v>39</v>
      </c>
      <c r="D6" s="3456"/>
      <c r="E6" s="3456"/>
      <c r="F6" s="3456"/>
      <c r="L6">
        <v>6.5</v>
      </c>
    </row>
    <row r="7" spans="1:12">
      <c r="A7" s="3797"/>
      <c r="B7" s="3454" t="s">
        <v>3429</v>
      </c>
      <c r="C7" s="3456">
        <v>1018.71</v>
      </c>
      <c r="D7" s="3456"/>
      <c r="E7" s="3456"/>
      <c r="F7" s="3456"/>
      <c r="L7">
        <f>L6*0.6</f>
        <v>3.9</v>
      </c>
    </row>
    <row r="8" spans="1:12">
      <c r="A8" s="3797"/>
      <c r="B8" s="3454" t="s">
        <v>3430</v>
      </c>
      <c r="C8" s="3456">
        <v>534.46</v>
      </c>
      <c r="D8" s="3456"/>
      <c r="E8" s="3456"/>
      <c r="F8" s="3456"/>
      <c r="L8">
        <f>L6*0.5</f>
        <v>3.25</v>
      </c>
    </row>
    <row r="9" spans="1:12">
      <c r="A9" s="3797"/>
      <c r="B9" s="3454" t="s">
        <v>3437</v>
      </c>
      <c r="C9" s="3456">
        <f>SUM(C6:C8)</f>
        <v>1592.17</v>
      </c>
      <c r="D9" s="3454" t="s">
        <v>3431</v>
      </c>
      <c r="E9" s="3455">
        <v>14.23</v>
      </c>
      <c r="F9" s="3456">
        <v>1850000</v>
      </c>
      <c r="G9" s="3453" t="s">
        <v>3423</v>
      </c>
      <c r="H9" s="3453" t="s">
        <v>3432</v>
      </c>
      <c r="I9">
        <f>F9*1.06</f>
        <v>1961000</v>
      </c>
      <c r="J9">
        <f t="shared" ref="J6:J11" si="0">ROUND(I9/C9/365,2)</f>
        <v>3.37</v>
      </c>
      <c r="L9">
        <f>(C6*L6+C7*L7+C8*L8)/C9</f>
        <v>3.7454945137767948</v>
      </c>
    </row>
    <row r="10" spans="1:12">
      <c r="A10" s="3454" t="s">
        <v>3433</v>
      </c>
      <c r="B10" s="3454" t="s">
        <v>3418</v>
      </c>
      <c r="C10" s="3456">
        <v>40</v>
      </c>
      <c r="D10" s="3454" t="s">
        <v>3434</v>
      </c>
      <c r="E10" s="3455">
        <v>1.1499999999999999</v>
      </c>
      <c r="F10" s="3456">
        <v>85000</v>
      </c>
      <c r="G10" s="3453" t="s">
        <v>3423</v>
      </c>
      <c r="I10">
        <f t="shared" ref="I10:I11" si="1">F10*1.06</f>
        <v>90100</v>
      </c>
      <c r="J10">
        <f t="shared" si="0"/>
        <v>6.17</v>
      </c>
    </row>
    <row r="11" spans="1:12">
      <c r="A11" s="3454" t="s">
        <v>3435</v>
      </c>
      <c r="B11" s="3454" t="s">
        <v>3418</v>
      </c>
      <c r="C11" s="3456">
        <v>40</v>
      </c>
      <c r="D11" s="3454" t="s">
        <v>3436</v>
      </c>
      <c r="E11" s="3455">
        <v>4.1500000000000004</v>
      </c>
      <c r="F11" s="3456">
        <v>100000</v>
      </c>
      <c r="G11" s="3453" t="s">
        <v>3423</v>
      </c>
      <c r="I11">
        <f t="shared" si="1"/>
        <v>106000</v>
      </c>
      <c r="J11">
        <f t="shared" si="0"/>
        <v>7.26</v>
      </c>
    </row>
    <row r="12" spans="1:12">
      <c r="A12" s="3456"/>
      <c r="B12" s="3456"/>
      <c r="C12" s="3456">
        <f>C4+C5+C9+C10+C11</f>
        <v>3376.89</v>
      </c>
      <c r="D12" s="3456"/>
      <c r="E12" s="3456"/>
      <c r="F12" s="3456"/>
      <c r="I12">
        <f>SUM(I2:I11)</f>
        <v>5482555.75</v>
      </c>
      <c r="J12">
        <f>ROUND(I12/B31/365,2)</f>
        <v>4.3499999999999996</v>
      </c>
    </row>
    <row r="15" spans="1:12">
      <c r="C15">
        <f>C2+C10+C11+C6</f>
        <v>157.67000000000002</v>
      </c>
      <c r="D15">
        <v>6.5</v>
      </c>
    </row>
    <row r="16" spans="1:12">
      <c r="B16" s="3453" t="s">
        <v>3418</v>
      </c>
      <c r="C16">
        <f>C2+C5+C6+C10+C11-C15</f>
        <v>717.5</v>
      </c>
      <c r="D16">
        <v>9.4600000000000009</v>
      </c>
      <c r="F16">
        <v>962.06</v>
      </c>
    </row>
    <row r="17" spans="2:12">
      <c r="B17" s="3453" t="s">
        <v>3429</v>
      </c>
      <c r="C17">
        <f>C7</f>
        <v>1018.71</v>
      </c>
      <c r="D17">
        <f>D15*0.6</f>
        <v>3.9</v>
      </c>
      <c r="F17">
        <v>1018.71</v>
      </c>
    </row>
    <row r="18" spans="2:12">
      <c r="B18" s="3453" t="s">
        <v>3430</v>
      </c>
      <c r="C18">
        <f>C8</f>
        <v>534.46</v>
      </c>
      <c r="D18">
        <f>D15*0.5</f>
        <v>3.25</v>
      </c>
      <c r="F18">
        <v>534.46</v>
      </c>
    </row>
    <row r="19" spans="2:12">
      <c r="B19" t="str">
        <f>B3</f>
        <v>地下1层</v>
      </c>
      <c r="C19">
        <f>C3</f>
        <v>948.55</v>
      </c>
      <c r="D19">
        <v>2.2999999999999998</v>
      </c>
      <c r="F19">
        <v>934.85</v>
      </c>
    </row>
    <row r="20" spans="2:12">
      <c r="C20">
        <f>SUM(C15:C19)</f>
        <v>3376.8900000000003</v>
      </c>
      <c r="D20">
        <f>(C16*D16+C17*D17+C18*D18+C19*D19+C15*D15)/C20</f>
        <v>4.6504428631077701</v>
      </c>
      <c r="F20">
        <f>SUM(F16:F19)</f>
        <v>3450.08</v>
      </c>
    </row>
    <row r="21" spans="2:12">
      <c r="D21">
        <f>D20/D15</f>
        <v>0.71545274817042614</v>
      </c>
    </row>
    <row r="26" spans="2:12">
      <c r="C26">
        <f>C9</f>
        <v>1592.17</v>
      </c>
      <c r="D26" s="3799" t="s">
        <v>3443</v>
      </c>
      <c r="E26">
        <f>I9</f>
        <v>1961000</v>
      </c>
      <c r="F26">
        <f>ROUND(E26/C26/365,2)</f>
        <v>3.37</v>
      </c>
      <c r="G26">
        <f>J4</f>
        <v>2.35</v>
      </c>
      <c r="H26">
        <f>J5</f>
        <v>9.4600000000000009</v>
      </c>
      <c r="I26">
        <f>J9</f>
        <v>3.37</v>
      </c>
      <c r="J26">
        <f>J10</f>
        <v>6.17</v>
      </c>
      <c r="K26">
        <f>J11</f>
        <v>7.26</v>
      </c>
    </row>
    <row r="27" spans="2:12">
      <c r="D27" s="3799" t="s">
        <v>3444</v>
      </c>
      <c r="E27">
        <f>ROUND(E26+E26*5%,0)</f>
        <v>2059050</v>
      </c>
      <c r="F27">
        <f>ROUND(E27/C26/365,2)</f>
        <v>3.54</v>
      </c>
      <c r="G27">
        <f>ROUND(G26+G26*5%,2)</f>
        <v>2.4700000000000002</v>
      </c>
      <c r="H27">
        <f t="shared" ref="H27:K27" si="2">ROUND(H26+H26*5%,2)</f>
        <v>9.93</v>
      </c>
      <c r="I27">
        <f t="shared" si="2"/>
        <v>3.54</v>
      </c>
      <c r="J27">
        <f t="shared" si="2"/>
        <v>6.48</v>
      </c>
      <c r="K27">
        <f t="shared" si="2"/>
        <v>7.62</v>
      </c>
    </row>
    <row r="28" spans="2:12">
      <c r="D28" s="3799" t="s">
        <v>3445</v>
      </c>
      <c r="E28">
        <f t="shared" ref="E28:E30" si="3">ROUND(E27+E27*5%,0)</f>
        <v>2162003</v>
      </c>
      <c r="F28">
        <f>ROUND(E28/C26/365,2)</f>
        <v>3.72</v>
      </c>
      <c r="G28">
        <f t="shared" ref="G28:G30" si="4">ROUND(G27+G27*5%,2)</f>
        <v>2.59</v>
      </c>
      <c r="H28">
        <f t="shared" ref="H28:H30" si="5">ROUND(H27+H27*5%,2)</f>
        <v>10.43</v>
      </c>
      <c r="I28">
        <f t="shared" ref="I28:I30" si="6">ROUND(I27+I27*5%,2)</f>
        <v>3.72</v>
      </c>
      <c r="J28">
        <f t="shared" ref="J28:J30" si="7">ROUND(J27+J27*5%,2)</f>
        <v>6.8</v>
      </c>
      <c r="K28">
        <f t="shared" ref="K28:K30" si="8">ROUND(K27+K27*5%,2)</f>
        <v>8</v>
      </c>
    </row>
    <row r="29" spans="2:12">
      <c r="D29" s="3799" t="s">
        <v>3446</v>
      </c>
      <c r="E29">
        <f t="shared" si="3"/>
        <v>2270103</v>
      </c>
      <c r="F29">
        <f>ROUND(E29/C26/365,2)</f>
        <v>3.91</v>
      </c>
      <c r="G29">
        <f t="shared" si="4"/>
        <v>2.72</v>
      </c>
      <c r="H29">
        <f t="shared" si="5"/>
        <v>10.95</v>
      </c>
      <c r="I29">
        <f t="shared" si="6"/>
        <v>3.91</v>
      </c>
      <c r="J29">
        <f t="shared" si="7"/>
        <v>7.14</v>
      </c>
      <c r="K29">
        <f t="shared" si="8"/>
        <v>8.4</v>
      </c>
    </row>
    <row r="30" spans="2:12">
      <c r="D30" s="3799" t="s">
        <v>3447</v>
      </c>
      <c r="E30">
        <f t="shared" si="3"/>
        <v>2383608</v>
      </c>
      <c r="F30">
        <f>ROUND(E30/C26/365,2)</f>
        <v>4.0999999999999996</v>
      </c>
      <c r="G30">
        <f t="shared" si="4"/>
        <v>2.86</v>
      </c>
      <c r="H30">
        <f t="shared" si="5"/>
        <v>11.5</v>
      </c>
      <c r="I30">
        <f>ROUND(I29+I29*5%,2)</f>
        <v>4.1100000000000003</v>
      </c>
      <c r="J30">
        <f t="shared" si="7"/>
        <v>7.5</v>
      </c>
      <c r="K30">
        <f t="shared" si="8"/>
        <v>8.82</v>
      </c>
    </row>
    <row r="31" spans="2:12">
      <c r="B31">
        <f>项目基本情况!C17</f>
        <v>3450.08</v>
      </c>
      <c r="C31">
        <f>B31-C3</f>
        <v>2501.5299999999997</v>
      </c>
      <c r="D31" s="3798"/>
      <c r="G31">
        <f>ROUND(G30*C4*365,0)</f>
        <v>1030559</v>
      </c>
      <c r="H31">
        <f>ROUND(H30*C5*365,0)</f>
        <v>3011706</v>
      </c>
      <c r="I31">
        <f>ROUND(I30*C9*365,0)</f>
        <v>2388494</v>
      </c>
      <c r="J31">
        <f>ROUND(J30*C10*365,0)</f>
        <v>109500</v>
      </c>
      <c r="K31">
        <f>ROUND(K30*C11*365,0)</f>
        <v>128772</v>
      </c>
      <c r="L31">
        <f>SUM(G31:K31)</f>
        <v>6669031</v>
      </c>
    </row>
    <row r="32" spans="2:12">
      <c r="D32" s="3798"/>
      <c r="L32">
        <f>ROUND(L31/B31/365,2)</f>
        <v>5.3</v>
      </c>
    </row>
  </sheetData>
  <mergeCells count="2">
    <mergeCell ref="A2:A4"/>
    <mergeCell ref="A6:A9"/>
  </mergeCells>
  <phoneticPr fontId="13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3450.08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45215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7599</v>
      </c>
      <c r="C5" s="2512">
        <f ca="1">IF(B5=D14,结果表!H102,ROUND(B5*10000/$B$1,0))</f>
        <v>22026</v>
      </c>
      <c r="D5" s="2512" t="e">
        <f ca="1">ROUND(B5*10000/$B$2,0)</f>
        <v>#DIV/0!</v>
      </c>
      <c r="E5" s="2686"/>
      <c r="F5" s="2687"/>
      <c r="G5" s="2687"/>
      <c r="H5" s="2688"/>
      <c r="I5" s="2688"/>
      <c r="J5" s="2688"/>
      <c r="K5" s="2688"/>
    </row>
    <row r="6" spans="1:11" ht="16.5">
      <c r="A6" s="2512" t="s">
        <v>656</v>
      </c>
      <c r="B6" s="2512">
        <f ca="1">SUM(G14:G23)</f>
        <v>7599</v>
      </c>
      <c r="C6" s="2512">
        <f ca="1">IF(B6=G14,结果表!H108,ROUND(B6*10000/$B$1,0))</f>
        <v>22026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'数据-汇总表'!E19</f>
        <v>3450.08</v>
      </c>
      <c r="C14" s="2518"/>
      <c r="D14" s="2518">
        <f ca="1">结果表!H118</f>
        <v>7599</v>
      </c>
      <c r="E14" s="2518">
        <f ca="1">ROUND(D14*10000/B14,0)</f>
        <v>22026</v>
      </c>
      <c r="F14" s="2518" t="e">
        <f ca="1">ROUND(D14*10000/C14,0)</f>
        <v>#DIV/0!</v>
      </c>
      <c r="G14" s="2518">
        <f ca="1">结果表!H118</f>
        <v>7599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D33" sqref="D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3410</v>
      </c>
      <c r="D4" s="1756" t="s">
        <v>3411</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4</v>
      </c>
      <c r="D14" s="3608">
        <v>6</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9" t="s">
        <v>2131</v>
      </c>
      <c r="F18" s="3640"/>
      <c r="G18" s="3640"/>
      <c r="H18" s="3640"/>
      <c r="I18" s="3640"/>
      <c r="K18" s="302" t="s">
        <v>1289</v>
      </c>
      <c r="L18" s="302">
        <f>IF(C1="",'数据-汇总表'!E3,SUMIF(项目类型,C1,'数据-汇总表'!E17:E26)+SUMIF(项目类型,C1,'数据-汇总表'!I17:I26))</f>
        <v>3450.08</v>
      </c>
      <c r="M18" s="302">
        <f>IF(C1="",'数据-汇总表'!E3,SUMIF(项目类型,C1,'数据-汇总表'!E17:E26))</f>
        <v>3450.08</v>
      </c>
    </row>
    <row r="19" spans="1:36" ht="15">
      <c r="A19" s="1761" t="s">
        <v>1290</v>
      </c>
      <c r="B19" s="1762" t="s">
        <v>1291</v>
      </c>
      <c r="C19" s="134">
        <f ca="1">SUMIF(INDIRECT("'"&amp;C4&amp;"'"&amp;"!A:A"),结果表!B19,INDIRECT("'"&amp;C4&amp;"'"&amp;"!B:B"))</f>
        <v>9137</v>
      </c>
      <c r="D19" s="135">
        <f ca="1">SUMIF(INDIRECT("'"&amp;D4&amp;"'"&amp;"!A:A"),结果表!B19,INDIRECT("'"&amp;D4&amp;"'"&amp;"!B:B"))</f>
        <v>6573</v>
      </c>
      <c r="E19" s="1761" t="s">
        <v>1292</v>
      </c>
      <c r="F19" s="1762" t="s">
        <v>1291</v>
      </c>
      <c r="G19" s="136">
        <f ca="1">ROUND(C19*$C$18+D19*$D$18,0)</f>
        <v>7599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26483</v>
      </c>
      <c r="D20" s="138">
        <f ca="1">SUMIF(INDIRECT("'"&amp;D4&amp;"'"&amp;"!A:A"),结果表!B20,INDIRECT("'"&amp;D4&amp;"'"&amp;"!B:B"))</f>
        <v>19052</v>
      </c>
      <c r="E20" s="1764"/>
      <c r="F20" s="1026" t="s">
        <v>1295</v>
      </c>
      <c r="G20" s="139">
        <f ca="1">ROUND(C20*$C$18+D20*$D$18,0)</f>
        <v>22024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0.39008063289213446</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 ca="1">G20/0.7</f>
        <v>31462.857142857145</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7599</v>
      </c>
      <c r="D32" s="1775" t="s">
        <v>3448</v>
      </c>
      <c r="E32" s="129"/>
      <c r="F32" s="129"/>
      <c r="G32" s="129"/>
      <c r="H32" s="129"/>
      <c r="I32" s="129"/>
    </row>
    <row r="33" spans="1:15" ht="15">
      <c r="A33" s="786" t="s">
        <v>1306</v>
      </c>
      <c r="B33" s="1776"/>
      <c r="C33" s="1777" t="s">
        <v>3449</v>
      </c>
      <c r="D33" s="1778" t="s">
        <v>3410</v>
      </c>
      <c r="E33" s="1779" t="s">
        <v>1307</v>
      </c>
      <c r="F33" s="1780" t="str">
        <f>IF(D32="楼面单价","取值（单价）","取值（总价）")</f>
        <v>取值（总价）</v>
      </c>
      <c r="G33" s="129"/>
      <c r="H33" s="129"/>
      <c r="I33" s="129"/>
    </row>
    <row r="34" spans="1:15" ht="15">
      <c r="A34" s="1781"/>
      <c r="B34" s="1782" t="s">
        <v>1308</v>
      </c>
      <c r="C34" s="148">
        <f ca="1">IF(C33="自定义",F34,C32-C35)</f>
        <v>6376</v>
      </c>
      <c r="D34" s="861">
        <f ca="1">IF(C33="自定义",ROUND(C34/C32,3),IF(C33="收益比率",SUMIF(INDIRECT("'"&amp;D33&amp;"'"&amp;"!b:b"),"土地收益比率",INDIRECT("'"&amp;D33&amp;"'"&amp;"!c:c")),SUMIF(INDIRECT("'"&amp;D33&amp;"'"&amp;"!b:b"),"土地成本比率",INDIRECT("'"&amp;D33&amp;"'"&amp;"!c:c"))))</f>
        <v>0.83899999999999997</v>
      </c>
      <c r="E34" s="1783" t="s">
        <v>1309</v>
      </c>
      <c r="F34" s="1330"/>
      <c r="G34" s="129"/>
      <c r="H34" s="129"/>
      <c r="I34" s="129"/>
    </row>
    <row r="35" spans="1:15" ht="15.75" thickBot="1">
      <c r="A35" s="1784"/>
      <c r="B35" s="1785" t="s">
        <v>1310</v>
      </c>
      <c r="C35" s="1170">
        <f ca="1">IF(C33="自定义",F35,ROUND(C32*D35,0))</f>
        <v>1223</v>
      </c>
      <c r="D35" s="1171">
        <f ca="1">IF(C33="自定义",ROUND(C35/C32,3),IF(C33="收益比率",SUMIF(INDIRECT("'"&amp;D33&amp;"'"&amp;"!b:b"),"建筑物收益比率",INDIRECT("'"&amp;D33&amp;"'"&amp;"!c:c")),SUMIF(INDIRECT("'"&amp;D33&amp;"'"&amp;"!b:b"),"建筑物成本比率",INDIRECT("'"&amp;D33&amp;"'"&amp;"!c:c"))))</f>
        <v>0.161</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7599</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3">
        <v>1</v>
      </c>
      <c r="K46" s="3550" t="s">
        <v>1331</v>
      </c>
      <c r="L46" s="3550"/>
      <c r="M46" s="3551"/>
      <c r="N46" s="3551"/>
      <c r="O46" s="3551"/>
    </row>
    <row r="47" spans="1:15" ht="12" customHeight="1">
      <c r="A47" s="160" t="s">
        <v>1332</v>
      </c>
      <c r="B47" s="161"/>
      <c r="C47" s="162"/>
      <c r="D47" s="1087" t="s">
        <v>1333</v>
      </c>
      <c r="E47" s="302" t="s">
        <v>1334</v>
      </c>
      <c r="F47" s="163" t="s">
        <v>1335</v>
      </c>
      <c r="G47" s="2546" t="s">
        <v>1336</v>
      </c>
      <c r="H47" s="2547"/>
      <c r="I47" s="159"/>
      <c r="J47" s="2523">
        <v>2</v>
      </c>
      <c r="K47" s="3550" t="s">
        <v>1337</v>
      </c>
      <c r="L47" s="3550"/>
      <c r="M47" s="3552">
        <f>'数据-取费表'!B2</f>
        <v>45215</v>
      </c>
      <c r="N47" s="3552"/>
      <c r="O47" s="3552"/>
    </row>
    <row r="48" spans="1:15" ht="25.5">
      <c r="A48" s="3612" t="s">
        <v>1338</v>
      </c>
      <c r="B48" s="3613"/>
      <c r="C48" s="361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0" t="s">
        <v>1340</v>
      </c>
      <c r="L48" s="3550"/>
      <c r="M48" s="3553">
        <f ca="1">H101</f>
        <v>7599</v>
      </c>
      <c r="N48" s="3553"/>
      <c r="O48" s="3553"/>
    </row>
    <row r="49" spans="1:35" ht="25.5" customHeight="1">
      <c r="A49" s="2333" t="s">
        <v>1341</v>
      </c>
      <c r="B49" s="3598" t="s">
        <v>1342</v>
      </c>
      <c r="C49" s="3598"/>
      <c r="D49" s="1590">
        <v>0</v>
      </c>
      <c r="E49" s="324" t="s">
        <v>1343</v>
      </c>
      <c r="F49" s="2424" t="s">
        <v>28</v>
      </c>
      <c r="G49" s="3581"/>
      <c r="H49" s="2310" t="s">
        <v>2134</v>
      </c>
      <c r="I49" s="2311"/>
      <c r="J49" s="2523">
        <v>4</v>
      </c>
      <c r="K49" s="3550" t="str">
        <f>IF(项目基本情况!E8="房地产抵押价值","房地产抵押价值","抵押担保权已注销时的房地产抵押价值")</f>
        <v>抵押担保权已注销时的房地产抵押价值</v>
      </c>
      <c r="L49" s="3550"/>
      <c r="M49" s="3553" t="str">
        <f>IF(项目基本情况!E8="房地产抵押价值",H107,H109)</f>
        <v>——</v>
      </c>
      <c r="N49" s="3553"/>
      <c r="O49" s="3553"/>
    </row>
    <row r="50" spans="1:35" ht="25.5" customHeight="1">
      <c r="A50" s="2551"/>
      <c r="B50" s="3598" t="s">
        <v>1344</v>
      </c>
      <c r="C50" s="3598"/>
      <c r="D50" s="2552"/>
      <c r="E50" s="332"/>
      <c r="F50" s="2424"/>
      <c r="G50" s="3582"/>
      <c r="H50" s="2312" t="s">
        <v>2135</v>
      </c>
      <c r="I50" s="2311"/>
      <c r="J50" s="3549" t="s">
        <v>1345</v>
      </c>
      <c r="K50" s="3549"/>
      <c r="L50" s="3549"/>
      <c r="M50" s="3549"/>
      <c r="N50" s="3549"/>
      <c r="O50" s="3549"/>
    </row>
    <row r="51" spans="1:35" ht="20.45" customHeight="1">
      <c r="A51" s="2553"/>
      <c r="B51" s="3598" t="s">
        <v>1346</v>
      </c>
      <c r="C51" s="3598"/>
      <c r="D51" s="1087"/>
      <c r="E51" s="327"/>
      <c r="F51" s="2424"/>
      <c r="G51" s="3583"/>
      <c r="H51" s="2312" t="s">
        <v>2136</v>
      </c>
      <c r="I51" s="2311"/>
      <c r="J51" s="2524" t="s">
        <v>1347</v>
      </c>
      <c r="K51" s="3550" t="s">
        <v>1348</v>
      </c>
      <c r="L51" s="3550"/>
      <c r="M51" s="2524" t="s">
        <v>1349</v>
      </c>
      <c r="N51" s="2524" t="s">
        <v>1350</v>
      </c>
      <c r="O51" s="2524" t="s">
        <v>1351</v>
      </c>
    </row>
    <row r="52" spans="1:35" ht="24" customHeight="1">
      <c r="A52" s="2335" t="s">
        <v>1352</v>
      </c>
      <c r="B52" s="3598" t="s">
        <v>1353</v>
      </c>
      <c r="C52" s="3598"/>
      <c r="D52" s="1087">
        <f ca="1">ROUND(D45*'数据-取费表'!B41/(1+'数据-取费表'!C42),0)</f>
        <v>405</v>
      </c>
      <c r="E52" s="2334" t="s">
        <v>1354</v>
      </c>
      <c r="F52" s="2554">
        <f>'数据-取费表'!B41</f>
        <v>5.6000000000000001E-2</v>
      </c>
      <c r="G52" s="2555"/>
      <c r="H52" s="2544"/>
      <c r="I52" s="1807"/>
      <c r="J52" s="2523">
        <v>1</v>
      </c>
      <c r="K52" s="3575" t="s">
        <v>1355</v>
      </c>
      <c r="L52" s="3575"/>
      <c r="M52" s="2525" t="b">
        <f>D48</f>
        <v>0</v>
      </c>
      <c r="N52" s="2523" t="str">
        <f>E48</f>
        <v>销售额×税（费）率</v>
      </c>
      <c r="O52" s="2526">
        <f>F48</f>
        <v>5.6000000000000001E-2</v>
      </c>
    </row>
    <row r="53" spans="1:35" ht="12" customHeight="1">
      <c r="A53" s="2335" t="s">
        <v>1356</v>
      </c>
      <c r="B53" s="3599" t="s">
        <v>2291</v>
      </c>
      <c r="C53" s="3600"/>
      <c r="D53" s="1087">
        <f ca="1">ROUND(D45*'数据-取费表'!B41/(1+'数据-取费表'!C42),0)</f>
        <v>405</v>
      </c>
      <c r="E53" s="2334" t="s">
        <v>1354</v>
      </c>
      <c r="F53" s="2554">
        <f>'数据-取费表'!B41</f>
        <v>5.6000000000000001E-2</v>
      </c>
      <c r="G53" s="2555"/>
      <c r="H53" s="2544"/>
      <c r="I53" s="1807"/>
      <c r="J53" s="2523">
        <v>2</v>
      </c>
      <c r="K53" s="3575" t="s">
        <v>1357</v>
      </c>
      <c r="L53" s="3575"/>
      <c r="M53" s="2525">
        <f t="shared" ref="M53:O54" ca="1" si="0">D55</f>
        <v>4</v>
      </c>
      <c r="N53" s="2523" t="str">
        <f t="shared" si="0"/>
        <v>销售额×税（费）率</v>
      </c>
      <c r="O53" s="2526" t="str">
        <f t="shared" si="0"/>
        <v>免征</v>
      </c>
    </row>
    <row r="54" spans="1:35" ht="12" customHeight="1">
      <c r="A54" s="2335" t="s">
        <v>1358</v>
      </c>
      <c r="B54" s="3599" t="s">
        <v>2292</v>
      </c>
      <c r="C54" s="3600"/>
      <c r="D54" s="1087">
        <f ca="1">C68</f>
        <v>405</v>
      </c>
      <c r="E54" s="327" t="s">
        <v>1359</v>
      </c>
      <c r="F54" s="2554">
        <f>'数据-取费表'!B41</f>
        <v>5.6000000000000001E-2</v>
      </c>
      <c r="G54" s="2555"/>
      <c r="H54" s="2556"/>
      <c r="I54" s="1807"/>
      <c r="J54" s="2523">
        <v>3</v>
      </c>
      <c r="K54" s="3575" t="s">
        <v>1360</v>
      </c>
      <c r="L54" s="3575"/>
      <c r="M54" s="2525">
        <f t="shared" ca="1" si="0"/>
        <v>4301</v>
      </c>
      <c r="N54" s="2523" t="str">
        <f t="shared" si="0"/>
        <v>增值额×税（费）率</v>
      </c>
      <c r="O54" s="2527" t="str">
        <f t="shared" si="0"/>
        <v>免征</v>
      </c>
    </row>
    <row r="55" spans="1:35" ht="24" customHeight="1">
      <c r="A55" s="3635" t="s">
        <v>1361</v>
      </c>
      <c r="B55" s="3613"/>
      <c r="C55" s="3613"/>
      <c r="D55" s="2324">
        <f ca="1">IF(H55="个人住宅",0,ROUND(D45*I55,0))</f>
        <v>4</v>
      </c>
      <c r="E55" s="2334" t="s">
        <v>1362</v>
      </c>
      <c r="F55" s="2554" t="str">
        <f>IF(H55="正常",I55,"免征")</f>
        <v>免征</v>
      </c>
      <c r="G55" s="2555"/>
      <c r="H55" s="2550"/>
      <c r="I55" s="165">
        <f>'数据-取费表'!B49</f>
        <v>5.0000000000000001E-4</v>
      </c>
      <c r="J55" s="2523">
        <f>IF(H59="非个人房产","",4)</f>
        <v>4</v>
      </c>
      <c r="K55" s="3575" t="str">
        <f>IF(H59="非个人房产","——","个人所得税")</f>
        <v>个人所得税</v>
      </c>
      <c r="L55" s="3575"/>
      <c r="M55" s="2528">
        <f ca="1">D59</f>
        <v>72</v>
      </c>
      <c r="N55" s="2040" t="str">
        <f>E59</f>
        <v>差额计税</v>
      </c>
      <c r="O55" s="2529">
        <f>F59</f>
        <v>0.01</v>
      </c>
    </row>
    <row r="56" spans="1:35" ht="24.75">
      <c r="A56" s="3635" t="s">
        <v>1363</v>
      </c>
      <c r="B56" s="3613"/>
      <c r="C56" s="3613"/>
      <c r="D56" s="2324">
        <f ca="1">IF(H56="个人住宅",D57,D58)</f>
        <v>4301</v>
      </c>
      <c r="E56" s="2334" t="s">
        <v>1364</v>
      </c>
      <c r="F56" s="2554" t="str">
        <f>IF(H56="正常",F58,"免征")</f>
        <v>免征</v>
      </c>
      <c r="G56" s="2557" t="s">
        <v>1365</v>
      </c>
      <c r="H56" s="2558"/>
      <c r="I56" s="1808"/>
      <c r="J56" s="2523" t="str">
        <f>IF(项目基本情况!K6="上海银行",IF(J55="",4,J55+1),"")</f>
        <v/>
      </c>
      <c r="K56" s="3556" t="str">
        <f>IF(项目基本情况!K6="上海银行","其他处置费用","")</f>
        <v/>
      </c>
      <c r="L56" s="3557"/>
      <c r="M56" s="2525"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5"/>
      <c r="H57" s="2559"/>
      <c r="I57" s="1808"/>
      <c r="J57" s="3575">
        <f>IF(AND(J55="",J56=""),4,IF(项目基本情况!K6="上海银行",结果表!J56+1,结果表!J55+1))</f>
        <v>5</v>
      </c>
      <c r="K57" s="3575" t="s">
        <v>1367</v>
      </c>
      <c r="L57" s="2530" t="s">
        <v>1368</v>
      </c>
      <c r="M57" s="2531"/>
      <c r="N57" s="2532">
        <f ca="1">SUMIF(M52:M56,"&lt;9e307")</f>
        <v>4377</v>
      </c>
      <c r="O57" s="2533"/>
      <c r="P57" s="2690" t="e">
        <f ca="1">N57/M49</f>
        <v>#VALUE!</v>
      </c>
    </row>
    <row r="58" spans="1:35" ht="24.75">
      <c r="A58" s="2335" t="s">
        <v>1352</v>
      </c>
      <c r="B58" s="3599" t="s">
        <v>1369</v>
      </c>
      <c r="C58" s="3598"/>
      <c r="D58" s="2324">
        <f ca="1">IF(H58="转让取得",C81,C97)</f>
        <v>4301</v>
      </c>
      <c r="E58" s="2334" t="s">
        <v>1364</v>
      </c>
      <c r="F58" s="302" t="s">
        <v>28</v>
      </c>
      <c r="G58" s="2555"/>
      <c r="H58" s="2558"/>
      <c r="I58" s="1808"/>
      <c r="J58" s="3575"/>
      <c r="K58" s="3575"/>
      <c r="L58" s="2530" t="s">
        <v>1370</v>
      </c>
      <c r="M58" s="2534"/>
      <c r="N58" s="2535" t="str">
        <f ca="1">NUMBERSTRING(INT(N57*10000),2)&amp;"元整"</f>
        <v>肆仟叁佰柒拾柒万元整</v>
      </c>
      <c r="O58" s="2536"/>
    </row>
    <row r="59" spans="1:35" ht="24.75" thickBot="1">
      <c r="A59" s="3579" t="s">
        <v>1371</v>
      </c>
      <c r="B59" s="3580"/>
      <c r="C59" s="3580"/>
      <c r="D59" s="2560">
        <f ca="1">IF(H59="非个人房产","——",IF(H59="个人住宅（满五唯一有凭证）",0,IF(H59="个人其他（无凭证）",ROUND(D45*F59,0),ROUND(C67*F59,0))))</f>
        <v>72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7">
        <f>J57+1</f>
        <v>6</v>
      </c>
      <c r="K59" s="3575" t="s">
        <v>1372</v>
      </c>
      <c r="L59" s="2523" t="s">
        <v>1368</v>
      </c>
      <c r="M59" s="2537"/>
      <c r="N59" s="2538" t="e">
        <f ca="1">M49-N57</f>
        <v>#VALUE!</v>
      </c>
      <c r="O59" s="2539"/>
    </row>
    <row r="60" spans="1:35" ht="12" customHeight="1">
      <c r="A60" s="1809"/>
      <c r="B60" s="1747"/>
      <c r="C60" s="1747"/>
      <c r="D60" s="1747"/>
      <c r="E60" s="1578"/>
      <c r="F60" s="1808"/>
      <c r="G60" s="1808"/>
      <c r="H60" s="1810"/>
      <c r="I60" s="129"/>
      <c r="J60" s="3578"/>
      <c r="K60" s="3575"/>
      <c r="L60" s="2530" t="s">
        <v>1370</v>
      </c>
      <c r="M60" s="2534"/>
      <c r="N60" s="2535" t="e">
        <f ca="1">NUMBERSTRING(INT(N59*10000),2)&amp;"元整"</f>
        <v>#VALUE!</v>
      </c>
      <c r="O60" s="2536"/>
    </row>
    <row r="61" spans="1:35" ht="13.5" thickBot="1">
      <c r="A61" s="3634" t="s">
        <v>1373</v>
      </c>
      <c r="B61" s="3634"/>
      <c r="C61" s="3634"/>
      <c r="D61" s="3634"/>
      <c r="E61" s="3634"/>
      <c r="F61" s="1808"/>
      <c r="G61" s="1808"/>
      <c r="H61" s="1810"/>
      <c r="I61" s="129"/>
      <c r="J61" s="2523">
        <f>J59+1</f>
        <v>7</v>
      </c>
      <c r="K61" s="3575" t="s">
        <v>1374</v>
      </c>
      <c r="L61" s="3575"/>
      <c r="M61" s="2540"/>
      <c r="N61" s="2541" t="e">
        <f ca="1">ROUND(N59*10000/'数据-汇总表'!E3,0)</f>
        <v>#VALUE!</v>
      </c>
      <c r="O61" s="2542"/>
    </row>
    <row r="62" spans="1:35" ht="12.75">
      <c r="A62" s="3594" t="s">
        <v>1375</v>
      </c>
      <c r="B62" s="3595"/>
      <c r="C62" s="2021"/>
      <c r="D62" s="2021" t="s">
        <v>1376</v>
      </c>
      <c r="E62" s="166" t="s">
        <v>1377</v>
      </c>
      <c r="F62" s="1808"/>
      <c r="G62" s="1808"/>
      <c r="H62" s="1810"/>
      <c r="I62" s="129"/>
    </row>
    <row r="63" spans="1:35" ht="12.75">
      <c r="A63" s="173" t="s">
        <v>330</v>
      </c>
      <c r="B63" s="167" t="s">
        <v>1378</v>
      </c>
      <c r="C63" s="2564">
        <f ca="1">ROUND((C64+C65)/(1+'数据-取费表'!C42),0)</f>
        <v>7237</v>
      </c>
      <c r="D63" s="167"/>
      <c r="E63" s="168"/>
      <c r="F63" s="1808"/>
      <c r="G63" s="1808"/>
      <c r="H63" s="1810"/>
      <c r="I63" s="129"/>
      <c r="J63" s="355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7599</v>
      </c>
      <c r="D64" s="170" t="s">
        <v>26</v>
      </c>
      <c r="E64" s="172"/>
      <c r="F64" s="1808"/>
      <c r="G64" s="1808"/>
      <c r="H64" s="1810"/>
      <c r="I64" s="129"/>
      <c r="J64" s="355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8"/>
      <c r="K66" s="1332" t="s">
        <v>1387</v>
      </c>
      <c r="L66" s="1332" t="e">
        <f>M49*0.5%</f>
        <v>#VALUE!</v>
      </c>
      <c r="M66" s="302" t="e">
        <f>IF(L66&gt;0.5,0.5,ROUND(L66,0))</f>
        <v>#VALUE!</v>
      </c>
      <c r="N66" s="2544" t="s">
        <v>1388</v>
      </c>
      <c r="Z66" s="1752"/>
      <c r="AI66" s="1753"/>
    </row>
    <row r="67" spans="1:35" ht="14.25" customHeight="1">
      <c r="A67" s="173" t="s">
        <v>328</v>
      </c>
      <c r="B67" s="174" t="s">
        <v>1389</v>
      </c>
      <c r="C67" s="2568">
        <f ca="1">C63-C66</f>
        <v>7237</v>
      </c>
      <c r="D67" s="170" t="s">
        <v>26</v>
      </c>
      <c r="E67" s="172"/>
      <c r="F67" s="1808"/>
      <c r="G67" s="1808"/>
      <c r="H67" s="1810"/>
      <c r="I67" s="129"/>
      <c r="J67" s="355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405</v>
      </c>
      <c r="D68" s="2570">
        <f>'数据-取费表'!B41</f>
        <v>5.6000000000000001E-2</v>
      </c>
      <c r="E68" s="178"/>
      <c r="F68" s="1808"/>
      <c r="G68" s="1808"/>
      <c r="H68" s="1810"/>
      <c r="I68" s="129"/>
      <c r="J68" s="355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7237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43</v>
      </c>
      <c r="D78" s="2577">
        <f>'数据-取费表'!B43</f>
        <v>6.000000000000001E-3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7194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167.30232558139534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4301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7237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0" t="s">
        <v>2129</v>
      </c>
      <c r="H90" s="356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1" t="s">
        <v>1422</v>
      </c>
      <c r="F92" s="3592"/>
      <c r="G92" s="3592"/>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43</v>
      </c>
      <c r="D93" s="2577">
        <f>'数据-取费表'!B43</f>
        <v>6.000000000000001E-3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7194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167.30232558139534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4301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5" t="str">
        <f>C4</f>
        <v>成本法</v>
      </c>
      <c r="D101" s="2586" t="str">
        <f>D4</f>
        <v>收益法</v>
      </c>
      <c r="E101" s="3554" t="s">
        <v>1431</v>
      </c>
      <c r="F101" s="3555"/>
      <c r="G101" s="1827" t="s">
        <v>1432</v>
      </c>
      <c r="H101" s="2595">
        <f ca="1">H118</f>
        <v>7599</v>
      </c>
      <c r="I101" s="129"/>
    </row>
    <row r="102" spans="1:35" ht="18.75" customHeight="1">
      <c r="A102" s="3586" t="s">
        <v>1433</v>
      </c>
      <c r="B102" s="2584" t="s">
        <v>1432</v>
      </c>
      <c r="C102" s="2585">
        <f ca="1">IF(D32="楼面单价",ROUND(C19,0),C19)</f>
        <v>9137</v>
      </c>
      <c r="D102" s="2586">
        <f ca="1">IF(D32="楼面单价",ROUND(D19,0),D19)</f>
        <v>6573</v>
      </c>
      <c r="E102" s="3554"/>
      <c r="F102" s="3555"/>
      <c r="G102" s="1827" t="s">
        <v>1434</v>
      </c>
      <c r="H102" s="2555">
        <f ca="1">I118</f>
        <v>22026</v>
      </c>
      <c r="I102" s="129"/>
    </row>
    <row r="103" spans="1:35" ht="42.75" customHeight="1">
      <c r="A103" s="3586"/>
      <c r="B103" s="2584" t="s">
        <v>1434</v>
      </c>
      <c r="C103" s="2587">
        <f ca="1">C20</f>
        <v>26483</v>
      </c>
      <c r="D103" s="2588">
        <f ca="1">D20</f>
        <v>19052</v>
      </c>
      <c r="E103" s="3547" t="s">
        <v>1435</v>
      </c>
      <c r="F103" s="3548"/>
      <c r="G103" s="1828" t="s">
        <v>1436</v>
      </c>
      <c r="H103" s="2595">
        <f>IF(D36="正常操作",H104+H105+H106,H105+H106)</f>
        <v>0</v>
      </c>
      <c r="I103" s="129"/>
    </row>
    <row r="104" spans="1:35" ht="18.75" customHeight="1">
      <c r="A104" s="3586" t="s">
        <v>1437</v>
      </c>
      <c r="B104" s="2589" t="s">
        <v>1432</v>
      </c>
      <c r="C104" s="2590">
        <f ca="1">H118</f>
        <v>7599</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f ca="1">I118</f>
        <v>22026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55"/>
      <c r="G107" s="1827" t="s">
        <v>1432</v>
      </c>
      <c r="H107" s="2595">
        <f ca="1">IF(E107="——","——",H101-H103)</f>
        <v>7599</v>
      </c>
      <c r="I107" s="129"/>
    </row>
    <row r="108" spans="1:35" ht="18.75" customHeight="1">
      <c r="A108" s="129"/>
      <c r="B108" s="129"/>
      <c r="C108" s="129"/>
      <c r="D108" s="129"/>
      <c r="E108" s="3587"/>
      <c r="F108" s="3555"/>
      <c r="G108" s="1827" t="s">
        <v>1434</v>
      </c>
      <c r="H108" s="2555">
        <f ca="1">IF(H107=H101,H102,ROUND(H107*10000/'数据-汇总表'!E3,0))</f>
        <v>22026</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8" t="str">
        <f>IF(E109="——","——",H101-H105-H106)</f>
        <v>——</v>
      </c>
      <c r="I109" s="129"/>
    </row>
    <row r="110" spans="1:35" ht="18.75" customHeight="1">
      <c r="A110" s="129"/>
      <c r="B110" s="129"/>
      <c r="C110" s="129"/>
      <c r="D110" s="129"/>
      <c r="E110" s="3587"/>
      <c r="F110" s="3555"/>
      <c r="G110" s="1827" t="s">
        <v>1434</v>
      </c>
      <c r="H110" s="2555"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7" t="s">
        <v>1432</v>
      </c>
      <c r="H111" s="2595" t="str">
        <f>IF(E111="——","——",N59)</f>
        <v>——</v>
      </c>
      <c r="I111" s="129"/>
    </row>
    <row r="112" spans="1:35" ht="18.75" customHeight="1" thickBot="1">
      <c r="A112" s="129"/>
      <c r="B112" s="129"/>
      <c r="C112" s="129"/>
      <c r="D112" s="129"/>
      <c r="E112" s="3589"/>
      <c r="F112" s="3590"/>
      <c r="G112" s="1830" t="s">
        <v>1434</v>
      </c>
      <c r="H112" s="2599"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3450.08</v>
      </c>
      <c r="C118" s="2329">
        <f>M19</f>
        <v>0</v>
      </c>
      <c r="D118" s="2329">
        <f ca="1">ROUND(IF(D32="总价",C34,E118*B118/10000),0)</f>
        <v>6376</v>
      </c>
      <c r="E118" s="2329">
        <f ca="1">ROUND(IF(C33="自定义",IF(D32="楼面单价",C34,D118*10000/B118),I118-G118),0)</f>
        <v>18481</v>
      </c>
      <c r="F118" s="2329">
        <f ca="1">ROUND(IF(D32="总价",C35,G118*B118/10000),0)</f>
        <v>1223</v>
      </c>
      <c r="G118" s="2329">
        <f ca="1">ROUND(IF(D32="楼面单价",C35,F118*10000/B118),0)</f>
        <v>3545</v>
      </c>
      <c r="H118" s="2329">
        <f ca="1">ROUND(IF(D32="总价",C32,I118*B118/10000),0)</f>
        <v>7599</v>
      </c>
      <c r="I118" s="2329">
        <f ca="1">ROUND(IF(D32="楼面单价",C32,H118*10000/B118),0)</f>
        <v>22026</v>
      </c>
    </row>
    <row r="119" spans="1:27" ht="18.75" customHeight="1">
      <c r="A119" s="3562" t="s">
        <v>1452</v>
      </c>
      <c r="B119" s="3562"/>
      <c r="C119" s="3562"/>
      <c r="D119" s="3568" t="str">
        <f ca="1">NUMBERSTRING(INT(D118*10000),2)&amp;"元整"</f>
        <v>陆仟叁佰柒拾陆万元整</v>
      </c>
      <c r="E119" s="3569"/>
      <c r="F119" s="3568" t="str">
        <f ca="1">NUMBERSTRING(INT(F118*10000),2)&amp;"元整"</f>
        <v>壹仟贰佰贰拾叁万元整</v>
      </c>
      <c r="G119" s="3569"/>
      <c r="H119" s="3568" t="str">
        <f ca="1">NUMBERSTRING(INT(H118*10000),2)&amp;"元整"</f>
        <v>柒仟伍佰玖拾玖万元整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7599</v>
      </c>
      <c r="E122" s="3564"/>
      <c r="F122" s="3564"/>
      <c r="G122" s="3564"/>
      <c r="H122" s="3564"/>
      <c r="I122" s="3565"/>
      <c r="AA122" s="725"/>
    </row>
    <row r="123" spans="1:27" ht="18.75" customHeight="1">
      <c r="A123" s="3562" t="s">
        <v>1452</v>
      </c>
      <c r="B123" s="3562"/>
      <c r="C123" s="3562"/>
      <c r="D123" s="3568" t="str">
        <f ca="1">NUMBERSTRING(INT(D122*10000),2)&amp;"元整"</f>
        <v>柒仟伍佰玖拾玖万元整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
      </c>
      <c r="B126" s="3574"/>
      <c r="C126" s="3574"/>
      <c r="D126" s="3563" t="str">
        <f>H111</f>
        <v>——</v>
      </c>
      <c r="E126" s="3564"/>
      <c r="F126" s="3564"/>
      <c r="G126" s="3564"/>
      <c r="H126" s="3564"/>
      <c r="I126" s="3565"/>
      <c r="AA126" s="725"/>
    </row>
    <row r="127" spans="1:27" ht="18.75" customHeight="1">
      <c r="A127" s="3562" t="s">
        <v>1452</v>
      </c>
      <c r="B127" s="3562"/>
      <c r="C127" s="3562"/>
      <c r="D127" s="3568" t="e">
        <f>NUMBERSTRING(INT(D126*10000),2)&amp;"元整"</f>
        <v>#VALUE!</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26483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5534</v>
      </c>
      <c r="D5" s="211" t="s">
        <v>1469</v>
      </c>
      <c r="E5" s="212" t="s">
        <v>1470</v>
      </c>
      <c r="F5" s="212" t="s">
        <v>1471</v>
      </c>
      <c r="G5" s="213"/>
    </row>
    <row r="6" spans="1:9" s="214" customFormat="1" ht="13.5" customHeight="1">
      <c r="A6" s="778" t="s">
        <v>1472</v>
      </c>
      <c r="B6" s="215" t="s">
        <v>1473</v>
      </c>
      <c r="C6" s="216">
        <f>基准地价修正!V2+基准地价修正!V3+基准地价修正!V4+基准地价修正!E37</f>
        <v>5306</v>
      </c>
      <c r="D6" s="217"/>
      <c r="E6" s="218"/>
      <c r="F6" s="218"/>
      <c r="G6" s="219"/>
    </row>
    <row r="7" spans="1:9" s="214" customFormat="1" ht="13.5" customHeight="1">
      <c r="A7" s="778" t="s">
        <v>1474</v>
      </c>
      <c r="B7" s="215" t="s">
        <v>1475</v>
      </c>
      <c r="C7" s="220">
        <f>ROUND(C6*F7,0)</f>
        <v>162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66</v>
      </c>
      <c r="D8" s="222"/>
      <c r="E8" s="220"/>
      <c r="F8" s="221"/>
      <c r="G8" s="1856" t="s">
        <v>3390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3409</v>
      </c>
      <c r="H9" s="1137"/>
      <c r="I9" s="1858" t="s">
        <v>1479</v>
      </c>
    </row>
    <row r="10" spans="1:9" s="214" customFormat="1" ht="13.5" customHeight="1">
      <c r="A10" s="779" t="s">
        <v>356</v>
      </c>
      <c r="B10" s="224" t="s">
        <v>1480</v>
      </c>
      <c r="C10" s="225">
        <f ca="1">ROUND(D10*E10/10000,0)</f>
        <v>66</v>
      </c>
      <c r="D10" s="845">
        <f ca="1">IF(B1="",'数据-汇总表'!E6,IF(INDIRECT("'数据-取费表'!c"&amp;$G$1)="住宅",INDIRECT("'数据-取费表'!s"&amp;$G$1),INDIRECT("'数据-取费表'!k"&amp;$G$1)+INDIRECT("'数据-取费表'!s"&amp;$G$1)))</f>
        <v>3450.08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3450.08</v>
      </c>
      <c r="E19" s="211">
        <f>'数据-取费表'!B31</f>
        <v>200</v>
      </c>
      <c r="F19" s="231"/>
      <c r="G19" s="1856" t="s">
        <v>3391</v>
      </c>
    </row>
    <row r="20" spans="1:7" s="214" customFormat="1" ht="13.5" customHeight="1">
      <c r="A20" s="255" t="s">
        <v>1493</v>
      </c>
      <c r="B20" s="210" t="s">
        <v>1494</v>
      </c>
      <c r="C20" s="232">
        <f ca="1">ROUND((C5+C19)*F20,0)</f>
        <v>111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292</v>
      </c>
      <c r="D22" s="235">
        <f ca="1">C26</f>
        <v>5.0000000000000001E-4</v>
      </c>
      <c r="E22" s="236" t="s">
        <v>1498</v>
      </c>
      <c r="F22" s="237">
        <f ca="1">'数据-取费表'!B40</f>
        <v>3.4499999999999996E-2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289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1129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1129</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7662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1511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1380</v>
      </c>
      <c r="D34" s="217"/>
      <c r="E34" s="220"/>
      <c r="F34" s="257">
        <f ca="1">IF('数据-取费表'!B24=0,1,IF(B1="",'数据-取费表'!N16,INDIRECT("'数据-取费表'!n"&amp;$G$1)))</f>
        <v>1</v>
      </c>
      <c r="G34" s="219" t="s">
        <v>1526</v>
      </c>
    </row>
    <row r="35" spans="1:7" ht="13.5" customHeight="1">
      <c r="A35" s="780" t="s">
        <v>351</v>
      </c>
      <c r="B35" s="215" t="s">
        <v>1527</v>
      </c>
      <c r="C35" s="220">
        <f ca="1">ROUND(C34*F35,0)</f>
        <v>41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69</v>
      </c>
      <c r="D37" s="217">
        <f ca="1">D19</f>
        <v>3450.08</v>
      </c>
      <c r="E37" s="249">
        <f>'数据-取费表'!B35</f>
        <v>200</v>
      </c>
      <c r="F37" s="259"/>
      <c r="G37" s="261" t="s">
        <v>1532</v>
      </c>
    </row>
    <row r="38" spans="1:7" ht="13.5" customHeight="1">
      <c r="A38" s="780" t="s">
        <v>354</v>
      </c>
      <c r="B38" s="215" t="s">
        <v>1533</v>
      </c>
      <c r="C38" s="220">
        <f ca="1">ROUND(C34*F38,0)</f>
        <v>21</v>
      </c>
      <c r="D38" s="220"/>
      <c r="E38" s="220"/>
      <c r="F38" s="259">
        <f>'数据-取费表'!B36</f>
        <v>1.4999999999999999E-2</v>
      </c>
      <c r="G38" s="219" t="s">
        <v>1528</v>
      </c>
    </row>
    <row r="39" spans="1:7" s="214" customFormat="1" ht="13.5" customHeight="1">
      <c r="A39" s="255" t="s">
        <v>1534</v>
      </c>
      <c r="B39" s="210" t="s">
        <v>1535</v>
      </c>
      <c r="C39" s="232">
        <f ca="1">ROUND(C33*F20,0)</f>
        <v>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v>
      </c>
      <c r="D41" s="235">
        <f ca="1">C44</f>
        <v>5.0000000000000001E-4</v>
      </c>
      <c r="E41" s="236" t="s">
        <v>1539</v>
      </c>
      <c r="F41" s="237">
        <f ca="1">F22</f>
        <v>3.4499999999999996E-2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v>
      </c>
      <c r="D42" s="238"/>
      <c r="E42" s="238"/>
      <c r="F42" s="239"/>
      <c r="G42" s="3641" t="s">
        <v>1544</v>
      </c>
    </row>
    <row r="43" spans="1:7" ht="13.5" customHeight="1">
      <c r="A43" s="780" t="s">
        <v>347</v>
      </c>
      <c r="B43" s="215" t="s">
        <v>1545</v>
      </c>
      <c r="C43" s="238">
        <f ca="1">ROUND(IF('数据-取费表'!B22&lt;=1,C39*F22*'数据-取费表'!B21/2,C39*(POWER((1+F22),'数据-取费表'!B21/2)-1)),0)</f>
        <v>1</v>
      </c>
      <c r="D43" s="238"/>
      <c r="E43" s="238"/>
      <c r="F43" s="239"/>
      <c r="G43" s="3642"/>
    </row>
    <row r="44" spans="1:7" ht="13.5" customHeight="1">
      <c r="A44" s="780" t="s">
        <v>348</v>
      </c>
      <c r="B44" s="215" t="s">
        <v>1546</v>
      </c>
      <c r="C44" s="238">
        <f ca="1">ROUND(IF('数据-取费表'!B22&lt;=1,C40*F22*'数据-取费表'!B21/2,C40*(POWER((1+F22),'数据-取费表'!B21/2)-1)),4)</f>
        <v>5.0000000000000001E-4</v>
      </c>
      <c r="D44" s="238"/>
      <c r="E44" s="238"/>
      <c r="F44" s="239"/>
      <c r="G44" s="3643"/>
    </row>
    <row r="45" spans="1:7" s="214" customFormat="1" ht="13.5" customHeight="1">
      <c r="A45" s="255" t="s">
        <v>1547</v>
      </c>
      <c r="B45" s="244" t="s">
        <v>1513</v>
      </c>
      <c r="C45" s="245">
        <f ca="1">C46</f>
        <v>308</v>
      </c>
      <c r="D45" s="235">
        <f ca="1">C47</f>
        <v>4.0000000000000001E-3</v>
      </c>
      <c r="E45" s="236" t="s">
        <v>1539</v>
      </c>
      <c r="F45" s="246">
        <f ca="1">F27</f>
        <v>0.2</v>
      </c>
      <c r="G45" s="247" t="s">
        <v>1548</v>
      </c>
    </row>
    <row r="46" spans="1:7" s="214" customFormat="1" ht="13.5" customHeight="1">
      <c r="A46" s="780" t="s">
        <v>346</v>
      </c>
      <c r="B46" s="248" t="s">
        <v>1549</v>
      </c>
      <c r="C46" s="249">
        <f ca="1">ROUND((C33+C39)*F27,0)</f>
        <v>308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2048</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1475</v>
      </c>
      <c r="D51" s="232"/>
      <c r="E51" s="232"/>
      <c r="F51" s="264"/>
      <c r="G51" s="234" t="s">
        <v>1560</v>
      </c>
    </row>
    <row r="52" spans="1:7" s="208" customFormat="1" ht="16.5" thickBot="1">
      <c r="A52" s="265" t="s">
        <v>1561</v>
      </c>
      <c r="B52" s="266"/>
      <c r="C52" s="267">
        <f ca="1">C31+C51</f>
        <v>9137</v>
      </c>
      <c r="D52" s="266"/>
      <c r="E52" s="266"/>
      <c r="F52" s="266"/>
      <c r="G52" s="268"/>
    </row>
    <row r="55" spans="1:7" ht="15">
      <c r="B55" s="270" t="s">
        <v>1562</v>
      </c>
      <c r="C55" s="271"/>
    </row>
    <row r="56" spans="1:7">
      <c r="B56" s="273" t="s">
        <v>802</v>
      </c>
      <c r="C56" s="275">
        <f ca="1">1-C57</f>
        <v>0.83899999999999997</v>
      </c>
    </row>
    <row r="57" spans="1:7">
      <c r="B57" s="273" t="s">
        <v>803</v>
      </c>
      <c r="C57" s="274">
        <f ca="1">ROUND(C51/C52,3)</f>
        <v>0.161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1565.8390999999999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655515</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655515</v>
      </c>
      <c r="D8" s="222"/>
      <c r="E8" s="220"/>
      <c r="F8" s="221"/>
      <c r="G8" s="1856" t="s">
        <v>3390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655515</v>
      </c>
      <c r="D10" s="845">
        <f ca="1">IF(B1="",'数据-汇总表'!E6,IF(INDIRECT("'数据-取费表'!c"&amp;$G$1)="住宅",INDIRECT("'数据-取费表'!s"&amp;$G$1),INDIRECT("'数据-取费表'!k"&amp;$G$1)+INDIRECT("'数据-取费表'!s"&amp;$G$1)))</f>
        <v>3450.08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3450.08</v>
      </c>
      <c r="E19" s="211">
        <f>'数据-取费表'!B31</f>
        <v>200</v>
      </c>
      <c r="F19" s="231"/>
      <c r="G19" s="1856" t="s">
        <v>3391</v>
      </c>
    </row>
    <row r="20" spans="1:7" s="214" customFormat="1" ht="13.5" customHeight="1">
      <c r="A20" s="255" t="s">
        <v>1574</v>
      </c>
      <c r="B20" s="210" t="s">
        <v>1575</v>
      </c>
      <c r="C20" s="232">
        <f ca="1">ROUND((C5+C19)*F20,0)</f>
        <v>13110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34552</v>
      </c>
      <c r="D22" s="235">
        <f ca="1">C26</f>
        <v>5.0000000000000001E-4</v>
      </c>
      <c r="E22" s="236" t="s">
        <v>1579</v>
      </c>
      <c r="F22" s="237">
        <f ca="1">'数据-取费表'!B40</f>
        <v>3.4499999999999996E-2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34214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338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133725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133725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907506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15111351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13800320</v>
      </c>
      <c r="D34" s="217"/>
      <c r="E34" s="220"/>
      <c r="F34" s="257"/>
      <c r="G34" s="219"/>
    </row>
    <row r="35" spans="1:7" ht="13.5" customHeight="1">
      <c r="A35" s="780" t="s">
        <v>351</v>
      </c>
      <c r="B35" s="215" t="s">
        <v>1527</v>
      </c>
      <c r="C35" s="220">
        <f ca="1">ROUND(C34*F35,0)</f>
        <v>414010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690016</v>
      </c>
      <c r="D37" s="217">
        <f ca="1">D19</f>
        <v>3450.08</v>
      </c>
      <c r="E37" s="249">
        <f>'数据-取费表'!B35</f>
        <v>200</v>
      </c>
      <c r="F37" s="259"/>
      <c r="G37" s="261"/>
    </row>
    <row r="38" spans="1:7" ht="13.5" customHeight="1">
      <c r="A38" s="780" t="s">
        <v>354</v>
      </c>
      <c r="B38" s="215" t="s">
        <v>1533</v>
      </c>
      <c r="C38" s="220">
        <f ca="1">ROUND(C34*F38,0)</f>
        <v>207005</v>
      </c>
      <c r="D38" s="220"/>
      <c r="E38" s="220"/>
      <c r="F38" s="259">
        <f>'数据-取费表'!B36</f>
        <v>1.4999999999999999E-2</v>
      </c>
      <c r="G38" s="219" t="s">
        <v>1528</v>
      </c>
    </row>
    <row r="39" spans="1:7" s="214" customFormat="1" ht="13.5" customHeight="1">
      <c r="A39" s="255" t="s">
        <v>1534</v>
      </c>
      <c r="B39" s="210" t="s">
        <v>1535</v>
      </c>
      <c r="C39" s="232">
        <f ca="1">ROUND(C33*F20,0)</f>
        <v>302227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397131</v>
      </c>
      <c r="D41" s="235">
        <f ca="1">C44</f>
        <v>5.0000000000000001E-4</v>
      </c>
      <c r="E41" s="236" t="s">
        <v>1539</v>
      </c>
      <c r="F41" s="237">
        <f ca="1">F22</f>
        <v>3.4499999999999996E-2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389344</v>
      </c>
      <c r="D42" s="238"/>
      <c r="E42" s="238"/>
      <c r="F42" s="239"/>
      <c r="G42" s="3641" t="s">
        <v>1591</v>
      </c>
    </row>
    <row r="43" spans="1:7" ht="13.5" customHeight="1">
      <c r="A43" s="780" t="s">
        <v>347</v>
      </c>
      <c r="B43" s="215" t="s">
        <v>1545</v>
      </c>
      <c r="C43" s="238">
        <f ca="1">ROUND(IF('数据-取费表'!B22&lt;=1,C39*F22*'数据-取费表'!B20/2,C39*(POWER((1+F22),'数据-取费表'!B20/2)-1)),0)</f>
        <v>7787</v>
      </c>
      <c r="D43" s="238"/>
      <c r="E43" s="238"/>
      <c r="F43" s="239"/>
      <c r="G43" s="3642"/>
    </row>
    <row r="44" spans="1:7" ht="13.5" customHeight="1">
      <c r="A44" s="780" t="s">
        <v>348</v>
      </c>
      <c r="B44" s="215" t="s">
        <v>1546</v>
      </c>
      <c r="C44" s="238">
        <f ca="1">ROUND(IF('数据-取费表'!B22&lt;=1,C40*F22*'数据-取费表'!B20/2,C40*(POWER((1+F22),'数据-取费表'!B20/2)-1)),4)</f>
        <v>5.0000000000000001E-4</v>
      </c>
      <c r="D44" s="238"/>
      <c r="E44" s="238"/>
      <c r="F44" s="239"/>
      <c r="G44" s="3643"/>
    </row>
    <row r="45" spans="1:7" s="214" customFormat="1" ht="13.5" customHeight="1">
      <c r="A45" s="255" t="s">
        <v>1547</v>
      </c>
      <c r="B45" s="244" t="s">
        <v>1513</v>
      </c>
      <c r="C45" s="245">
        <f ca="1">C46</f>
        <v>3082716</v>
      </c>
      <c r="D45" s="235">
        <f ca="1">C47</f>
        <v>4.0000000000000001E-3</v>
      </c>
      <c r="E45" s="236" t="s">
        <v>1539</v>
      </c>
      <c r="F45" s="246">
        <f ca="1">F27</f>
        <v>0.2</v>
      </c>
      <c r="G45" s="247" t="s">
        <v>1548</v>
      </c>
    </row>
    <row r="46" spans="1:7" s="214" customFormat="1" ht="13.5" customHeight="1">
      <c r="A46" s="780" t="s">
        <v>346</v>
      </c>
      <c r="B46" s="248" t="s">
        <v>1549</v>
      </c>
      <c r="C46" s="249">
        <f ca="1">ROUND((C33+C39)*F27,0)</f>
        <v>3082716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20487340</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14750885</v>
      </c>
      <c r="D51" s="232"/>
      <c r="E51" s="232"/>
      <c r="F51" s="264"/>
      <c r="G51" s="234" t="s">
        <v>1560</v>
      </c>
    </row>
    <row r="52" spans="1:7" s="208" customFormat="1" ht="16.5" thickBot="1">
      <c r="A52" s="265" t="s">
        <v>1561</v>
      </c>
      <c r="B52" s="266"/>
      <c r="C52" s="267">
        <f ca="1">C31+C51</f>
        <v>15658391</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3450.08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3450.08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66</v>
      </c>
      <c r="D20" s="846">
        <f ca="1">IF(C1="",'数据-汇总表'!E6,IF(INDIRECT("'数据-取费表'!c"&amp;$K$1)="住宅",INDIRECT("'数据-取费表'!s"&amp;$K$1),INDIRECT("'数据-取费表'!k"&amp;$K$1)+INDIRECT("'数据-取费表'!s"&amp;$K$1)))</f>
        <v>3450.08</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3.4499999999999996E-2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1" zoomScale="70" zoomScaleNormal="70" zoomScaleSheetLayoutView="70" workbookViewId="0">
      <selection activeCell="F50" sqref="F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20.99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6573</v>
      </c>
      <c r="C2" s="1387" t="s">
        <v>805</v>
      </c>
      <c r="D2" s="1387"/>
      <c r="E2" s="1388"/>
      <c r="F2" s="1389"/>
      <c r="G2" s="2706"/>
      <c r="H2" s="2695"/>
      <c r="I2" s="2695"/>
      <c r="J2" s="2695"/>
      <c r="K2" s="2696"/>
      <c r="L2" s="2695"/>
      <c r="M2" s="2695"/>
    </row>
    <row r="3" spans="1:37" ht="18" customHeight="1" thickBot="1">
      <c r="A3" s="1390" t="s">
        <v>806</v>
      </c>
      <c r="B3" s="1391">
        <f ca="1">IF(ISERROR(B2*10000/F43),0,ROUND(B2*10000/F43,0))</f>
        <v>19052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549</v>
      </c>
      <c r="D5" s="1364" t="s">
        <v>693</v>
      </c>
      <c r="E5" s="1071"/>
      <c r="F5" s="1072"/>
      <c r="G5" s="1384"/>
      <c r="H5" s="299">
        <v>1</v>
      </c>
      <c r="I5" s="300" t="s">
        <v>692</v>
      </c>
      <c r="J5" s="1070">
        <f ca="1">J6+J10+J12</f>
        <v>701</v>
      </c>
      <c r="K5" s="1364" t="s">
        <v>693</v>
      </c>
      <c r="L5" s="1071"/>
      <c r="M5" s="1072"/>
    </row>
    <row r="6" spans="1:37" ht="18" customHeight="1">
      <c r="A6" s="1069" t="s">
        <v>398</v>
      </c>
      <c r="B6" s="3646" t="s">
        <v>694</v>
      </c>
      <c r="C6" s="1074">
        <f ca="1">ROUND(F6*F8*F7*(1-F9)/10000,0)</f>
        <v>548</v>
      </c>
      <c r="D6" s="155" t="s">
        <v>2109</v>
      </c>
      <c r="E6" s="302" t="s">
        <v>696</v>
      </c>
      <c r="F6" s="303">
        <f ca="1">INDIRECT("'数据-取费表'!u"&amp;$G$1)</f>
        <v>4.3499999999999996</v>
      </c>
      <c r="G6" s="1384"/>
      <c r="H6" s="1069" t="s">
        <v>398</v>
      </c>
      <c r="I6" s="3646" t="s">
        <v>694</v>
      </c>
      <c r="J6" s="301">
        <f ca="1">ROUND(M6*M8*M7*(1-M9)/10000,0)</f>
        <v>700</v>
      </c>
      <c r="K6" s="155" t="s">
        <v>2108</v>
      </c>
      <c r="L6" s="302" t="s">
        <v>696</v>
      </c>
      <c r="M6" s="303">
        <f ca="1">INDIRECT("'数据-取费表'!z"&amp;$G$1)</f>
        <v>6.18</v>
      </c>
    </row>
    <row r="7" spans="1:37" ht="18" customHeight="1">
      <c r="A7" s="1073"/>
      <c r="B7" s="3647"/>
      <c r="C7" s="1075"/>
      <c r="D7" s="307"/>
      <c r="E7" s="1076" t="s">
        <v>697</v>
      </c>
      <c r="F7" s="303">
        <f ca="1">IF(INDIRECT("'数据-取费表'!ah"&amp;$G$1)="",INDIRECT("'数据-取费表'!k"&amp;$G$1),INDIRECT("'数据-取费表'!ah"&amp;$G$1))</f>
        <v>3450.08</v>
      </c>
      <c r="G7" s="1384"/>
      <c r="H7" s="304"/>
      <c r="I7" s="3647"/>
      <c r="J7" s="306"/>
      <c r="K7" s="307"/>
      <c r="L7" s="302" t="s">
        <v>697</v>
      </c>
      <c r="M7" s="303">
        <f ca="1">F7</f>
        <v>3450.08</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0.1</v>
      </c>
    </row>
    <row r="10" spans="1:37" ht="18" customHeight="1">
      <c r="A10" s="1069" t="s">
        <v>402</v>
      </c>
      <c r="B10" s="1365" t="s">
        <v>700</v>
      </c>
      <c r="C10" s="316">
        <f ca="1">ROUND(IF(F10="押一",C6/12*F11,IF(F10="押二",C6/12*2*F11,IF(F10="押三",C6/12*3*F11,C11*F11))),0)</f>
        <v>1</v>
      </c>
      <c r="D10" s="1366" t="s">
        <v>2117</v>
      </c>
      <c r="E10" s="313" t="s">
        <v>701</v>
      </c>
      <c r="F10" s="1116" t="s">
        <v>3392</v>
      </c>
      <c r="G10" s="1384"/>
      <c r="H10" s="1069" t="s">
        <v>402</v>
      </c>
      <c r="I10" s="1365" t="s">
        <v>700</v>
      </c>
      <c r="J10" s="301">
        <f ca="1">ROUND(IF(M10="押一",J6/12*M11,IF(M10="押二",J6/12*2*M11,IF(M10="押三",J6/12*3*M11,J11*M11))),0)</f>
        <v>1</v>
      </c>
      <c r="K10" s="1366" t="s">
        <v>2116</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1475</v>
      </c>
      <c r="D13" s="1081" t="s">
        <v>705</v>
      </c>
      <c r="E13" s="1081" t="s">
        <v>706</v>
      </c>
      <c r="F13" s="1082">
        <f ca="1">INDIRECT("'数据-取费表'!y"&amp;$G$1)</f>
        <v>0.72</v>
      </c>
      <c r="G13" s="1384"/>
      <c r="H13" s="1079">
        <v>2</v>
      </c>
      <c r="I13" s="1080" t="s">
        <v>704</v>
      </c>
      <c r="J13" s="1068">
        <f ca="1">ROUND(J14*J15,0)</f>
        <v>963</v>
      </c>
      <c r="K13" s="1087" t="s">
        <v>705</v>
      </c>
      <c r="L13" s="1392"/>
      <c r="M13" s="1393"/>
    </row>
    <row r="14" spans="1:37" ht="18" customHeight="1">
      <c r="A14" s="982" t="s">
        <v>397</v>
      </c>
      <c r="B14" s="302" t="s">
        <v>707</v>
      </c>
      <c r="C14" s="318">
        <f ca="1">INDIRECT("'数据-取费表'!m"&amp;$G$1)+INDIRECT("'数据-取费表'!t"&amp;$G$1)</f>
        <v>1380</v>
      </c>
      <c r="D14" s="1345" t="s">
        <v>708</v>
      </c>
      <c r="E14" s="1342"/>
      <c r="F14" s="319"/>
      <c r="G14" s="1384"/>
      <c r="H14" s="982" t="s">
        <v>398</v>
      </c>
      <c r="I14" s="302" t="s">
        <v>709</v>
      </c>
      <c r="J14" s="21">
        <f ca="1">C29</f>
        <v>2048</v>
      </c>
      <c r="K14" s="12"/>
      <c r="L14" s="807"/>
      <c r="M14" s="808"/>
    </row>
    <row r="15" spans="1:37" s="1397" customFormat="1" ht="18" customHeight="1" thickBot="1">
      <c r="A15" s="982" t="s">
        <v>399</v>
      </c>
      <c r="B15" s="302" t="s">
        <v>710</v>
      </c>
      <c r="C15" s="21">
        <f ca="1">ROUND(C14*F15,0)</f>
        <v>41</v>
      </c>
      <c r="D15" s="320" t="s">
        <v>711</v>
      </c>
      <c r="E15" s="320" t="s">
        <v>712</v>
      </c>
      <c r="F15" s="321">
        <f>'数据-取费表'!B33</f>
        <v>0.03</v>
      </c>
      <c r="G15" s="1396"/>
      <c r="H15" s="1089" t="s">
        <v>402</v>
      </c>
      <c r="I15" s="1090" t="s">
        <v>706</v>
      </c>
      <c r="J15" s="1099">
        <f ca="1">INDIRECT("'数据-取费表'!ad"&amp;$G$1)</f>
        <v>0.47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132</v>
      </c>
      <c r="K16" s="1087" t="s">
        <v>715</v>
      </c>
      <c r="L16" s="1088"/>
      <c r="M16" s="1072"/>
    </row>
    <row r="17" spans="1:37" s="1397" customFormat="1" ht="18" customHeight="1">
      <c r="A17" s="982" t="s">
        <v>681</v>
      </c>
      <c r="B17" s="302" t="s">
        <v>716</v>
      </c>
      <c r="C17" s="21">
        <f ca="1">ROUND(F17*(F43+INDIRECT("'数据-取费表'!S"&amp;$G$1))/10000,0)</f>
        <v>69</v>
      </c>
      <c r="D17" s="302" t="s">
        <v>717</v>
      </c>
      <c r="E17" s="302" t="s">
        <v>718</v>
      </c>
      <c r="F17" s="23">
        <f>'数据-取费表'!B35</f>
        <v>200</v>
      </c>
      <c r="G17" s="1396"/>
      <c r="H17" s="982" t="s">
        <v>398</v>
      </c>
      <c r="I17" s="302" t="s">
        <v>719</v>
      </c>
      <c r="J17" s="2316">
        <f ca="1">ROUND(IF(AND(项目基本情况!B11="自然人",项目基本情况!B10="北京市"),J6*M17/(1+'数据-取费表'!C42),J18+J19+J20),2)</f>
        <v>117.33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v>
      </c>
      <c r="D18" s="302" t="s">
        <v>711</v>
      </c>
      <c r="E18" s="302" t="s">
        <v>712</v>
      </c>
      <c r="F18" s="322">
        <f>'数据-取费表'!B36</f>
        <v>1.4999999999999999E-2</v>
      </c>
      <c r="G18" s="1396"/>
      <c r="H18" s="982" t="s">
        <v>397</v>
      </c>
      <c r="I18" s="302" t="s">
        <v>723</v>
      </c>
      <c r="J18" s="21">
        <f ca="1">ROUND(J6*M18/(1+'数据-取费表'!C42),2)</f>
        <v>37.33</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1511</v>
      </c>
      <c r="D19" s="131" t="s">
        <v>726</v>
      </c>
      <c r="E19" s="1360"/>
      <c r="F19" s="23"/>
      <c r="G19" s="1384"/>
      <c r="H19" s="982" t="s">
        <v>399</v>
      </c>
      <c r="I19" s="302" t="s">
        <v>727</v>
      </c>
      <c r="J19" s="21">
        <f ca="1">IF(K19="按租金收入计税",ROUND(J6*M19/(1+'数据-取费表'!C42),2),ROUND(C29*M19*0.7,2))</f>
        <v>80</v>
      </c>
      <c r="K19" s="1370" t="s">
        <v>3339</v>
      </c>
      <c r="L19" s="302" t="s">
        <v>712</v>
      </c>
      <c r="M19" s="322">
        <f>IF(K19="按租金收入计税",'数据-取费表'!B51,'数据-取费表'!B50)</f>
        <v>0.12</v>
      </c>
    </row>
    <row r="20" spans="1:37" s="1397" customFormat="1" ht="18" customHeight="1">
      <c r="A20" s="982" t="s">
        <v>402</v>
      </c>
      <c r="B20" s="302" t="s">
        <v>728</v>
      </c>
      <c r="C20" s="21">
        <f ca="1">ROUND(C19*F20,0)</f>
        <v>30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10.24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0.96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3.4499999999999996E-2</v>
      </c>
      <c r="G24" s="1396"/>
      <c r="H24" s="1089" t="s">
        <v>684</v>
      </c>
      <c r="I24" s="1090" t="s">
        <v>728</v>
      </c>
      <c r="J24" s="1091">
        <f ca="1">ROUND(J5*M24,2)</f>
        <v>3.51</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569</v>
      </c>
      <c r="K25" s="1095" t="s">
        <v>753</v>
      </c>
      <c r="L25" s="1096"/>
      <c r="M25" s="1097"/>
    </row>
    <row r="26" spans="1:37">
      <c r="A26" s="982" t="s">
        <v>397</v>
      </c>
      <c r="B26" s="302" t="s">
        <v>754</v>
      </c>
      <c r="C26" s="21">
        <f ca="1">ROUND((C19+C20)*F26,0)</f>
        <v>308</v>
      </c>
      <c r="D26" s="323" t="s">
        <v>755</v>
      </c>
      <c r="E26" s="313" t="s">
        <v>756</v>
      </c>
      <c r="F26" s="312">
        <f ca="1">INDIRECT("'数据-取费表'!q"&amp;$G$1)</f>
        <v>0.2</v>
      </c>
      <c r="G26" s="1384"/>
      <c r="H26" s="299" t="s">
        <v>395</v>
      </c>
      <c r="I26" s="300" t="s">
        <v>757</v>
      </c>
      <c r="J26" s="301">
        <f ca="1">IF(J5&lt;&gt;0,ROUND(J25*(1-((1+M28)/(1+M26))^M27)/(M26-M28),0),0)</f>
        <v>3360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6.759999999999998</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2048</v>
      </c>
      <c r="D29" s="1092"/>
      <c r="E29" s="1090"/>
      <c r="F29" s="1093"/>
      <c r="G29" s="1396"/>
      <c r="H29" s="334" t="s">
        <v>396</v>
      </c>
      <c r="I29" s="335" t="s">
        <v>768</v>
      </c>
      <c r="J29" s="336">
        <f ca="1">ROUND(J26/(1+F40)^F41,0)</f>
        <v>1568</v>
      </c>
      <c r="K29" s="337" t="s">
        <v>769</v>
      </c>
      <c r="L29" s="338"/>
      <c r="M29" s="339">
        <f ca="1">INDIRECT("'数据-取费表'!k"&amp;$G$1)</f>
        <v>3450.08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91.86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29.23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62.63</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10.24</v>
      </c>
      <c r="D36" s="1344" t="s">
        <v>771</v>
      </c>
      <c r="E36" s="302" t="s">
        <v>712</v>
      </c>
      <c r="F36" s="328">
        <f ca="1">INDIRECT("'数据-取费表'!Ak"&amp;$G$1)</f>
        <v>5.0000000000000001E-3</v>
      </c>
      <c r="G36" s="1384"/>
      <c r="H36" s="2700">
        <f ca="1">C39/C5</f>
        <v>0.80692167577413476</v>
      </c>
      <c r="I36" s="1398"/>
      <c r="J36" s="1399"/>
      <c r="K36" s="2544"/>
      <c r="L36" s="2700"/>
      <c r="M36" s="2700"/>
    </row>
    <row r="37" spans="1:18" ht="18" customHeight="1">
      <c r="A37" s="982" t="s">
        <v>437</v>
      </c>
      <c r="B37" s="302" t="s">
        <v>742</v>
      </c>
      <c r="C37" s="21">
        <f ca="1">ROUND(C13*F37,2)</f>
        <v>1.48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2.75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443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4826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14.23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13988</v>
      </c>
      <c r="D43" s="337" t="s">
        <v>777</v>
      </c>
      <c r="E43" s="338" t="s">
        <v>778</v>
      </c>
      <c r="F43" s="339">
        <f ca="1">INDIRECT("'数据-取费表'!k"&amp;$G$1)</f>
        <v>3450.08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314</v>
      </c>
      <c r="D46" s="1406" t="str">
        <f>C2</f>
        <v>万元</v>
      </c>
      <c r="E46" s="1400"/>
      <c r="F46" s="1400"/>
      <c r="I46" s="1407" t="s">
        <v>810</v>
      </c>
      <c r="J46" s="1408"/>
      <c r="K46" s="1409"/>
      <c r="L46" s="1410">
        <f ca="1">IF(M47="住宅",0,IF(L48&gt;J51,L60,J60))</f>
        <v>179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6394</v>
      </c>
      <c r="R47" s="1420" t="s">
        <v>818</v>
      </c>
    </row>
    <row r="48" spans="1:18" s="1384" customFormat="1" ht="28.5" thickBot="1">
      <c r="A48" s="1110" t="s">
        <v>438</v>
      </c>
      <c r="B48" s="300" t="s">
        <v>692</v>
      </c>
      <c r="C48" s="1359">
        <f ca="1">C49+C53+C55</f>
        <v>568</v>
      </c>
      <c r="D48" s="1112"/>
      <c r="E48" s="1113"/>
      <c r="F48" s="962"/>
      <c r="G48" s="722"/>
      <c r="H48" s="723"/>
      <c r="I48" s="1421" t="s">
        <v>819</v>
      </c>
      <c r="J48" s="1422" t="s">
        <v>3394</v>
      </c>
      <c r="K48" s="1423" t="s">
        <v>820</v>
      </c>
      <c r="L48" s="1424">
        <f ca="1">INDIRECT("'数据-取费表'!f"&amp;$G$1)</f>
        <v>20.99</v>
      </c>
      <c r="O48" s="1418" t="s">
        <v>404</v>
      </c>
      <c r="P48" s="1419" t="s">
        <v>821</v>
      </c>
      <c r="Q48" s="1420">
        <f ca="1">J60</f>
        <v>179</v>
      </c>
      <c r="R48" s="1420" t="s">
        <v>822</v>
      </c>
    </row>
    <row r="49" spans="1:18" s="1384" customFormat="1" ht="13.5" thickBot="1">
      <c r="A49" s="975" t="s">
        <v>439</v>
      </c>
      <c r="B49" s="1371" t="s">
        <v>779</v>
      </c>
      <c r="C49" s="1114">
        <f ca="1">ROUND(F49*F51*F50*(1-F52)/10000,0)</f>
        <v>567</v>
      </c>
      <c r="D49" s="1055" t="s">
        <v>2110</v>
      </c>
      <c r="E49" s="1372" t="s">
        <v>780</v>
      </c>
      <c r="F49" s="1060">
        <f>'数据-取费表'!X29</f>
        <v>5</v>
      </c>
      <c r="G49" s="1425"/>
      <c r="H49" s="723"/>
      <c r="I49" s="1421" t="s">
        <v>823</v>
      </c>
      <c r="J49" s="1426">
        <v>2006</v>
      </c>
      <c r="K49" s="1423" t="s">
        <v>824</v>
      </c>
      <c r="L49" s="1427"/>
      <c r="O49" s="1428" t="s">
        <v>405</v>
      </c>
      <c r="P49" s="1419" t="s">
        <v>825</v>
      </c>
      <c r="Q49" s="1420">
        <f ca="1">C29</f>
        <v>2048</v>
      </c>
      <c r="R49" s="1420" t="s">
        <v>818</v>
      </c>
    </row>
    <row r="50" spans="1:18" s="1384" customFormat="1" ht="13.5" thickBot="1">
      <c r="A50" s="976"/>
      <c r="B50" s="979"/>
      <c r="C50" s="1118"/>
      <c r="D50" s="953"/>
      <c r="E50" s="1056" t="s">
        <v>697</v>
      </c>
      <c r="F50" s="1057">
        <f ca="1">F7</f>
        <v>3450.08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5832</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20.99</v>
      </c>
      <c r="R52" s="1420" t="s">
        <v>835</v>
      </c>
    </row>
    <row r="53" spans="1:18" s="1384" customFormat="1" ht="24.75" thickBot="1">
      <c r="A53" s="1152" t="s">
        <v>440</v>
      </c>
      <c r="B53" s="1373" t="s">
        <v>700</v>
      </c>
      <c r="C53" s="316">
        <f ca="1">ROUND(IF(F53="押一",C49/12*F11,IF(F53="押二",C49/12*2*F11,IF(F53="押三",C49/12*3*F11,C54*F11))),0)</f>
        <v>1</v>
      </c>
      <c r="D53" s="1366" t="s">
        <v>2116</v>
      </c>
      <c r="E53" s="313" t="s">
        <v>701</v>
      </c>
      <c r="F53" s="1116" t="s">
        <v>3392</v>
      </c>
      <c r="I53" s="1439" t="s">
        <v>836</v>
      </c>
      <c r="J53" s="2168">
        <f ca="1">IF(M47="住宅",IF(D1="——",MAX(J51,L48),MAX(J51,L48-'数据-取费表'!B24)),IF(D1="——",MIN(J51,L48),MIN(J51,L48-'数据-取费表'!B24)))</f>
        <v>20.99</v>
      </c>
      <c r="K53" s="3644" t="s">
        <v>837</v>
      </c>
      <c r="L53" s="3645"/>
      <c r="O53" s="1418" t="s">
        <v>409</v>
      </c>
      <c r="P53" s="1419" t="s">
        <v>838</v>
      </c>
      <c r="Q53" s="1420">
        <f ca="1">Q47+Q48</f>
        <v>6573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1475</v>
      </c>
      <c r="D56" s="1447"/>
      <c r="E56" s="1448"/>
      <c r="F56" s="1440"/>
      <c r="I56" s="1449" t="s">
        <v>842</v>
      </c>
      <c r="J56" s="1450" t="s">
        <v>3395</v>
      </c>
      <c r="K56" s="1421" t="s">
        <v>843</v>
      </c>
      <c r="L56" s="1424" t="str">
        <f ca="1">IF(L48&lt;J51,"——",L48-J53)</f>
        <v>——</v>
      </c>
      <c r="O56" s="1418" t="s">
        <v>403</v>
      </c>
      <c r="P56" s="1419" t="s">
        <v>817</v>
      </c>
      <c r="Q56" s="1420">
        <f ca="1">C40+J29</f>
        <v>6394</v>
      </c>
      <c r="R56" s="1420" t="s">
        <v>818</v>
      </c>
    </row>
    <row r="57" spans="1:18" s="1384" customFormat="1" ht="24.75" thickBot="1">
      <c r="A57" s="1451"/>
      <c r="B57" s="950" t="s">
        <v>767</v>
      </c>
      <c r="C57" s="238">
        <f ca="1">C29</f>
        <v>2048</v>
      </c>
      <c r="D57" s="1452"/>
      <c r="E57" s="1453"/>
      <c r="F57" s="1454"/>
      <c r="I57" s="1455" t="s">
        <v>844</v>
      </c>
      <c r="J57" s="1456">
        <f ca="1">IF(OR(M47="住宅",J51&lt;L48,J56="是"),"——",J51-L48)</f>
        <v>22.01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110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95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819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30.29</v>
      </c>
      <c r="D60" s="964" t="s">
        <v>724</v>
      </c>
      <c r="E60" s="950" t="s">
        <v>712</v>
      </c>
      <c r="F60" s="331">
        <f t="shared" ref="F60:F66" si="0">F32</f>
        <v>5.6000000000000001E-2</v>
      </c>
      <c r="I60" s="1458" t="s">
        <v>853</v>
      </c>
      <c r="J60" s="1459">
        <f ca="1">IF(OR(M47="住宅",J51&lt;L48,J56="是"),"0",ROUND(J59/(1+J52)^J53,0))</f>
        <v>179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64.8</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6394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10.24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1.48</v>
      </c>
      <c r="D65" s="964" t="s">
        <v>743</v>
      </c>
      <c r="E65" s="950" t="s">
        <v>744</v>
      </c>
      <c r="F65" s="330">
        <f t="shared" ca="1" si="0"/>
        <v>1E-3</v>
      </c>
      <c r="I65" s="1462" t="s">
        <v>867</v>
      </c>
      <c r="J65" s="1463">
        <v>40</v>
      </c>
      <c r="K65" s="1463">
        <v>30</v>
      </c>
      <c r="L65" s="1463">
        <v>50</v>
      </c>
      <c r="M65" s="1465">
        <v>0.02</v>
      </c>
      <c r="O65" s="1418" t="s">
        <v>403</v>
      </c>
      <c r="P65" s="1419" t="s">
        <v>868</v>
      </c>
      <c r="Q65" s="1420">
        <f ca="1">C40+J29</f>
        <v>6394</v>
      </c>
      <c r="R65" s="1420" t="s">
        <v>818</v>
      </c>
    </row>
    <row r="66" spans="1:18" s="1384" customFormat="1" ht="16.5" thickBot="1">
      <c r="A66" s="982" t="s">
        <v>793</v>
      </c>
      <c r="B66" s="950" t="s">
        <v>728</v>
      </c>
      <c r="C66" s="21">
        <f ca="1">ROUND(C48*F66,2)</f>
        <v>2.84</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458</v>
      </c>
      <c r="D67" s="963" t="s">
        <v>753</v>
      </c>
      <c r="E67" s="968"/>
      <c r="F67" s="969"/>
      <c r="O67" s="1428" t="s">
        <v>405</v>
      </c>
      <c r="P67" s="1419" t="s">
        <v>850</v>
      </c>
      <c r="Q67" s="1466">
        <f ca="1">L51</f>
        <v>5832</v>
      </c>
      <c r="R67" s="1420" t="s">
        <v>870</v>
      </c>
    </row>
    <row r="68" spans="1:18" s="1384" customFormat="1" ht="16.5" thickBot="1">
      <c r="A68" s="947" t="s">
        <v>395</v>
      </c>
      <c r="B68" s="948" t="s">
        <v>774</v>
      </c>
      <c r="C68" s="301">
        <f ca="1">ROUND(C67*(1-((1+F70)/(1+F68))^F69)/(F68-F70),0)</f>
        <v>5140</v>
      </c>
      <c r="D68" s="965" t="s">
        <v>758</v>
      </c>
      <c r="E68" s="950" t="s">
        <v>759</v>
      </c>
      <c r="F68" s="312">
        <f ca="1">F40</f>
        <v>5.5E-2</v>
      </c>
      <c r="O68" s="1428" t="s">
        <v>406</v>
      </c>
      <c r="P68" s="1467" t="s">
        <v>871</v>
      </c>
      <c r="Q68" s="1420">
        <f ca="1">ROUND(Q69-Q70*Q71,0)</f>
        <v>332</v>
      </c>
      <c r="R68" s="1420" t="s">
        <v>414</v>
      </c>
    </row>
    <row r="69" spans="1:18" s="1384" customFormat="1" ht="13.5" thickBot="1">
      <c r="A69" s="951"/>
      <c r="B69" s="952"/>
      <c r="C69" s="306"/>
      <c r="D69" s="970" t="s">
        <v>762</v>
      </c>
      <c r="E69" s="950" t="s">
        <v>763</v>
      </c>
      <c r="F69" s="333">
        <f ca="1">F41</f>
        <v>14.23</v>
      </c>
      <c r="O69" s="1428" t="s">
        <v>411</v>
      </c>
      <c r="P69" s="1467" t="s">
        <v>872</v>
      </c>
      <c r="Q69" s="1420">
        <f ca="1">C39</f>
        <v>443</v>
      </c>
      <c r="R69" s="1420" t="s">
        <v>818</v>
      </c>
    </row>
    <row r="70" spans="1:18" s="1384" customFormat="1" ht="13.5" thickBot="1">
      <c r="A70" s="954"/>
      <c r="B70" s="955"/>
      <c r="C70" s="310"/>
      <c r="D70" s="966"/>
      <c r="E70" s="950" t="s">
        <v>766</v>
      </c>
      <c r="F70" s="1054">
        <v>2.5000000000000001E-2</v>
      </c>
      <c r="O70" s="1428" t="s">
        <v>412</v>
      </c>
      <c r="P70" s="1467" t="s">
        <v>873</v>
      </c>
      <c r="Q70" s="1420">
        <f ca="1">C13</f>
        <v>1475</v>
      </c>
      <c r="R70" s="1420" t="s">
        <v>818</v>
      </c>
    </row>
    <row r="71" spans="1:18" s="1384" customFormat="1" ht="13.5" thickBot="1">
      <c r="A71" s="971" t="s">
        <v>396</v>
      </c>
      <c r="B71" s="972" t="s">
        <v>776</v>
      </c>
      <c r="C71" s="336">
        <f ca="1">ROUND(C68*10000/F71,0)</f>
        <v>14898</v>
      </c>
      <c r="D71" s="973" t="s">
        <v>777</v>
      </c>
      <c r="E71" s="974" t="s">
        <v>778</v>
      </c>
      <c r="F71" s="339">
        <f ca="1">F43</f>
        <v>3450.08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111</v>
      </c>
      <c r="D75" s="1384"/>
      <c r="E75" s="1384"/>
      <c r="F75" s="1384"/>
      <c r="K75" s="1402"/>
      <c r="L75" s="1384"/>
      <c r="O75" s="1418" t="s">
        <v>409</v>
      </c>
      <c r="P75" s="1419" t="s">
        <v>838</v>
      </c>
      <c r="Q75" s="1420">
        <f ca="1">Q65+Q66</f>
        <v>6394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0.749</v>
      </c>
    </row>
    <row r="80" spans="1:18">
      <c r="B80" s="340" t="s">
        <v>800</v>
      </c>
      <c r="C80" s="274">
        <f ca="1">ROUND(C75/C39,3)</f>
        <v>0.251</v>
      </c>
    </row>
    <row r="81" spans="2:3">
      <c r="B81" s="270" t="s">
        <v>801</v>
      </c>
      <c r="C81" s="238"/>
    </row>
    <row r="82" spans="2:3">
      <c r="B82" s="273" t="s">
        <v>802</v>
      </c>
      <c r="C82" s="275">
        <f ca="1">1-C83</f>
        <v>0.69399999999999995</v>
      </c>
    </row>
    <row r="83" spans="2:3">
      <c r="B83" s="273" t="s">
        <v>803</v>
      </c>
      <c r="C83" s="274">
        <f ca="1">ROUND(C13/C40,3)</f>
        <v>0.30599999999999999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70" zoomScaleNormal="70" zoomScaleSheetLayoutView="70" workbookViewId="0">
      <selection activeCell="C7" sqref="C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20.99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6563.2977000000001</v>
      </c>
      <c r="C2" s="1387" t="s">
        <v>879</v>
      </c>
      <c r="D2" s="1471">
        <f ca="1">C40+J29+L46</f>
        <v>65632977</v>
      </c>
      <c r="E2" s="1388" t="s">
        <v>880</v>
      </c>
      <c r="F2" s="1389"/>
      <c r="G2" s="2706"/>
      <c r="H2" s="2695"/>
      <c r="I2" s="2695"/>
      <c r="J2" s="2695"/>
      <c r="K2" s="2696"/>
      <c r="L2" s="2695"/>
      <c r="M2" s="2695"/>
    </row>
    <row r="3" spans="1:37" ht="18" customHeight="1" thickBot="1">
      <c r="A3" s="1390" t="s">
        <v>881</v>
      </c>
      <c r="B3" s="1391">
        <f ca="1">IF(ISERROR(D2/F43),0,ROUND(D2/F43,0))</f>
        <v>19024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5484712</v>
      </c>
      <c r="D5" s="1364" t="s">
        <v>889</v>
      </c>
      <c r="E5" s="1071"/>
      <c r="F5" s="1072"/>
      <c r="G5" s="1384"/>
      <c r="H5" s="299">
        <v>1</v>
      </c>
      <c r="I5" s="300" t="s">
        <v>888</v>
      </c>
      <c r="J5" s="1070">
        <f ca="1">J6+J10+J12</f>
        <v>7004111</v>
      </c>
      <c r="K5" s="1364" t="s">
        <v>889</v>
      </c>
      <c r="L5" s="1071"/>
      <c r="M5" s="1072"/>
    </row>
    <row r="6" spans="1:37" ht="18" customHeight="1">
      <c r="A6" s="1069" t="s">
        <v>398</v>
      </c>
      <c r="B6" s="3646" t="s">
        <v>694</v>
      </c>
      <c r="C6" s="1074">
        <f ca="1">ROUND(F6*F8*F7*(1-F9),0)</f>
        <v>5477865</v>
      </c>
      <c r="D6" s="155" t="s">
        <v>2106</v>
      </c>
      <c r="E6" s="302" t="s">
        <v>696</v>
      </c>
      <c r="F6" s="303">
        <f ca="1">INDIRECT("'数据-取费表'!u"&amp;$G$1)</f>
        <v>4.3499999999999996</v>
      </c>
      <c r="G6" s="1384"/>
      <c r="H6" s="1069" t="s">
        <v>398</v>
      </c>
      <c r="I6" s="3646" t="s">
        <v>694</v>
      </c>
      <c r="J6" s="301">
        <f ca="1">ROUND(M6*M8*M7*(1-M9),0)</f>
        <v>7004111</v>
      </c>
      <c r="K6" s="1376" t="s">
        <v>2107</v>
      </c>
      <c r="L6" s="302" t="s">
        <v>696</v>
      </c>
      <c r="M6" s="303">
        <f ca="1">INDIRECT("'数据-取费表'!z"&amp;$G$1)</f>
        <v>6.18</v>
      </c>
    </row>
    <row r="7" spans="1:37" ht="18" customHeight="1">
      <c r="A7" s="1073"/>
      <c r="B7" s="3647"/>
      <c r="C7" s="1075"/>
      <c r="D7" s="307"/>
      <c r="E7" s="1076" t="s">
        <v>697</v>
      </c>
      <c r="F7" s="303">
        <f ca="1">IF(INDIRECT("'数据-取费表'!ah"&amp;$G$1)="",INDIRECT("'数据-取费表'!k"&amp;$G$1),INDIRECT("'数据-取费表'!ah"&amp;$G$1))</f>
        <v>3450.08</v>
      </c>
      <c r="G7" s="1384"/>
      <c r="H7" s="304"/>
      <c r="I7" s="3647"/>
      <c r="J7" s="306"/>
      <c r="K7" s="307"/>
      <c r="L7" s="302" t="s">
        <v>697</v>
      </c>
      <c r="M7" s="303">
        <f ca="1">F7</f>
        <v>3450.08</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0.1</v>
      </c>
    </row>
    <row r="10" spans="1:37" ht="18" customHeight="1">
      <c r="A10" s="1069" t="s">
        <v>402</v>
      </c>
      <c r="B10" s="1365" t="s">
        <v>700</v>
      </c>
      <c r="C10" s="316">
        <f ca="1">ROUND(IF(F10="押一",C6/12*F11,IF(F10="押二",C6/12*2*F11,IF(F10="押三",C6/12*3*F11,C11*F11))),0)</f>
        <v>6847</v>
      </c>
      <c r="D10" s="1366" t="s">
        <v>2116</v>
      </c>
      <c r="E10" s="313" t="s">
        <v>701</v>
      </c>
      <c r="F10" s="1116" t="s">
        <v>3392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14750885</v>
      </c>
      <c r="D13" s="1081" t="s">
        <v>705</v>
      </c>
      <c r="E13" s="1081" t="s">
        <v>706</v>
      </c>
      <c r="F13" s="1082">
        <f ca="1">INDIRECT("'数据-取费表'!y"&amp;$G$1)</f>
        <v>0.72</v>
      </c>
      <c r="G13" s="1384"/>
      <c r="H13" s="1079">
        <v>2</v>
      </c>
      <c r="I13" s="1080" t="s">
        <v>704</v>
      </c>
      <c r="J13" s="1068">
        <f ca="1">ROUND(J14*J15,0)</f>
        <v>9629050</v>
      </c>
      <c r="K13" s="1087" t="s">
        <v>705</v>
      </c>
      <c r="L13" s="1392"/>
      <c r="M13" s="1393"/>
    </row>
    <row r="14" spans="1:37" ht="18" customHeight="1">
      <c r="A14" s="982" t="s">
        <v>397</v>
      </c>
      <c r="B14" s="302" t="s">
        <v>707</v>
      </c>
      <c r="C14" s="318">
        <f ca="1">ROUND(INDIRECT("'数据-取费表'!l"&amp;$G$1)*F43+'数据-取费表'!L14*INDIRECT("'数据-取费表'!S"&amp;$G$1),0)</f>
        <v>13800320</v>
      </c>
      <c r="D14" s="1345" t="s">
        <v>708</v>
      </c>
      <c r="E14" s="1342"/>
      <c r="F14" s="319"/>
      <c r="G14" s="1384"/>
      <c r="H14" s="982" t="s">
        <v>398</v>
      </c>
      <c r="I14" s="302" t="s">
        <v>709</v>
      </c>
      <c r="J14" s="21">
        <f ca="1">C29</f>
        <v>20487340</v>
      </c>
      <c r="K14" s="12"/>
      <c r="L14" s="807"/>
      <c r="M14" s="808"/>
    </row>
    <row r="15" spans="1:37" s="1397" customFormat="1" ht="18" customHeight="1" thickBot="1">
      <c r="A15" s="982" t="s">
        <v>399</v>
      </c>
      <c r="B15" s="302" t="s">
        <v>710</v>
      </c>
      <c r="C15" s="21">
        <f ca="1">ROUND(C14*F15,0)</f>
        <v>414010</v>
      </c>
      <c r="D15" s="320" t="s">
        <v>711</v>
      </c>
      <c r="E15" s="320" t="s">
        <v>712</v>
      </c>
      <c r="F15" s="321">
        <f>'数据-取费表'!B33</f>
        <v>0.03</v>
      </c>
      <c r="G15" s="1396"/>
      <c r="H15" s="1089" t="s">
        <v>402</v>
      </c>
      <c r="I15" s="1090" t="s">
        <v>706</v>
      </c>
      <c r="J15" s="1099">
        <f ca="1">INDIRECT("'数据-取费表'!ad"&amp;$G$1)</f>
        <v>0.47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1321110</v>
      </c>
      <c r="K16" s="1087" t="s">
        <v>715</v>
      </c>
      <c r="L16" s="1088"/>
      <c r="M16" s="1072"/>
    </row>
    <row r="17" spans="1:37" s="1397" customFormat="1" ht="18" customHeight="1">
      <c r="A17" s="982" t="s">
        <v>681</v>
      </c>
      <c r="B17" s="302" t="s">
        <v>716</v>
      </c>
      <c r="C17" s="21">
        <f ca="1">ROUND(F17*(F43+INDIRECT("'数据-取费表'!S"&amp;$G$1)),0)</f>
        <v>690016</v>
      </c>
      <c r="D17" s="302" t="s">
        <v>717</v>
      </c>
      <c r="E17" s="302" t="s">
        <v>718</v>
      </c>
      <c r="F17" s="23">
        <f>'数据-取费表'!B35</f>
        <v>200</v>
      </c>
      <c r="G17" s="1396"/>
      <c r="H17" s="982" t="s">
        <v>398</v>
      </c>
      <c r="I17" s="302" t="s">
        <v>719</v>
      </c>
      <c r="J17" s="2316">
        <f ca="1">ROUND(IF(AND(项目基本情况!B11="自然人",项目基本情况!B10="北京市"),J6*M17/(1+'数据-取费表'!C42),J18+J19+J20),0)</f>
        <v>1174023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207005</v>
      </c>
      <c r="D18" s="302" t="s">
        <v>711</v>
      </c>
      <c r="E18" s="302" t="s">
        <v>712</v>
      </c>
      <c r="F18" s="322">
        <f>'数据-取费表'!B36</f>
        <v>1.4999999999999999E-2</v>
      </c>
      <c r="G18" s="1396"/>
      <c r="H18" s="982" t="s">
        <v>397</v>
      </c>
      <c r="I18" s="302" t="s">
        <v>723</v>
      </c>
      <c r="J18" s="21">
        <f ca="1">ROUND(J6*M18/(1+'数据-取费表'!C42),0)</f>
        <v>373553</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15111351</v>
      </c>
      <c r="D19" s="131" t="s">
        <v>726</v>
      </c>
      <c r="E19" s="1360"/>
      <c r="F19" s="23"/>
      <c r="G19" s="1384"/>
      <c r="H19" s="982" t="s">
        <v>399</v>
      </c>
      <c r="I19" s="302" t="s">
        <v>727</v>
      </c>
      <c r="J19" s="21">
        <f ca="1">IF(K19="按租金收入计税",ROUND(J6*M19/(1+'数据-取费表'!C42),0),ROUND(C29*M19*0.7,0))</f>
        <v>800470</v>
      </c>
      <c r="K19" s="1370" t="s">
        <v>3339</v>
      </c>
      <c r="L19" s="302" t="s">
        <v>712</v>
      </c>
      <c r="M19" s="322">
        <f>IF(K19="按租金收入计税",'数据-取费表'!B51,'数据-取费表'!B50)</f>
        <v>0.12</v>
      </c>
    </row>
    <row r="20" spans="1:37" s="1397" customFormat="1" ht="18" customHeight="1">
      <c r="A20" s="982" t="s">
        <v>402</v>
      </c>
      <c r="B20" s="302" t="s">
        <v>728</v>
      </c>
      <c r="C20" s="21">
        <f ca="1">ROUND(C19*F20,0)</f>
        <v>302227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102437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397131</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9629</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3.4499999999999996E-2</v>
      </c>
      <c r="G24" s="1396"/>
      <c r="H24" s="1089" t="s">
        <v>684</v>
      </c>
      <c r="I24" s="1090" t="s">
        <v>728</v>
      </c>
      <c r="J24" s="1091">
        <f ca="1">ROUND(J5*M24,0)</f>
        <v>35021</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5683001</v>
      </c>
      <c r="K25" s="1095" t="s">
        <v>753</v>
      </c>
      <c r="L25" s="1096"/>
      <c r="M25" s="1097"/>
    </row>
    <row r="26" spans="1:37" ht="18" customHeight="1">
      <c r="A26" s="982" t="s">
        <v>397</v>
      </c>
      <c r="B26" s="302" t="s">
        <v>754</v>
      </c>
      <c r="C26" s="21">
        <f ca="1">ROUND((C19+C20)*F26,0)</f>
        <v>3082716</v>
      </c>
      <c r="D26" s="323" t="s">
        <v>755</v>
      </c>
      <c r="E26" s="313" t="s">
        <v>756</v>
      </c>
      <c r="F26" s="312">
        <f ca="1">INDIRECT("'数据-取费表'!q"&amp;$G$1)</f>
        <v>0.2</v>
      </c>
      <c r="G26" s="1384"/>
      <c r="H26" s="299" t="s">
        <v>395</v>
      </c>
      <c r="I26" s="300" t="s">
        <v>757</v>
      </c>
      <c r="J26" s="301">
        <f ca="1">IF(J5&lt;&gt;0,ROUND(J25*(1-((1+M28)/(1+M26))^M27)/(M26-M28),0),0)</f>
        <v>33563135</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6.759999999999998</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20487340</v>
      </c>
      <c r="D29" s="1092"/>
      <c r="E29" s="1090"/>
      <c r="F29" s="1093"/>
      <c r="G29" s="1396"/>
      <c r="H29" s="334" t="s">
        <v>396</v>
      </c>
      <c r="I29" s="335" t="s">
        <v>768</v>
      </c>
      <c r="J29" s="336">
        <f ca="1">ROUND(J26/(1+F40)^F41,0)</f>
        <v>15666790</v>
      </c>
      <c r="K29" s="337" t="s">
        <v>769</v>
      </c>
      <c r="L29" s="338"/>
      <c r="M29" s="339">
        <f ca="1">INDIRECT("'数据-取费表'!k"&amp;$G$1)</f>
        <v>3450.08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1062807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918195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292153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626042</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102437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14751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27424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4421905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48170288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14.23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13962</v>
      </c>
      <c r="D43" s="337" t="s">
        <v>777</v>
      </c>
      <c r="E43" s="338" t="s">
        <v>778</v>
      </c>
      <c r="F43" s="339">
        <f ca="1">INDIRECT("'数据-取费表'!k"&amp;$G$1)</f>
        <v>3450.08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-4930.6403</v>
      </c>
      <c r="D45" s="3432" t="s">
        <v>3356</v>
      </c>
      <c r="E45" s="1400"/>
      <c r="F45" s="1400"/>
      <c r="O45" s="1403" t="s">
        <v>808</v>
      </c>
      <c r="P45" s="1461"/>
      <c r="Q45" s="1461"/>
      <c r="R45" s="1461"/>
    </row>
    <row r="46" spans="1:18" s="1384" customFormat="1" ht="13.5" thickBot="1">
      <c r="A46" s="1404" t="s">
        <v>809</v>
      </c>
      <c r="C46" s="1405">
        <f ca="1">ROUND(C45,0)</f>
        <v>-4931</v>
      </c>
      <c r="D46" s="1406" t="str">
        <f>C2</f>
        <v>万元</v>
      </c>
      <c r="I46" s="1407" t="s">
        <v>810</v>
      </c>
      <c r="J46" s="1408"/>
      <c r="K46" s="1409"/>
      <c r="L46" s="1410">
        <f ca="1">IF(M47="住宅",0,IF(L48&gt;J51,L60,J60))</f>
        <v>1795899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63837078</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20.99</v>
      </c>
      <c r="O48" s="1418" t="s">
        <v>404</v>
      </c>
      <c r="P48" s="1419" t="s">
        <v>821</v>
      </c>
      <c r="Q48" s="1420">
        <f ca="1">J60</f>
        <v>1795899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20487340</v>
      </c>
      <c r="R49" s="1420" t="s">
        <v>818</v>
      </c>
    </row>
    <row r="50" spans="1:18" s="1384" customFormat="1" ht="13.5" thickBot="1">
      <c r="A50" s="976"/>
      <c r="B50" s="979"/>
      <c r="C50" s="980"/>
      <c r="D50" s="953"/>
      <c r="E50" s="1056" t="s">
        <v>697</v>
      </c>
      <c r="F50" s="1057">
        <f ca="1">F7</f>
        <v>3450.08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58931504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20.99</v>
      </c>
      <c r="K53" s="3644" t="s">
        <v>837</v>
      </c>
      <c r="L53" s="3645"/>
      <c r="O53" s="1418" t="s">
        <v>409</v>
      </c>
      <c r="P53" s="1419" t="s">
        <v>838</v>
      </c>
      <c r="Q53" s="1420">
        <f ca="1">Q47+Q48</f>
        <v>65632977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14750885</v>
      </c>
      <c r="D56" s="1447"/>
      <c r="E56" s="1448"/>
      <c r="F56" s="1440"/>
      <c r="I56" s="1449" t="s">
        <v>842</v>
      </c>
      <c r="J56" s="1450" t="s">
        <v>3395</v>
      </c>
      <c r="K56" s="1421" t="s">
        <v>843</v>
      </c>
      <c r="L56" s="1424" t="str">
        <f ca="1">IF(L48&lt;J51,"——",L48-J51)</f>
        <v>——</v>
      </c>
      <c r="O56" s="1418" t="s">
        <v>403</v>
      </c>
      <c r="P56" s="1419" t="s">
        <v>817</v>
      </c>
      <c r="Q56" s="1420">
        <f ca="1">C40+J29</f>
        <v>63837078</v>
      </c>
      <c r="R56" s="1420" t="s">
        <v>818</v>
      </c>
    </row>
    <row r="57" spans="1:18" s="1384" customFormat="1" ht="24.75" thickBot="1">
      <c r="A57" s="1451"/>
      <c r="B57" s="950" t="s">
        <v>767</v>
      </c>
      <c r="C57" s="238">
        <f ca="1">C29</f>
        <v>20487340</v>
      </c>
      <c r="D57" s="1452"/>
      <c r="E57" s="1453"/>
      <c r="F57" s="1454"/>
      <c r="I57" s="1455" t="s">
        <v>844</v>
      </c>
      <c r="J57" s="1456">
        <f ca="1">IF(OR(M47="住宅",J51&lt;L48,J56="是"),"——",J51-L48)</f>
        <v>24.01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117188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8194936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1795899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63837078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102437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14751</v>
      </c>
      <c r="D65" s="964" t="s">
        <v>743</v>
      </c>
      <c r="E65" s="950" t="s">
        <v>744</v>
      </c>
      <c r="F65" s="330">
        <f t="shared" ca="1" si="0"/>
        <v>1E-3</v>
      </c>
      <c r="I65" s="1462" t="s">
        <v>867</v>
      </c>
      <c r="J65" s="1463">
        <v>40</v>
      </c>
      <c r="K65" s="1463">
        <v>30</v>
      </c>
      <c r="L65" s="1463">
        <v>50</v>
      </c>
      <c r="M65" s="1465">
        <v>0.02</v>
      </c>
      <c r="O65" s="1418" t="s">
        <v>403</v>
      </c>
      <c r="P65" s="1419" t="s">
        <v>868</v>
      </c>
      <c r="Q65" s="1420">
        <f ca="1">C40+J29</f>
        <v>63837078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-117188</v>
      </c>
      <c r="D67" s="963" t="s">
        <v>753</v>
      </c>
      <c r="E67" s="968"/>
      <c r="F67" s="969"/>
      <c r="O67" s="1428" t="s">
        <v>405</v>
      </c>
      <c r="P67" s="1419" t="s">
        <v>850</v>
      </c>
      <c r="Q67" s="1466">
        <f ca="1">L51</f>
        <v>58931504</v>
      </c>
      <c r="R67" s="1420" t="s">
        <v>870</v>
      </c>
    </row>
    <row r="68" spans="1:18" s="1384" customFormat="1" ht="16.5" thickBot="1">
      <c r="A68" s="947" t="s">
        <v>395</v>
      </c>
      <c r="B68" s="948" t="s">
        <v>774</v>
      </c>
      <c r="C68" s="301">
        <f ca="1">ROUND(C67*(1-((1+F70)/(1+F68))^F69)/(F68-F70),0)</f>
        <v>-1136115</v>
      </c>
      <c r="D68" s="965" t="s">
        <v>758</v>
      </c>
      <c r="E68" s="950" t="s">
        <v>759</v>
      </c>
      <c r="F68" s="312">
        <f ca="1">F40</f>
        <v>5.5E-2</v>
      </c>
      <c r="O68" s="1428" t="s">
        <v>406</v>
      </c>
      <c r="P68" s="1467" t="s">
        <v>871</v>
      </c>
      <c r="Q68" s="1420">
        <f ca="1">ROUND(Q69-Q70*Q71,0)</f>
        <v>3315589</v>
      </c>
      <c r="R68" s="1420" t="s">
        <v>414</v>
      </c>
    </row>
    <row r="69" spans="1:18" s="1384" customFormat="1" ht="13.5" thickBot="1">
      <c r="A69" s="951"/>
      <c r="B69" s="952"/>
      <c r="C69" s="306"/>
      <c r="D69" s="970" t="s">
        <v>762</v>
      </c>
      <c r="E69" s="950" t="s">
        <v>763</v>
      </c>
      <c r="F69" s="333">
        <f ca="1">F41</f>
        <v>14.23</v>
      </c>
      <c r="O69" s="1428" t="s">
        <v>411</v>
      </c>
      <c r="P69" s="1467" t="s">
        <v>872</v>
      </c>
      <c r="Q69" s="1420">
        <f ca="1">C39</f>
        <v>4421905</v>
      </c>
      <c r="R69" s="1420" t="s">
        <v>818</v>
      </c>
    </row>
    <row r="70" spans="1:18" s="1384" customFormat="1" ht="13.5" thickBot="1">
      <c r="A70" s="954"/>
      <c r="B70" s="955"/>
      <c r="C70" s="310"/>
      <c r="D70" s="966"/>
      <c r="E70" s="950" t="s">
        <v>766</v>
      </c>
      <c r="F70" s="1054"/>
      <c r="O70" s="1428" t="s">
        <v>412</v>
      </c>
      <c r="P70" s="1467" t="s">
        <v>873</v>
      </c>
      <c r="Q70" s="1420">
        <f ca="1">C13</f>
        <v>14750885</v>
      </c>
      <c r="R70" s="1420" t="s">
        <v>818</v>
      </c>
    </row>
    <row r="71" spans="1:18" s="1384" customFormat="1" ht="13.5" thickBot="1">
      <c r="A71" s="971" t="s">
        <v>396</v>
      </c>
      <c r="B71" s="972" t="s">
        <v>776</v>
      </c>
      <c r="C71" s="336">
        <f ca="1">ROUND(C68/F71,0)</f>
        <v>-329</v>
      </c>
      <c r="D71" s="973" t="s">
        <v>777</v>
      </c>
      <c r="E71" s="974" t="s">
        <v>778</v>
      </c>
      <c r="F71" s="339">
        <f ca="1">F43</f>
        <v>3450.08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1106316</v>
      </c>
      <c r="D75" s="1384"/>
      <c r="E75" s="1384"/>
      <c r="F75" s="1384"/>
      <c r="K75" s="1402"/>
      <c r="L75" s="1384"/>
      <c r="O75" s="1418" t="s">
        <v>409</v>
      </c>
      <c r="P75" s="1419" t="s">
        <v>838</v>
      </c>
      <c r="Q75" s="1420">
        <f ca="1">Q65+Q66</f>
        <v>63837078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0.69399999999999995</v>
      </c>
    </row>
    <row r="83" spans="2:3">
      <c r="B83" s="273" t="s">
        <v>803</v>
      </c>
      <c r="C83" s="274">
        <f ca="1">ROUND(C13/C40,3)</f>
        <v>0.30599999999999999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49" t="s">
        <v>2320</v>
      </c>
      <c r="K2" s="365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1" t="s">
        <v>2330</v>
      </c>
      <c r="K3" s="365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1" t="s">
        <v>2332</v>
      </c>
      <c r="K4" s="365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3" t="s">
        <v>2336</v>
      </c>
      <c r="B6" s="3654"/>
      <c r="C6" s="3655"/>
      <c r="D6" s="2870"/>
      <c r="E6" s="2871"/>
      <c r="F6" s="2872"/>
      <c r="G6" s="2873"/>
      <c r="H6" s="2848"/>
      <c r="I6" s="2849"/>
      <c r="J6" s="3656">
        <v>1</v>
      </c>
      <c r="K6" s="365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6"/>
      <c r="K7" s="365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0" t="s">
        <v>2350</v>
      </c>
      <c r="C8" s="3661"/>
      <c r="D8" s="2889" t="s">
        <v>2351</v>
      </c>
      <c r="E8" s="2890" t="s">
        <v>2352</v>
      </c>
      <c r="F8" s="2891" t="s">
        <v>2353</v>
      </c>
      <c r="G8" s="2892"/>
      <c r="H8" s="2848"/>
      <c r="I8" s="2849"/>
      <c r="J8" s="3656"/>
      <c r="K8" s="365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0" t="s">
        <v>2356</v>
      </c>
      <c r="C9" s="3661"/>
      <c r="D9" s="2889">
        <f>ROUND(D6*E9,0)</f>
        <v>0</v>
      </c>
      <c r="E9" s="2893"/>
      <c r="F9" s="2894" t="s">
        <v>2357</v>
      </c>
      <c r="G9" s="2873"/>
      <c r="H9" s="2848"/>
      <c r="I9" s="2849"/>
      <c r="J9" s="3656"/>
      <c r="K9" s="3658"/>
      <c r="L9" s="2883" t="s">
        <v>2358</v>
      </c>
      <c r="M9" s="2884"/>
      <c r="N9" s="2860"/>
      <c r="O9" s="2885"/>
      <c r="P9" s="2885"/>
      <c r="Q9" s="2886">
        <v>365</v>
      </c>
      <c r="R9" s="2887">
        <f t="shared" si="0"/>
        <v>0</v>
      </c>
      <c r="S9" s="2841"/>
      <c r="T9" s="2841"/>
      <c r="U9" s="2841"/>
      <c r="V9" s="2849"/>
    </row>
    <row r="10" spans="1:22" s="2853" customFormat="1" ht="13.15" customHeight="1">
      <c r="A10" s="2888">
        <v>2</v>
      </c>
      <c r="B10" s="3660" t="s">
        <v>2359</v>
      </c>
      <c r="C10" s="3661"/>
      <c r="D10" s="2889">
        <f>ROUND(D6*E10,0)</f>
        <v>0</v>
      </c>
      <c r="E10" s="2893"/>
      <c r="F10" s="2894" t="s">
        <v>2360</v>
      </c>
      <c r="G10" s="2873"/>
      <c r="H10" s="2848"/>
      <c r="I10" s="2849"/>
      <c r="J10" s="3656"/>
      <c r="K10" s="3658"/>
      <c r="L10" s="2883" t="s">
        <v>2361</v>
      </c>
      <c r="M10" s="2884"/>
      <c r="N10" s="2860"/>
      <c r="O10" s="2885"/>
      <c r="P10" s="2885"/>
      <c r="Q10" s="2886">
        <v>365</v>
      </c>
      <c r="R10" s="2887">
        <f t="shared" si="0"/>
        <v>0</v>
      </c>
      <c r="S10" s="2841"/>
      <c r="T10" s="2841"/>
      <c r="U10" s="2841"/>
      <c r="V10" s="2849"/>
    </row>
    <row r="11" spans="1:22" s="2853" customFormat="1" ht="13.15" customHeight="1">
      <c r="A11" s="2888">
        <v>3</v>
      </c>
      <c r="B11" s="3660" t="s">
        <v>2362</v>
      </c>
      <c r="C11" s="3661"/>
      <c r="D11" s="2889">
        <f>D12+D14+D15+D16</f>
        <v>0</v>
      </c>
      <c r="E11" s="2895" t="e">
        <f>D11/D6</f>
        <v>#DIV/0!</v>
      </c>
      <c r="F11" s="2891"/>
      <c r="G11" s="2892"/>
      <c r="H11" s="2848"/>
      <c r="I11" s="2849"/>
      <c r="J11" s="3656"/>
      <c r="K11" s="365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2" t="s">
        <v>2365</v>
      </c>
      <c r="C12" s="3663"/>
      <c r="D12" s="2897">
        <f>ROUND(D13*1.2%*(1-30%),0)</f>
        <v>0</v>
      </c>
      <c r="E12" s="2898">
        <v>1.2E-2</v>
      </c>
      <c r="F12" s="2891" t="s">
        <v>2366</v>
      </c>
      <c r="G12" s="2892"/>
      <c r="H12" s="2848"/>
      <c r="I12" s="2849"/>
      <c r="J12" s="3656"/>
      <c r="K12" s="365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6"/>
      <c r="K13" s="365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2" t="s">
        <v>2371</v>
      </c>
      <c r="C14" s="3663"/>
      <c r="D14" s="2897">
        <f>ROUND(E14*B5/10000,0)</f>
        <v>0</v>
      </c>
      <c r="E14" s="2886"/>
      <c r="F14" s="2891" t="s">
        <v>2372</v>
      </c>
      <c r="G14" s="2892"/>
      <c r="H14" s="2848"/>
      <c r="I14" s="2849"/>
      <c r="J14" s="3656"/>
      <c r="K14" s="365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2" t="s">
        <v>2375</v>
      </c>
      <c r="C15" s="3663"/>
      <c r="D15" s="2897">
        <f>ROUND(D6*E15,0)</f>
        <v>0</v>
      </c>
      <c r="E15" s="2898">
        <v>5.5E-2</v>
      </c>
      <c r="F15" s="2891" t="s">
        <v>2376</v>
      </c>
      <c r="G15" s="2873"/>
      <c r="H15" s="2848"/>
      <c r="I15" s="2849"/>
      <c r="J15" s="3656">
        <v>2</v>
      </c>
      <c r="K15" s="365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2" t="s">
        <v>2384</v>
      </c>
      <c r="C16" s="3663"/>
      <c r="D16" s="2908">
        <f>D6*E16</f>
        <v>0</v>
      </c>
      <c r="E16" s="2909"/>
      <c r="F16" s="2894" t="s">
        <v>2385</v>
      </c>
      <c r="G16" s="2873"/>
      <c r="H16" s="2848"/>
      <c r="I16" s="2849"/>
      <c r="J16" s="3656"/>
      <c r="K16" s="365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4" t="s">
        <v>2387</v>
      </c>
      <c r="C17" s="3665"/>
      <c r="D17" s="2911">
        <f>ROUND(D6*E17,0)</f>
        <v>0</v>
      </c>
      <c r="E17" s="2912"/>
      <c r="F17" s="2913" t="s">
        <v>2388</v>
      </c>
      <c r="G17" s="2873"/>
      <c r="H17" s="2848"/>
      <c r="I17" s="2849"/>
      <c r="J17" s="3656"/>
      <c r="K17" s="365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6"/>
      <c r="K18" s="365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6"/>
      <c r="K19" s="365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6"/>
      <c r="K21" s="365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6"/>
      <c r="K22" s="365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6"/>
      <c r="K23" s="365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6"/>
      <c r="K24" s="365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9" t="s">
        <v>2320</v>
      </c>
      <c r="K32" s="365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1" t="s">
        <v>2330</v>
      </c>
      <c r="K33" s="365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1" t="s">
        <v>2332</v>
      </c>
      <c r="K34" s="365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6">
        <v>1</v>
      </c>
      <c r="K36" s="365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6"/>
      <c r="K40" s="365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6573</v>
      </c>
      <c r="C2" s="1872" t="s">
        <v>1651</v>
      </c>
      <c r="D2" s="1873" t="s">
        <v>1652</v>
      </c>
      <c r="E2" s="2607">
        <f>SUM(E6:E13)</f>
        <v>3450.08</v>
      </c>
      <c r="F2" s="2707"/>
      <c r="G2" s="1489"/>
      <c r="H2" s="1489"/>
      <c r="I2" s="1489"/>
      <c r="J2" s="1489"/>
      <c r="K2" s="1489"/>
      <c r="L2" s="1489"/>
      <c r="M2" s="1489"/>
      <c r="N2" s="1489"/>
      <c r="O2" s="1489"/>
      <c r="P2" s="1489"/>
      <c r="Q2" s="1489"/>
      <c r="R2" s="1489"/>
      <c r="S2" s="1489"/>
    </row>
    <row r="3" spans="1:22" ht="15.75">
      <c r="A3" s="1870" t="s">
        <v>686</v>
      </c>
      <c r="B3" s="2601">
        <f ca="1">ROUND(B2*10000/E2,0)</f>
        <v>19052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6573</v>
      </c>
      <c r="C6" s="1872" t="s">
        <v>1651</v>
      </c>
      <c r="D6" s="2709"/>
      <c r="E6" s="2606">
        <f>IF(OR(A6=0,F6="否"),0,'数据-取费表'!K6+'数据-取费表'!S6)</f>
        <v>3450.08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3450.08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75" t="s">
        <v>1668</v>
      </c>
      <c r="S4" s="3676"/>
      <c r="T4" s="3675" t="s">
        <v>1669</v>
      </c>
      <c r="U4" s="3676"/>
      <c r="V4" s="3700" t="s">
        <v>1670</v>
      </c>
      <c r="W4" s="3700"/>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1890"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45215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7"/>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7"/>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7"/>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7"/>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5"/>
      <c r="Q16" s="1352"/>
      <c r="R16" s="705"/>
      <c r="S16" s="706"/>
      <c r="T16" s="705"/>
      <c r="U16" s="706"/>
      <c r="V16" s="705"/>
      <c r="W16" s="706"/>
      <c r="X16" s="1355"/>
      <c r="Y16" s="370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5"/>
      <c r="Q18" s="1352"/>
      <c r="R18" s="705"/>
      <c r="S18" s="706"/>
      <c r="T18" s="705"/>
      <c r="U18" s="706"/>
      <c r="V18" s="705"/>
      <c r="W18" s="706"/>
      <c r="X18" s="1355"/>
      <c r="Y18" s="370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5"/>
      <c r="Q20" s="1352"/>
      <c r="R20" s="705"/>
      <c r="S20" s="706"/>
      <c r="T20" s="705"/>
      <c r="U20" s="706"/>
      <c r="V20" s="705"/>
      <c r="W20" s="706"/>
      <c r="X20" s="1355"/>
      <c r="Y20" s="370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5"/>
      <c r="Q22" s="1352"/>
      <c r="R22" s="705"/>
      <c r="S22" s="706"/>
      <c r="T22" s="705"/>
      <c r="U22" s="706"/>
      <c r="V22" s="705"/>
      <c r="W22" s="706"/>
      <c r="X22" s="1355"/>
      <c r="Y22" s="370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9" t="s">
        <v>1696</v>
      </c>
      <c r="Q32" s="1352" t="str">
        <f t="shared" si="11"/>
        <v>建筑类型</v>
      </c>
      <c r="R32" s="705" t="s">
        <v>18</v>
      </c>
      <c r="S32" s="706">
        <f t="shared" si="12"/>
        <v>100</v>
      </c>
      <c r="T32" s="705" t="s">
        <v>18</v>
      </c>
      <c r="U32" s="706">
        <f t="shared" si="13"/>
        <v>100</v>
      </c>
      <c r="V32" s="705" t="s">
        <v>18</v>
      </c>
      <c r="W32" s="706">
        <f t="shared" si="14"/>
        <v>100</v>
      </c>
      <c r="X32" s="1355"/>
      <c r="Y32" s="371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C7" sqref="C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3402</v>
      </c>
      <c r="F1" s="1879" t="s">
        <v>3398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'数据-汇总表'!D3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700"/>
      <c r="AC6" s="3672"/>
    </row>
    <row r="7" spans="1:29" s="108" customFormat="1" ht="15.75" thickBot="1">
      <c r="A7" s="362" t="s">
        <v>1679</v>
      </c>
      <c r="B7" s="363"/>
      <c r="C7" s="364">
        <f>'数据-取费表'!B2</f>
        <v>45215</v>
      </c>
      <c r="D7" s="365">
        <v>100</v>
      </c>
      <c r="E7" s="366">
        <v>45139</v>
      </c>
      <c r="F7" s="367">
        <f>SUMIF(58:58,YEAR(E7)&amp;"-"&amp;MONTH(E7),59:59)</f>
        <v>0</v>
      </c>
      <c r="G7" s="366">
        <v>45139</v>
      </c>
      <c r="H7" s="365">
        <f>SUMIF(58:58,YEAR(G7)&amp;"-"&amp;MONTH(G7),59:59)</f>
        <v>0</v>
      </c>
      <c r="I7" s="366">
        <v>45139</v>
      </c>
      <c r="J7" s="365">
        <f>SUMIF(58:58,YEAR(I7)&amp;"-"&amp;MONTH(I7),59:59)</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450" t="s">
        <v>3397</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5"/>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5"/>
      <c r="Q18" s="1352"/>
      <c r="R18" s="705"/>
      <c r="S18" s="706"/>
      <c r="T18" s="705"/>
      <c r="U18" s="706"/>
      <c r="V18" s="705"/>
      <c r="W18" s="706"/>
      <c r="X18" s="1355"/>
      <c r="Y18" s="370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5"/>
      <c r="Q20" s="1352"/>
      <c r="R20" s="705"/>
      <c r="S20" s="706"/>
      <c r="T20" s="705"/>
      <c r="U20" s="706"/>
      <c r="V20" s="705"/>
      <c r="W20" s="706"/>
      <c r="X20" s="1355"/>
      <c r="Y20" s="370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5"/>
      <c r="Q22" s="1352"/>
      <c r="R22" s="705"/>
      <c r="S22" s="706"/>
      <c r="T22" s="705"/>
      <c r="U22" s="706"/>
      <c r="V22" s="705"/>
      <c r="W22" s="706"/>
      <c r="X22" s="1355"/>
      <c r="Y22" s="370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5"/>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10"/>
      <c r="Q33" s="707" t="str">
        <f t="shared" si="11"/>
        <v>项目建筑规模</v>
      </c>
      <c r="R33" s="708" t="s">
        <v>14</v>
      </c>
      <c r="S33" s="709">
        <f t="shared" si="12"/>
        <v>100</v>
      </c>
      <c r="T33" s="708" t="s">
        <v>14</v>
      </c>
      <c r="U33" s="709">
        <f t="shared" si="13"/>
        <v>100</v>
      </c>
      <c r="V33" s="708" t="s">
        <v>14</v>
      </c>
      <c r="W33" s="709">
        <f t="shared" si="14"/>
        <v>100</v>
      </c>
      <c r="X33" s="710"/>
      <c r="Y33" s="371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2"/>
      <c r="M36" s="2716"/>
      <c r="N36" s="2716"/>
      <c r="O36" s="2716"/>
      <c r="P36" s="3710"/>
      <c r="Q36" s="1352" t="str">
        <f t="shared" si="11"/>
        <v>成新度</v>
      </c>
      <c r="R36" s="705" t="s">
        <v>14</v>
      </c>
      <c r="S36" s="706">
        <f t="shared" si="12"/>
        <v>100</v>
      </c>
      <c r="T36" s="705" t="s">
        <v>14</v>
      </c>
      <c r="U36" s="706">
        <f t="shared" si="13"/>
        <v>100</v>
      </c>
      <c r="V36" s="705" t="s">
        <v>14</v>
      </c>
      <c r="W36" s="706">
        <f t="shared" si="14"/>
        <v>100</v>
      </c>
      <c r="X36" s="1355"/>
      <c r="Y36" s="371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1708</v>
      </c>
      <c r="B47" s="431"/>
      <c r="C47" s="1154" t="s">
        <v>0</v>
      </c>
      <c r="D47" s="1155"/>
      <c r="E47" s="1156">
        <v>50000</v>
      </c>
      <c r="F47" s="1157"/>
      <c r="G47" s="1158">
        <v>50000</v>
      </c>
      <c r="H47" s="1159"/>
      <c r="I47" s="1158">
        <v>50000</v>
      </c>
      <c r="J47" s="1159"/>
      <c r="K47" s="714"/>
      <c r="L47" s="2724"/>
      <c r="M47" s="2725"/>
      <c r="N47" s="2716"/>
      <c r="O47" s="2725"/>
      <c r="P47" s="3705" t="str">
        <f>A47</f>
        <v>成交单价（元/平方米）</v>
      </c>
      <c r="Q47" s="3705"/>
      <c r="R47" s="3700">
        <f>E47</f>
        <v>50000</v>
      </c>
      <c r="S47" s="3700"/>
      <c r="T47" s="3700">
        <f>G47</f>
        <v>50000</v>
      </c>
      <c r="U47" s="3700"/>
      <c r="V47" s="3700">
        <f>I47</f>
        <v>50000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3451" t="s">
        <v>3396</v>
      </c>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v>115</v>
      </c>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0(含)-10000</v>
      </c>
      <c r="D102" s="527" t="str">
        <f t="shared" ref="D102:L102" si="23">D103&amp;"(含)"&amp;"-"&amp;E103</f>
        <v>10000(含)-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10000</v>
      </c>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3450.08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17" t="s">
        <v>1771</v>
      </c>
      <c r="S4" s="3718"/>
      <c r="T4" s="3717" t="s">
        <v>1772</v>
      </c>
      <c r="U4" s="3718"/>
      <c r="V4" s="3726" t="s">
        <v>1773</v>
      </c>
      <c r="W4" s="3726"/>
      <c r="X4" s="1958"/>
      <c r="Y4" s="3717" t="s">
        <v>1775</v>
      </c>
      <c r="Z4" s="3718"/>
      <c r="AA4" s="3716" t="s">
        <v>1771</v>
      </c>
      <c r="AB4" s="3716" t="s">
        <v>1772</v>
      </c>
      <c r="AC4" s="3719" t="s">
        <v>1773</v>
      </c>
    </row>
    <row r="5" spans="1:29" ht="15">
      <c r="A5" s="358"/>
      <c r="B5" s="359"/>
      <c r="C5" s="3681" t="s">
        <v>1673</v>
      </c>
      <c r="D5" s="3682"/>
      <c r="E5" s="3679" t="s">
        <v>1674</v>
      </c>
      <c r="F5" s="3680"/>
      <c r="G5" s="3681" t="s">
        <v>1675</v>
      </c>
      <c r="H5" s="3682"/>
      <c r="I5" s="3681" t="s">
        <v>1676</v>
      </c>
      <c r="J5" s="3682"/>
      <c r="K5" s="559"/>
      <c r="L5" s="2715"/>
      <c r="M5" s="2716"/>
      <c r="N5" s="2716"/>
      <c r="O5" s="2716"/>
      <c r="P5" s="3724"/>
      <c r="Q5" s="3695"/>
      <c r="R5" s="3677"/>
      <c r="S5" s="3678"/>
      <c r="T5" s="3677"/>
      <c r="U5" s="3678"/>
      <c r="V5" s="3700"/>
      <c r="W5" s="3700"/>
      <c r="X5" s="1355"/>
      <c r="Y5" s="3677"/>
      <c r="Z5" s="3678"/>
      <c r="AA5" s="3671"/>
      <c r="AB5" s="3671"/>
      <c r="AC5" s="3720"/>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725"/>
      <c r="Q6" s="3697"/>
      <c r="R6" s="3677"/>
      <c r="S6" s="3678"/>
      <c r="T6" s="3698"/>
      <c r="U6" s="3699"/>
      <c r="V6" s="3700"/>
      <c r="W6" s="3700"/>
      <c r="X6" s="1355"/>
      <c r="Y6" s="3698"/>
      <c r="Z6" s="3699"/>
      <c r="AA6" s="3672"/>
      <c r="AB6" s="3672"/>
      <c r="AC6" s="3721"/>
    </row>
    <row r="7" spans="1:29" s="108" customFormat="1" ht="15.75" thickBot="1">
      <c r="A7" s="362" t="s">
        <v>1679</v>
      </c>
      <c r="B7" s="363"/>
      <c r="C7" s="364">
        <f>'数据-取费表'!B2</f>
        <v>45215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7"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7"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5"/>
      <c r="Q16" s="1352"/>
      <c r="R16" s="705"/>
      <c r="S16" s="706"/>
      <c r="T16" s="705"/>
      <c r="U16" s="706"/>
      <c r="V16" s="705"/>
      <c r="W16" s="706"/>
      <c r="X16" s="1355"/>
      <c r="Y16" s="370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5"/>
      <c r="Q18" s="1352"/>
      <c r="R18" s="705"/>
      <c r="S18" s="706"/>
      <c r="T18" s="705"/>
      <c r="U18" s="706"/>
      <c r="V18" s="705"/>
      <c r="W18" s="706"/>
      <c r="X18" s="1355"/>
      <c r="Y18" s="370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5"/>
      <c r="Q20" s="1352"/>
      <c r="R20" s="705"/>
      <c r="S20" s="706"/>
      <c r="T20" s="705"/>
      <c r="U20" s="706"/>
      <c r="V20" s="705"/>
      <c r="W20" s="706"/>
      <c r="X20" s="1355"/>
      <c r="Y20" s="370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5"/>
      <c r="Q22" s="1352"/>
      <c r="R22" s="705"/>
      <c r="S22" s="706"/>
      <c r="T22" s="705"/>
      <c r="U22" s="706"/>
      <c r="V22" s="705"/>
      <c r="W22" s="706"/>
      <c r="X22" s="1355"/>
      <c r="Y22" s="370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5"/>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5"/>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7"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估价对象为北京市房地产，为所有。根据《国有土地使用证》[]，估价对象（分摊）出让国有建设用地使用权面积为0平方米，建筑面积为3450.08平方米。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估价对象为北京市房地产,属开发建设的，该项目尚在开发建设中。根据《国有土地使用证》[]，估价对象（分摊）出让国有建设用地使用权面积为0平方米，规划建筑面积为3450.08平方米。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2023年10月16日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3450.08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45215</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45215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8"/>
      <c r="Q15" s="1352"/>
      <c r="R15" s="705"/>
      <c r="S15" s="706"/>
      <c r="T15" s="705"/>
      <c r="U15" s="706"/>
      <c r="V15" s="705"/>
      <c r="W15" s="706"/>
      <c r="X15" s="1355"/>
      <c r="Y15" s="370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8"/>
      <c r="Q17" s="1352"/>
      <c r="R17" s="705"/>
      <c r="S17" s="706"/>
      <c r="T17" s="705"/>
      <c r="U17" s="706"/>
      <c r="V17" s="705"/>
      <c r="W17" s="706"/>
      <c r="X17" s="1355"/>
      <c r="Y17" s="370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8"/>
      <c r="Q19" s="1352"/>
      <c r="R19" s="705"/>
      <c r="S19" s="706"/>
      <c r="T19" s="705"/>
      <c r="U19" s="706"/>
      <c r="V19" s="705"/>
      <c r="W19" s="706"/>
      <c r="X19" s="1355"/>
      <c r="Y19" s="370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45215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8"/>
      <c r="Q15" s="1352"/>
      <c r="R15" s="705"/>
      <c r="S15" s="706"/>
      <c r="T15" s="705"/>
      <c r="U15" s="706"/>
      <c r="V15" s="705"/>
      <c r="W15" s="706"/>
      <c r="X15" s="1355"/>
      <c r="Y15" s="370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8"/>
      <c r="Q17" s="1352"/>
      <c r="R17" s="705"/>
      <c r="S17" s="706"/>
      <c r="T17" s="705"/>
      <c r="U17" s="706"/>
      <c r="V17" s="705"/>
      <c r="W17" s="706"/>
      <c r="X17" s="1355"/>
      <c r="Y17" s="370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8"/>
      <c r="Q19" s="1352"/>
      <c r="R19" s="705"/>
      <c r="S19" s="706"/>
      <c r="T19" s="705"/>
      <c r="U19" s="706"/>
      <c r="V19" s="705"/>
      <c r="W19" s="706"/>
      <c r="X19" s="1355"/>
      <c r="Y19" s="370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C7" sqref="C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30" s="108" customFormat="1" ht="15.75" thickBot="1">
      <c r="A7" s="362" t="s">
        <v>1679</v>
      </c>
      <c r="B7" s="363"/>
      <c r="C7" s="364">
        <f>'数据-取费表'!B2</f>
        <v>45215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705"/>
      <c r="Q10" s="1343" t="str">
        <f t="shared" si="6"/>
        <v>土地使用年限（年）</v>
      </c>
      <c r="R10" s="701" t="s">
        <v>14</v>
      </c>
      <c r="S10" s="702">
        <f t="shared" si="0"/>
        <v>134</v>
      </c>
      <c r="T10" s="701" t="s">
        <v>14</v>
      </c>
      <c r="U10" s="702">
        <f t="shared" si="1"/>
        <v>134</v>
      </c>
      <c r="V10" s="701" t="s">
        <v>14</v>
      </c>
      <c r="W10" s="702">
        <f t="shared" si="2"/>
        <v>134</v>
      </c>
      <c r="X10" s="703"/>
      <c r="Y10" s="3617"/>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5"/>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8"/>
      <c r="Q16" s="1352"/>
      <c r="R16" s="705"/>
      <c r="S16" s="706"/>
      <c r="T16" s="705"/>
      <c r="U16" s="706"/>
      <c r="V16" s="705"/>
      <c r="W16" s="706"/>
      <c r="X16" s="1355"/>
      <c r="Y16" s="370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8"/>
      <c r="Q18" s="1352"/>
      <c r="R18" s="705"/>
      <c r="S18" s="706"/>
      <c r="T18" s="705"/>
      <c r="U18" s="706"/>
      <c r="V18" s="705"/>
      <c r="W18" s="706"/>
      <c r="X18" s="1355"/>
      <c r="Y18" s="370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8"/>
      <c r="Q20" s="1352"/>
      <c r="R20" s="705"/>
      <c r="S20" s="706"/>
      <c r="T20" s="705"/>
      <c r="U20" s="706"/>
      <c r="V20" s="705"/>
      <c r="W20" s="706"/>
      <c r="X20" s="1355"/>
      <c r="Y20" s="370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8"/>
      <c r="Q24" s="1352"/>
      <c r="R24" s="705"/>
      <c r="S24" s="706"/>
      <c r="T24" s="705"/>
      <c r="U24" s="706"/>
      <c r="V24" s="705"/>
      <c r="W24" s="706"/>
      <c r="X24" s="1355"/>
      <c r="Y24" s="370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8"/>
      <c r="Q26" s="1352"/>
      <c r="R26" s="705"/>
      <c r="S26" s="706"/>
      <c r="T26" s="705"/>
      <c r="U26" s="706"/>
      <c r="V26" s="705"/>
      <c r="W26" s="706"/>
      <c r="X26" s="1355"/>
      <c r="Y26" s="370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8"/>
      <c r="Q28" s="1343"/>
      <c r="R28" s="701"/>
      <c r="S28" s="702"/>
      <c r="T28" s="701"/>
      <c r="U28" s="702"/>
      <c r="V28" s="701"/>
      <c r="W28" s="702"/>
      <c r="X28" s="703"/>
      <c r="Y28" s="370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8"/>
      <c r="Q30" s="1343"/>
      <c r="R30" s="701"/>
      <c r="S30" s="702"/>
      <c r="T30" s="701"/>
      <c r="U30" s="702"/>
      <c r="V30" s="701"/>
      <c r="W30" s="702"/>
      <c r="X30" s="703"/>
      <c r="Y30" s="370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8"/>
      <c r="Q33" s="1352"/>
      <c r="R33" s="705"/>
      <c r="S33" s="706"/>
      <c r="T33" s="705"/>
      <c r="U33" s="706"/>
      <c r="V33" s="705"/>
      <c r="W33" s="706"/>
      <c r="X33" s="1355"/>
      <c r="Y33" s="370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5" t="str">
        <f>A46</f>
        <v>成交单价</v>
      </c>
      <c r="Q46" s="3705"/>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5" t="str">
        <f>A47</f>
        <v>比较价值（元/平方米）</v>
      </c>
      <c r="Q47" s="3705"/>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2" t="str">
        <f>A48</f>
        <v>估价对象XX用房的比较价值（楼面单价，元/平方米）</v>
      </c>
      <c r="Q48" s="3703"/>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2270.67</v>
      </c>
      <c r="F56" s="886" t="e">
        <f t="shared" ref="F56:F64" si="15">ROUND(B56*E56/10000,0)</f>
        <v>#DIV/0!</v>
      </c>
      <c r="G56" s="3687"/>
      <c r="H56" s="370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2270.67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45215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705"/>
      <c r="Q10" s="1343" t="str">
        <f t="shared" si="6"/>
        <v>土地使用年限（年）</v>
      </c>
      <c r="R10" s="701" t="s">
        <v>14</v>
      </c>
      <c r="S10" s="702">
        <f t="shared" si="0"/>
        <v>134</v>
      </c>
      <c r="T10" s="701" t="s">
        <v>14</v>
      </c>
      <c r="U10" s="702">
        <f t="shared" si="1"/>
        <v>134</v>
      </c>
      <c r="V10" s="701" t="s">
        <v>14</v>
      </c>
      <c r="W10" s="702">
        <f t="shared" si="2"/>
        <v>134</v>
      </c>
      <c r="X10" s="703"/>
      <c r="Y10" s="3617"/>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8"/>
      <c r="Q20" s="1352"/>
      <c r="R20" s="705"/>
      <c r="S20" s="706"/>
      <c r="T20" s="705"/>
      <c r="U20" s="706"/>
      <c r="V20" s="705"/>
      <c r="W20" s="706"/>
      <c r="X20" s="1355"/>
      <c r="Y20" s="370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8"/>
      <c r="Q26" s="1343"/>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8"/>
      <c r="Q29" s="1352"/>
      <c r="R29" s="705"/>
      <c r="S29" s="706"/>
      <c r="T29" s="705"/>
      <c r="U29" s="706"/>
      <c r="V29" s="705"/>
      <c r="W29" s="706"/>
      <c r="X29" s="1355"/>
      <c r="Y29" s="370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5" t="str">
        <f>A41</f>
        <v>成交单价</v>
      </c>
      <c r="Q41" s="3705"/>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5" t="str">
        <f>A42</f>
        <v>比较价值（元/平方米）</v>
      </c>
      <c r="Q42" s="3705"/>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2" t="str">
        <f>A43</f>
        <v>估价对象XX用房的比较价值（楼面单价，元/平方米）</v>
      </c>
      <c r="Q43" s="3703"/>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2270.67</v>
      </c>
      <c r="F51" s="639" t="e">
        <f t="shared" ref="F51:F60" si="15">ROUND(B51*E51/10000,0)</f>
        <v>#DIV/0!</v>
      </c>
      <c r="G51" s="3687"/>
      <c r="H51" s="370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7" sqref="C7"/>
      <selection pane="bottomLeft" activeCell="C7" sqref="C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12.125" style="725" bestFit="1" customWidth="1"/>
    <col min="21"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ht="38.25">
      <c r="A2" s="984"/>
      <c r="B2" s="651" t="s">
        <v>2086</v>
      </c>
      <c r="C2" s="652" t="str">
        <f t="shared" ref="C2:L2" si="0">C3&amp;"(含)"&amp;"-"&amp;D3</f>
        <v>0(含)-500</v>
      </c>
      <c r="D2" s="653" t="str">
        <f t="shared" si="0"/>
        <v>500(含)-1000</v>
      </c>
      <c r="E2" s="653" t="str">
        <f t="shared" si="0"/>
        <v>1000(含)-2000</v>
      </c>
      <c r="F2" s="653" t="str">
        <f t="shared" si="0"/>
        <v>2000(含)-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500</v>
      </c>
      <c r="E3" s="658">
        <v>1000</v>
      </c>
      <c r="F3" s="1305">
        <v>2000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101</v>
      </c>
      <c r="E4" s="990">
        <v>102</v>
      </c>
      <c r="F4" s="1309">
        <v>103</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2</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3140</v>
      </c>
      <c r="C22" s="3740" t="s">
        <v>27</v>
      </c>
      <c r="D22" s="3741"/>
      <c r="E22" s="3741"/>
      <c r="F22" s="3741"/>
      <c r="G22" s="3741"/>
      <c r="H22" s="3741"/>
      <c r="I22" s="3741"/>
      <c r="J22" s="3741"/>
      <c r="K22" s="3741"/>
      <c r="L22" s="3741"/>
      <c r="M22" s="3741"/>
      <c r="N22" s="3741"/>
      <c r="O22" s="3741"/>
      <c r="P22" s="3741"/>
      <c r="Q22" s="3742"/>
      <c r="R22" s="663">
        <f ca="1">ROUND(S22*10000/B22,0)</f>
        <v>18720</v>
      </c>
      <c r="S22" s="21">
        <f ca="1">SUM(S24:S10000)</f>
        <v>5878</v>
      </c>
      <c r="T22" s="725">
        <f>18000/B22</f>
        <v>5.7324840764331206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f>T22/0.85</f>
        <v>6.7440989134507303</v>
      </c>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v>1570</v>
      </c>
      <c r="C24" s="2810">
        <v>1</v>
      </c>
      <c r="D24" s="2811"/>
      <c r="E24" s="2810">
        <v>1</v>
      </c>
      <c r="F24" s="2811"/>
      <c r="G24" s="2810">
        <v>1</v>
      </c>
      <c r="H24" s="2811"/>
      <c r="I24" s="2810">
        <v>1</v>
      </c>
      <c r="J24" s="2811"/>
      <c r="K24" s="2810">
        <v>1</v>
      </c>
      <c r="L24" s="2811"/>
      <c r="M24" s="2810">
        <v>1</v>
      </c>
      <c r="N24" s="2811"/>
      <c r="O24" s="2810">
        <v>1</v>
      </c>
      <c r="P24" s="2811">
        <v>1</v>
      </c>
      <c r="Q24" s="2810">
        <v>1</v>
      </c>
      <c r="R24" s="668">
        <f ca="1">结果表!G20</f>
        <v>22024</v>
      </c>
      <c r="S24" s="666">
        <f t="shared" ref="S24:S54" ca="1" si="11">ROUND(R24*B24/10000,0)</f>
        <v>3458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v>1570</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 ca="1">IF(B25="",0,ROUND($R$24*C25*E25*G25*I25*K25*M25*O25*Q25,0))</f>
        <v>15417</v>
      </c>
      <c r="S25" s="316">
        <f t="shared" ca="1" si="11"/>
        <v>2420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5306</v>
      </c>
      <c r="C2" s="2145" t="s">
        <v>2074</v>
      </c>
      <c r="D2" s="2145" t="s">
        <v>2075</v>
      </c>
      <c r="E2" s="2612">
        <f ca="1">SUMIF(E6:E13,"&lt;&gt;#ref!",E6:E13)</f>
        <v>1179.4099999999999</v>
      </c>
      <c r="F2" s="2793"/>
      <c r="G2" s="2793"/>
      <c r="H2" s="2793"/>
      <c r="I2" s="2793"/>
      <c r="J2" s="2793"/>
      <c r="K2" s="2793"/>
      <c r="L2" s="2793"/>
      <c r="M2" s="2793"/>
      <c r="N2" s="2793"/>
      <c r="O2" s="2793"/>
      <c r="P2" s="2793"/>
    </row>
    <row r="3" spans="1:16" ht="15.75">
      <c r="A3" s="2145" t="s">
        <v>2076</v>
      </c>
      <c r="B3" s="2602">
        <f ca="1">ROUND(B2*10000/E2,0)</f>
        <v>44989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5306</v>
      </c>
      <c r="C6" s="2145" t="s">
        <v>2074</v>
      </c>
      <c r="D6" s="2793"/>
      <c r="E6" s="2612">
        <f ca="1">SUMIF(INDIRECT("'"&amp;A6&amp;"'"&amp;"!C:C"),"建筑面积",INDIRECT("'"&amp;A6&amp;"'"&amp;"!D:D"))</f>
        <v>1179.4099999999999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34" zoomScaleNormal="80" zoomScaleSheetLayoutView="100" workbookViewId="0">
      <selection activeCell="I41" sqref="I4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1179.4099999999999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5306</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22598</v>
      </c>
      <c r="U2" s="1213">
        <f>Sheet1!C16</f>
        <v>717.5</v>
      </c>
      <c r="V2" s="3361">
        <f>ROUND(T2*U2/10000,0)</f>
        <v>1621</v>
      </c>
      <c r="W2" s="1216"/>
      <c r="X2" s="1216"/>
      <c r="Y2" s="1216"/>
      <c r="Z2" s="1216"/>
      <c r="AA2" s="1216"/>
      <c r="AB2" s="1216"/>
      <c r="AC2" s="1217"/>
      <c r="AD2" s="1218"/>
      <c r="AE2" s="1218"/>
      <c r="AF2" s="1218"/>
      <c r="AG2" s="1218"/>
      <c r="AH2" s="1218"/>
      <c r="AI2" s="1218"/>
      <c r="AJ2" s="1219"/>
    </row>
    <row r="3" spans="1:36" ht="15.75">
      <c r="A3" s="203" t="s">
        <v>1940</v>
      </c>
      <c r="B3" s="204">
        <f>ROUND(B2*10000/D1,0)</f>
        <v>44989</v>
      </c>
      <c r="C3" s="1999" t="s">
        <v>1941</v>
      </c>
      <c r="D3" s="2000" t="s">
        <v>1942</v>
      </c>
      <c r="E3" s="3420" t="s">
        <v>2442</v>
      </c>
      <c r="F3" s="2004" t="s">
        <v>3401</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17812</v>
      </c>
      <c r="U3" s="1213">
        <f>Sheet1!C17</f>
        <v>1018.71</v>
      </c>
      <c r="V3" s="3361">
        <f t="shared" ref="V3:V16" si="1">ROUND(T3*U3/10000,0)</f>
        <v>1815</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18600</v>
      </c>
      <c r="N4" s="866">
        <f>SUMPRODUCT((因素修正幅度!B55:B86=I2)*(因素修正幅度!C3:G3=E2)*(因素修正幅度!C55:G86))</f>
        <v>0.1</v>
      </c>
      <c r="O4" s="1119"/>
      <c r="P4" s="1119"/>
      <c r="Q4" s="1119"/>
      <c r="R4" s="1212">
        <v>3</v>
      </c>
      <c r="S4" s="3361">
        <f>ROUND(SUMPRODUCT((B106:B110=R4)*(C105:N105=G2)*(C106:N110)),4)</f>
        <v>1.0004999999999999</v>
      </c>
      <c r="T4" s="3361">
        <f t="shared" si="0"/>
        <v>15054</v>
      </c>
      <c r="U4" s="1213">
        <f>Sheet1!C18</f>
        <v>534.46</v>
      </c>
      <c r="V4" s="3361">
        <f t="shared" si="1"/>
        <v>805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18564</v>
      </c>
      <c r="D5" s="1339">
        <f>ROUND(C6*C17+C20,0)</f>
        <v>18564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13277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18600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12759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3379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3259</v>
      </c>
      <c r="B20" s="167" t="s">
        <v>1994</v>
      </c>
      <c r="C20" s="3325">
        <f>ROUND(IF(F21="与级别开发程度一致",0,(G21-E21)/C21),0)</f>
        <v>-36</v>
      </c>
      <c r="D20" s="3341" t="s">
        <v>1998</v>
      </c>
      <c r="E20" s="3342"/>
      <c r="F20" s="3763" t="s">
        <v>1995</v>
      </c>
      <c r="G20" s="3764"/>
      <c r="H20" s="3326" t="s">
        <v>3380</v>
      </c>
      <c r="I20" s="3326" t="s">
        <v>3381</v>
      </c>
      <c r="J20" s="3327" t="s">
        <v>3382</v>
      </c>
      <c r="K20" s="2047" t="s">
        <v>3383</v>
      </c>
      <c r="L20" s="2047" t="s">
        <v>3384</v>
      </c>
      <c r="M20" s="2047" t="s">
        <v>3385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45215</v>
      </c>
      <c r="H23" s="3343" t="s">
        <v>3260</v>
      </c>
      <c r="I23" s="3344" t="str">
        <f>IF(H23="季度增幅（自定义）",SUMIF(N25:N28,E2,O25:O28),"")</f>
        <v/>
      </c>
      <c r="J23" s="3446" t="s">
        <v>3408</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0.76480000000000004</v>
      </c>
      <c r="D24" s="2060" t="s">
        <v>2007</v>
      </c>
      <c r="E24" s="1335">
        <f>存贷款利率!E23/100</f>
        <v>4.3499999999999997E-2</v>
      </c>
      <c r="F24" s="2060" t="s">
        <v>1999</v>
      </c>
      <c r="G24" s="768">
        <f>SUMIF(M30:Q30,E2,M33:Q33)</f>
        <v>5.5E-2</v>
      </c>
      <c r="H24" s="2060" t="s">
        <v>2008</v>
      </c>
      <c r="I24" s="769">
        <f>SUMIF('数据-取费表'!C6:C15,E2,'数据-取费表'!F6:F15)/COUNTIF('数据-取费表'!C6:C15,E2)</f>
        <v>20.99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3405</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5306</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266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22598</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3.4499999999999996E-2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9028</v>
      </c>
      <c r="D37" s="2098">
        <f>'数据-汇总表'!G19</f>
        <v>1179.4099999999999</v>
      </c>
      <c r="E37" s="171">
        <f>ROUND(C37*D37/10000,0)</f>
        <v>1065</v>
      </c>
      <c r="F37" s="171">
        <f>SUMIF(修正!A57:A68,G2,修正!B57:B68)</f>
        <v>0.6</v>
      </c>
      <c r="G37" s="171">
        <f>ROUND(IF(E2="工业",C37*$M$42,C37*$M$41),0)</f>
        <v>2257</v>
      </c>
      <c r="H37" s="171">
        <f>D37</f>
        <v>1179.4099999999999</v>
      </c>
      <c r="I37" s="171">
        <f>ROUND(G37*H37/10000,0)</f>
        <v>266</v>
      </c>
      <c r="J37" s="3012"/>
      <c r="K37" s="3359" t="s">
        <v>3270</v>
      </c>
      <c r="L37" s="3357">
        <f ca="1">L36+K38</f>
        <v>3.9499999999999993E-2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4514</v>
      </c>
      <c r="D38" s="2098"/>
      <c r="E38" s="171">
        <f t="shared" ref="E38:E42" si="4">ROUND(C38*D38/10000,0)</f>
        <v>0</v>
      </c>
      <c r="F38" s="171">
        <f>SUMIF(修正!A57:A68,G2,修正!C57:C68)</f>
        <v>0.3</v>
      </c>
      <c r="G38" s="171">
        <f>ROUND(IF(E2="工业",C38*$M$42,C38*$M$41),0)</f>
        <v>1129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3263</v>
      </c>
      <c r="C39" s="175">
        <f>ROUND(D5*C22*C23*C24*C28*F39,0)</f>
        <v>3762</v>
      </c>
      <c r="D39" s="2098"/>
      <c r="E39" s="171">
        <f t="shared" si="4"/>
        <v>0</v>
      </c>
      <c r="F39" s="171">
        <f>SUMIF(修正!A57:A68,G2,修正!D57:D68)</f>
        <v>0.25</v>
      </c>
      <c r="G39" s="171">
        <f>ROUND(IF(E2="工业",C39*$M$42,C39*$M$41),0)</f>
        <v>941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3762</v>
      </c>
      <c r="D40" s="2098"/>
      <c r="E40" s="171">
        <f t="shared" si="4"/>
        <v>0</v>
      </c>
      <c r="F40" s="175">
        <f>SUMIF(修正!A57:A68,G2,修正!E57:E68)</f>
        <v>0.25</v>
      </c>
      <c r="G40" s="171">
        <f>ROUND(IF(E2="工业",C40*$M$42,C40*$M$41),0)</f>
        <v>941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1.0195000000000001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3387</v>
      </c>
      <c r="D50" s="1065">
        <f t="shared" ref="D50:D58" si="7">SUMIF($J$49:$N$49,C50,J50:N50)</f>
        <v>0</v>
      </c>
      <c r="E50" s="744">
        <f>ROUND(SUM(D50:D58),4)</f>
        <v>1.95E-2</v>
      </c>
      <c r="F50" s="1814">
        <f>IF(E2="商业",SUMIF(L1:L12,G2,N1:N12),"——")</f>
        <v>0.1</v>
      </c>
      <c r="G50" s="1063">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3389</v>
      </c>
      <c r="D51" s="1065">
        <f t="shared" si="7"/>
        <v>1.0999999999999999E-2</v>
      </c>
      <c r="E51" s="745"/>
      <c r="F51" s="1814"/>
      <c r="G51" s="1063">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3389</v>
      </c>
      <c r="D52" s="1065">
        <f t="shared" si="7"/>
        <v>6.0000000000000001E-3</v>
      </c>
      <c r="E52" s="745"/>
      <c r="F52" s="1814"/>
      <c r="G52" s="1063">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3388</v>
      </c>
      <c r="D53" s="1065">
        <f t="shared" si="7"/>
        <v>-2.5000000000000001E-3</v>
      </c>
      <c r="E53" s="745"/>
      <c r="F53" s="1814"/>
      <c r="G53" s="1063">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3413</v>
      </c>
      <c r="D54" s="1065">
        <f t="shared" si="7"/>
        <v>-8.0000000000000002E-3</v>
      </c>
      <c r="E54" s="745"/>
      <c r="F54" s="1814"/>
      <c r="G54" s="1063">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3389</v>
      </c>
      <c r="D55" s="1065">
        <f t="shared" si="7"/>
        <v>2.5000000000000001E-3</v>
      </c>
      <c r="E55" s="745"/>
      <c r="F55" s="1814"/>
      <c r="G55" s="1063">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3389</v>
      </c>
      <c r="D56" s="1065">
        <f t="shared" si="7"/>
        <v>2.5000000000000001E-3</v>
      </c>
      <c r="E56" s="745"/>
      <c r="F56" s="1814"/>
      <c r="G56" s="1063">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3406</v>
      </c>
      <c r="D57" s="1065">
        <f t="shared" si="7"/>
        <v>8.0000000000000002E-3</v>
      </c>
      <c r="E57" s="745"/>
      <c r="F57" s="1814"/>
      <c r="G57" s="1063">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3387</v>
      </c>
      <c r="D58" s="1065">
        <f t="shared" si="7"/>
        <v>0</v>
      </c>
      <c r="E58" s="746"/>
      <c r="F58" s="1814"/>
      <c r="G58" s="1063">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1.0075000000000001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3387</v>
      </c>
      <c r="D61" s="1065">
        <f t="shared" ref="D61:D69" si="12">SUMIF($J$60:$N$60,C61,J61:N61)</f>
        <v>0</v>
      </c>
      <c r="E61" s="744">
        <f>ROUND(SUM(D61:D69),4)</f>
        <v>7.4999999999999997E-3</v>
      </c>
      <c r="F61" s="1814" t="str">
        <f>IF(E2="办公",SUMIF(L1:L12,G2,N1:N12),"——")</f>
        <v>——</v>
      </c>
      <c r="G61" s="1063">
        <v>1.2500000000000001E-2</v>
      </c>
      <c r="H61" s="1066" t="str">
        <f t="shared" ref="H61:H69" si="13">IFERROR(ROUNDDOWN($F$61*I61/2,4),"——")</f>
        <v>——</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3387</v>
      </c>
      <c r="D62" s="1065">
        <f t="shared" si="12"/>
        <v>0</v>
      </c>
      <c r="E62" s="745"/>
      <c r="F62" s="1814"/>
      <c r="G62" s="1063">
        <v>1.2999999999999999E-2</v>
      </c>
      <c r="H62" s="1066" t="str">
        <f t="shared" si="13"/>
        <v>——</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3387</v>
      </c>
      <c r="D63" s="1065">
        <f t="shared" si="12"/>
        <v>0</v>
      </c>
      <c r="E63" s="745"/>
      <c r="F63" s="1814"/>
      <c r="G63" s="1063">
        <v>5.4999999999999997E-3</v>
      </c>
      <c r="H63" s="1066" t="str">
        <f t="shared" si="13"/>
        <v>——</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3389</v>
      </c>
      <c r="D64" s="1065">
        <f t="shared" si="12"/>
        <v>2.5000000000000001E-3</v>
      </c>
      <c r="E64" s="745"/>
      <c r="F64" s="1814"/>
      <c r="G64" s="1063">
        <v>2.5000000000000001E-3</v>
      </c>
      <c r="H64" s="1066" t="str">
        <f t="shared" si="13"/>
        <v>——</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3388</v>
      </c>
      <c r="D65" s="1065">
        <f t="shared" si="12"/>
        <v>-2.5000000000000001E-3</v>
      </c>
      <c r="E65" s="745"/>
      <c r="F65" s="1814"/>
      <c r="G65" s="1063">
        <v>2.5000000000000001E-3</v>
      </c>
      <c r="H65" s="1066" t="str">
        <f t="shared" si="13"/>
        <v>——</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3389</v>
      </c>
      <c r="D66" s="1065">
        <f t="shared" si="12"/>
        <v>3.0000000000000001E-3</v>
      </c>
      <c r="E66" s="745"/>
      <c r="F66" s="1814"/>
      <c r="G66" s="1063">
        <v>3.0000000000000001E-3</v>
      </c>
      <c r="H66" s="1066" t="str">
        <f t="shared" si="13"/>
        <v>——</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3387</v>
      </c>
      <c r="D67" s="1065">
        <f t="shared" si="12"/>
        <v>0</v>
      </c>
      <c r="E67" s="745"/>
      <c r="F67" s="1814"/>
      <c r="G67" s="1063">
        <v>3.0000000000000001E-3</v>
      </c>
      <c r="H67" s="1066" t="str">
        <f t="shared" si="13"/>
        <v>——</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3389</v>
      </c>
      <c r="D68" s="1065">
        <f t="shared" si="12"/>
        <v>4.4999999999999997E-3</v>
      </c>
      <c r="E68" s="745"/>
      <c r="F68" s="1814"/>
      <c r="G68" s="1063">
        <v>4.4999999999999997E-3</v>
      </c>
      <c r="H68" s="1066" t="str">
        <f t="shared" si="13"/>
        <v>——</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3387</v>
      </c>
      <c r="D69" s="1065">
        <f t="shared" si="12"/>
        <v>0</v>
      </c>
      <c r="E69" s="746"/>
      <c r="F69" s="1814"/>
      <c r="G69" s="1063">
        <v>3.5000000000000001E-3</v>
      </c>
      <c r="H69" s="1066" t="str">
        <f t="shared" si="13"/>
        <v>——</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9" t="s">
        <v>3298</v>
      </c>
      <c r="B103" s="3759"/>
      <c r="C103" s="3759"/>
      <c r="D103" s="3759"/>
      <c r="E103" s="3759"/>
      <c r="F103" s="3759"/>
      <c r="G103" s="3759"/>
      <c r="H103" s="3759"/>
      <c r="I103" s="3759"/>
      <c r="J103" s="3759"/>
      <c r="K103" s="3390"/>
      <c r="L103" s="3390"/>
      <c r="M103" s="3390"/>
      <c r="N103" s="3390"/>
    </row>
    <row r="104" spans="1:14">
      <c r="A104" s="3760" t="s">
        <v>3299</v>
      </c>
      <c r="B104" s="3760" t="s">
        <v>3300</v>
      </c>
      <c r="C104" s="3391" t="s">
        <v>3301</v>
      </c>
      <c r="D104" s="3392"/>
      <c r="E104" s="3392"/>
      <c r="F104" s="3392"/>
      <c r="G104" s="3392"/>
      <c r="H104" s="3392"/>
      <c r="I104" s="3392"/>
      <c r="J104" s="3393"/>
      <c r="K104" s="3394"/>
      <c r="L104" s="3394"/>
      <c r="M104" s="3394"/>
      <c r="N104" s="3394"/>
    </row>
    <row r="105" spans="1:14">
      <c r="A105" s="3760"/>
      <c r="B105" s="376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8"/>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9" t="s">
        <v>3315</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3334</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2" t="s">
        <v>2610</v>
      </c>
      <c r="B20" s="3765" t="s">
        <v>2631</v>
      </c>
      <c r="C20" s="3103" t="s">
        <v>2442</v>
      </c>
      <c r="D20" s="3104"/>
      <c r="E20" s="3105">
        <v>1</v>
      </c>
      <c r="F20" s="3106" t="s">
        <v>2443</v>
      </c>
      <c r="G20" s="3106"/>
    </row>
    <row r="21" spans="1:13" ht="19.5" customHeight="1">
      <c r="A21" s="3773"/>
      <c r="B21" s="3766"/>
      <c r="C21" s="3107" t="s">
        <v>2444</v>
      </c>
      <c r="D21" s="3108"/>
      <c r="E21" s="3109">
        <v>1</v>
      </c>
      <c r="F21" s="3106" t="s">
        <v>2445</v>
      </c>
      <c r="G21" s="3106"/>
    </row>
    <row r="22" spans="1:13" ht="19.5" customHeight="1">
      <c r="A22" s="3773"/>
      <c r="B22" s="3766"/>
      <c r="C22" s="3107" t="s">
        <v>2446</v>
      </c>
      <c r="D22" s="3108"/>
      <c r="E22" s="3109">
        <v>0.9</v>
      </c>
      <c r="F22" s="3106" t="s">
        <v>2447</v>
      </c>
      <c r="G22" s="3106"/>
    </row>
    <row r="23" spans="1:13" ht="19.5" customHeight="1">
      <c r="A23" s="3773"/>
      <c r="B23" s="3766"/>
      <c r="C23" s="3107" t="s">
        <v>2448</v>
      </c>
      <c r="D23" s="3108"/>
      <c r="E23" s="3109">
        <v>0.9</v>
      </c>
      <c r="F23" s="3106" t="s">
        <v>2449</v>
      </c>
      <c r="G23" s="3106"/>
    </row>
    <row r="24" spans="1:13" ht="19.5" customHeight="1">
      <c r="A24" s="3773"/>
      <c r="B24" s="3766"/>
      <c r="C24" s="3107" t="s">
        <v>2450</v>
      </c>
      <c r="D24" s="3108"/>
      <c r="E24" s="3109">
        <v>0.8</v>
      </c>
      <c r="F24" s="3106" t="s">
        <v>2451</v>
      </c>
      <c r="G24" s="3106"/>
    </row>
    <row r="25" spans="1:13" ht="19.5" customHeight="1" thickBot="1">
      <c r="A25" s="3774"/>
      <c r="B25" s="376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8" t="s">
        <v>2634</v>
      </c>
      <c r="B27" s="3765" t="s">
        <v>2615</v>
      </c>
      <c r="C27" s="3103" t="s">
        <v>2455</v>
      </c>
      <c r="D27" s="3104"/>
      <c r="E27" s="3105">
        <v>1</v>
      </c>
      <c r="F27" s="3106" t="s">
        <v>2456</v>
      </c>
      <c r="G27" s="3106"/>
    </row>
    <row r="28" spans="1:13" ht="19.5" customHeight="1">
      <c r="A28" s="3769"/>
      <c r="B28" s="3766"/>
      <c r="C28" s="3107" t="s">
        <v>2457</v>
      </c>
      <c r="D28" s="3108"/>
      <c r="E28" s="3109">
        <v>1</v>
      </c>
      <c r="F28" s="3106" t="s">
        <v>2458</v>
      </c>
      <c r="G28" s="3106"/>
    </row>
    <row r="29" spans="1:13" ht="19.5" customHeight="1">
      <c r="A29" s="3769"/>
      <c r="B29" s="3766"/>
      <c r="C29" s="3107" t="s">
        <v>2459</v>
      </c>
      <c r="D29" s="3108"/>
      <c r="E29" s="3109">
        <v>0.8</v>
      </c>
      <c r="F29" s="3106" t="s">
        <v>2460</v>
      </c>
      <c r="G29" s="3106"/>
    </row>
    <row r="30" spans="1:13" ht="19.5" customHeight="1">
      <c r="A30" s="3769"/>
      <c r="B30" s="3766"/>
      <c r="C30" s="3107" t="s">
        <v>2461</v>
      </c>
      <c r="D30" s="3108"/>
      <c r="E30" s="3109">
        <v>0.8</v>
      </c>
      <c r="F30" s="3106" t="s">
        <v>2462</v>
      </c>
      <c r="G30" s="3106"/>
    </row>
    <row r="31" spans="1:13" ht="19.5" customHeight="1">
      <c r="A31" s="3769"/>
      <c r="B31" s="3766"/>
      <c r="C31" s="3107" t="s">
        <v>2463</v>
      </c>
      <c r="D31" s="3108"/>
      <c r="E31" s="3109">
        <v>0.8</v>
      </c>
      <c r="F31" s="3106" t="s">
        <v>2464</v>
      </c>
      <c r="G31" s="3106"/>
    </row>
    <row r="32" spans="1:13" ht="19.5" customHeight="1">
      <c r="A32" s="3769"/>
      <c r="B32" s="3766"/>
      <c r="C32" s="3107" t="s">
        <v>2465</v>
      </c>
      <c r="D32" s="3108"/>
      <c r="E32" s="3109">
        <v>0.7</v>
      </c>
      <c r="F32" s="3106" t="s">
        <v>2466</v>
      </c>
      <c r="G32" s="3106"/>
    </row>
    <row r="33" spans="1:7" ht="19.5" customHeight="1">
      <c r="A33" s="3769"/>
      <c r="B33" s="3766"/>
      <c r="C33" s="3107" t="s">
        <v>2467</v>
      </c>
      <c r="D33" s="3108"/>
      <c r="E33" s="3109">
        <v>0.8</v>
      </c>
      <c r="F33" s="3106" t="s">
        <v>2468</v>
      </c>
      <c r="G33" s="3106"/>
    </row>
    <row r="34" spans="1:7" ht="19.5" customHeight="1">
      <c r="A34" s="3769"/>
      <c r="B34" s="3766"/>
      <c r="C34" s="3107" t="s">
        <v>2469</v>
      </c>
      <c r="D34" s="3108"/>
      <c r="E34" s="3109">
        <v>0.6</v>
      </c>
      <c r="F34" s="3106" t="s">
        <v>2470</v>
      </c>
      <c r="G34" s="3106"/>
    </row>
    <row r="35" spans="1:7" ht="19.5" customHeight="1">
      <c r="A35" s="3769"/>
      <c r="B35" s="3766"/>
      <c r="C35" s="3107" t="s">
        <v>2471</v>
      </c>
      <c r="D35" s="3108"/>
      <c r="E35" s="3109">
        <v>0.2</v>
      </c>
      <c r="F35" s="3106" t="s">
        <v>2472</v>
      </c>
      <c r="G35" s="3106"/>
    </row>
    <row r="36" spans="1:7" ht="19.5" customHeight="1">
      <c r="A36" s="3769"/>
      <c r="B36" s="3766"/>
      <c r="C36" s="3107" t="s">
        <v>2473</v>
      </c>
      <c r="D36" s="3108"/>
      <c r="E36" s="3109">
        <v>0.2</v>
      </c>
      <c r="F36" s="3106" t="s">
        <v>2474</v>
      </c>
      <c r="G36" s="3106"/>
    </row>
    <row r="37" spans="1:7" ht="19.5" customHeight="1">
      <c r="A37" s="3769"/>
      <c r="B37" s="3771" t="s">
        <v>2635</v>
      </c>
      <c r="C37" s="3107" t="s">
        <v>2475</v>
      </c>
      <c r="D37" s="3108"/>
      <c r="E37" s="3109">
        <v>0.6</v>
      </c>
      <c r="F37" s="3106" t="s">
        <v>2476</v>
      </c>
      <c r="G37" s="3106"/>
    </row>
    <row r="38" spans="1:7" ht="19.5" customHeight="1">
      <c r="A38" s="3769"/>
      <c r="B38" s="3766"/>
      <c r="C38" s="3107" t="s">
        <v>2477</v>
      </c>
      <c r="D38" s="3108"/>
      <c r="E38" s="3109">
        <v>0.6</v>
      </c>
      <c r="F38" s="3106" t="s">
        <v>2478</v>
      </c>
      <c r="G38" s="3106"/>
    </row>
    <row r="39" spans="1:7" ht="19.5" customHeight="1" thickBot="1">
      <c r="A39" s="3770"/>
      <c r="B39" s="376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2" t="s">
        <v>2613</v>
      </c>
      <c r="B41" s="3765" t="s">
        <v>2637</v>
      </c>
      <c r="C41" s="3103" t="s">
        <v>2482</v>
      </c>
      <c r="D41" s="3104"/>
      <c r="E41" s="3105">
        <v>1</v>
      </c>
      <c r="F41" s="3106" t="s">
        <v>2483</v>
      </c>
      <c r="G41" s="3106"/>
    </row>
    <row r="42" spans="1:7" ht="19.5" customHeight="1">
      <c r="A42" s="3773"/>
      <c r="B42" s="3766"/>
      <c r="C42" s="3107" t="s">
        <v>2484</v>
      </c>
      <c r="D42" s="3108"/>
      <c r="E42" s="3109">
        <v>1</v>
      </c>
      <c r="F42" s="3106" t="s">
        <v>2485</v>
      </c>
      <c r="G42" s="3106"/>
    </row>
    <row r="43" spans="1:7" ht="19.5" customHeight="1">
      <c r="A43" s="3773"/>
      <c r="B43" s="3775"/>
      <c r="C43" s="3107" t="s">
        <v>2486</v>
      </c>
      <c r="D43" s="3108"/>
      <c r="E43" s="3109">
        <v>1.5</v>
      </c>
      <c r="F43" s="3106" t="s">
        <v>2487</v>
      </c>
      <c r="G43" s="3106"/>
    </row>
    <row r="44" spans="1:7" ht="19.5" customHeight="1">
      <c r="A44" s="3773"/>
      <c r="B44" s="3118" t="s">
        <v>2638</v>
      </c>
      <c r="C44" s="3107" t="s">
        <v>2639</v>
      </c>
      <c r="D44" s="3108"/>
      <c r="E44" s="3109">
        <v>2</v>
      </c>
      <c r="F44" s="3106" t="s">
        <v>2488</v>
      </c>
      <c r="G44" s="3106"/>
    </row>
    <row r="45" spans="1:7" ht="19.5" customHeight="1">
      <c r="A45" s="3773"/>
      <c r="B45" s="3771" t="s">
        <v>2640</v>
      </c>
      <c r="C45" s="3107" t="s">
        <v>2489</v>
      </c>
      <c r="D45" s="3108"/>
      <c r="E45" s="3109">
        <v>1</v>
      </c>
      <c r="F45" s="3106" t="s">
        <v>2490</v>
      </c>
      <c r="G45" s="3106"/>
    </row>
    <row r="46" spans="1:7" ht="19.5" customHeight="1">
      <c r="A46" s="3773"/>
      <c r="B46" s="3766"/>
      <c r="C46" s="3107" t="s">
        <v>2491</v>
      </c>
      <c r="D46" s="3108"/>
      <c r="E46" s="3109">
        <v>1</v>
      </c>
      <c r="F46" s="3106" t="s">
        <v>2492</v>
      </c>
      <c r="G46" s="3106"/>
    </row>
    <row r="47" spans="1:7" ht="19.5" customHeight="1">
      <c r="A47" s="3773"/>
      <c r="B47" s="3766"/>
      <c r="C47" s="3107" t="s">
        <v>2493</v>
      </c>
      <c r="D47" s="3108"/>
      <c r="E47" s="3109">
        <v>1</v>
      </c>
      <c r="F47" s="3106" t="s">
        <v>2494</v>
      </c>
      <c r="G47" s="3106"/>
    </row>
    <row r="48" spans="1:7" ht="19.5" customHeight="1">
      <c r="A48" s="3773"/>
      <c r="B48" s="3766"/>
      <c r="C48" s="3107" t="s">
        <v>2495</v>
      </c>
      <c r="D48" s="3108"/>
      <c r="E48" s="3109">
        <v>1</v>
      </c>
      <c r="F48" s="3106" t="s">
        <v>2496</v>
      </c>
      <c r="G48" s="3106"/>
    </row>
    <row r="49" spans="1:7" ht="19.5" customHeight="1">
      <c r="A49" s="3773"/>
      <c r="B49" s="3766"/>
      <c r="C49" s="3107" t="s">
        <v>2497</v>
      </c>
      <c r="D49" s="3108"/>
      <c r="E49" s="3109">
        <v>1</v>
      </c>
      <c r="F49" s="3106" t="s">
        <v>2498</v>
      </c>
      <c r="G49" s="3106"/>
    </row>
    <row r="50" spans="1:7" ht="19.5" customHeight="1">
      <c r="A50" s="3773"/>
      <c r="B50" s="3766"/>
      <c r="C50" s="3107" t="s">
        <v>2499</v>
      </c>
      <c r="D50" s="3108"/>
      <c r="E50" s="3109">
        <v>1</v>
      </c>
      <c r="F50" s="3106" t="s">
        <v>2500</v>
      </c>
      <c r="G50" s="3106"/>
    </row>
    <row r="51" spans="1:7" ht="19.5" customHeight="1" thickBot="1">
      <c r="A51" s="3774"/>
      <c r="B51" s="376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1" t="s">
        <v>2654</v>
      </c>
      <c r="C73" s="3092" t="s">
        <v>2655</v>
      </c>
      <c r="D73" s="3092" t="s">
        <v>2656</v>
      </c>
      <c r="E73" s="3118">
        <v>0.2</v>
      </c>
      <c r="F73" s="3118">
        <v>25</v>
      </c>
    </row>
    <row r="74" spans="1:7" ht="24">
      <c r="A74" s="3118">
        <v>2</v>
      </c>
      <c r="B74" s="3766"/>
      <c r="C74" s="3092" t="s">
        <v>2657</v>
      </c>
      <c r="D74" s="3092" t="s">
        <v>2658</v>
      </c>
      <c r="E74" s="3118">
        <v>0.2</v>
      </c>
      <c r="F74" s="3118">
        <v>25</v>
      </c>
    </row>
    <row r="75" spans="1:7" ht="24">
      <c r="A75" s="3118">
        <v>3</v>
      </c>
      <c r="B75" s="3766"/>
      <c r="C75" s="3092" t="s">
        <v>2659</v>
      </c>
      <c r="D75" s="3092" t="s">
        <v>2660</v>
      </c>
      <c r="E75" s="3118">
        <v>0.2</v>
      </c>
      <c r="F75" s="3118">
        <v>25</v>
      </c>
    </row>
    <row r="76" spans="1:7" ht="13.5">
      <c r="A76" s="3118">
        <v>4</v>
      </c>
      <c r="B76" s="3766"/>
      <c r="C76" s="3092" t="s">
        <v>2661</v>
      </c>
      <c r="D76" s="3092" t="s">
        <v>2662</v>
      </c>
      <c r="E76" s="3118">
        <v>0.15</v>
      </c>
      <c r="F76" s="3118">
        <v>20</v>
      </c>
    </row>
    <row r="77" spans="1:7" ht="24">
      <c r="A77" s="3118">
        <v>5</v>
      </c>
      <c r="B77" s="3766"/>
      <c r="C77" s="3092" t="s">
        <v>2663</v>
      </c>
      <c r="D77" s="3092" t="s">
        <v>2664</v>
      </c>
      <c r="E77" s="3118">
        <v>0.15</v>
      </c>
      <c r="F77" s="3118">
        <v>20</v>
      </c>
    </row>
    <row r="78" spans="1:7" ht="24">
      <c r="A78" s="3118">
        <v>6</v>
      </c>
      <c r="B78" s="3766"/>
      <c r="C78" s="3092" t="s">
        <v>2665</v>
      </c>
      <c r="D78" s="3092" t="s">
        <v>2666</v>
      </c>
      <c r="E78" s="3118">
        <v>0.15</v>
      </c>
      <c r="F78" s="3118">
        <v>20</v>
      </c>
    </row>
    <row r="79" spans="1:7" ht="24">
      <c r="A79" s="3118">
        <v>7</v>
      </c>
      <c r="B79" s="3766"/>
      <c r="C79" s="3092" t="s">
        <v>2667</v>
      </c>
      <c r="D79" s="3092" t="s">
        <v>2668</v>
      </c>
      <c r="E79" s="3118">
        <v>0.15</v>
      </c>
      <c r="F79" s="3118">
        <v>20</v>
      </c>
    </row>
    <row r="80" spans="1:7" ht="24">
      <c r="A80" s="3118">
        <v>8</v>
      </c>
      <c r="B80" s="3766"/>
      <c r="C80" s="3092" t="s">
        <v>2669</v>
      </c>
      <c r="D80" s="3092" t="s">
        <v>2670</v>
      </c>
      <c r="E80" s="3118">
        <v>0.1</v>
      </c>
      <c r="F80" s="3118">
        <v>15</v>
      </c>
    </row>
    <row r="81" spans="1:6" ht="24">
      <c r="A81" s="3118">
        <v>9</v>
      </c>
      <c r="B81" s="3766"/>
      <c r="C81" s="3092" t="s">
        <v>2671</v>
      </c>
      <c r="D81" s="3092" t="s">
        <v>2672</v>
      </c>
      <c r="E81" s="3118">
        <v>0.1</v>
      </c>
      <c r="F81" s="3118">
        <v>15</v>
      </c>
    </row>
    <row r="82" spans="1:6" ht="24">
      <c r="A82" s="3118">
        <v>10</v>
      </c>
      <c r="B82" s="3766"/>
      <c r="C82" s="3092" t="s">
        <v>2673</v>
      </c>
      <c r="D82" s="3092" t="s">
        <v>2674</v>
      </c>
      <c r="E82" s="3118">
        <v>0.1</v>
      </c>
      <c r="F82" s="3118">
        <v>15</v>
      </c>
    </row>
    <row r="83" spans="1:6" ht="24">
      <c r="A83" s="3118">
        <v>11</v>
      </c>
      <c r="B83" s="3766"/>
      <c r="C83" s="3092" t="s">
        <v>2675</v>
      </c>
      <c r="D83" s="3092" t="s">
        <v>2676</v>
      </c>
      <c r="E83" s="3118">
        <v>0.1</v>
      </c>
      <c r="F83" s="3118">
        <v>15</v>
      </c>
    </row>
    <row r="84" spans="1:6" ht="24">
      <c r="A84" s="3118">
        <v>12</v>
      </c>
      <c r="B84" s="3766"/>
      <c r="C84" s="3092" t="s">
        <v>2677</v>
      </c>
      <c r="D84" s="3092" t="s">
        <v>2678</v>
      </c>
      <c r="E84" s="3118">
        <v>0.1</v>
      </c>
      <c r="F84" s="3118">
        <v>15</v>
      </c>
    </row>
    <row r="85" spans="1:6" ht="13.5">
      <c r="A85" s="3118">
        <v>13</v>
      </c>
      <c r="B85" s="3766"/>
      <c r="C85" s="3092" t="s">
        <v>2679</v>
      </c>
      <c r="D85" s="3092" t="s">
        <v>2680</v>
      </c>
      <c r="E85" s="3118">
        <v>0.1</v>
      </c>
      <c r="F85" s="3118">
        <v>15</v>
      </c>
    </row>
    <row r="86" spans="1:6" ht="13.5">
      <c r="A86" s="3118">
        <v>14</v>
      </c>
      <c r="B86" s="3766"/>
      <c r="C86" s="3092" t="s">
        <v>2681</v>
      </c>
      <c r="D86" s="3092" t="s">
        <v>2682</v>
      </c>
      <c r="E86" s="3118">
        <v>0.1</v>
      </c>
      <c r="F86" s="3118">
        <v>15</v>
      </c>
    </row>
    <row r="87" spans="1:6" ht="13.5">
      <c r="A87" s="3118">
        <v>15</v>
      </c>
      <c r="B87" s="3766"/>
      <c r="C87" s="3092" t="s">
        <v>2683</v>
      </c>
      <c r="D87" s="3092" t="s">
        <v>2684</v>
      </c>
      <c r="E87" s="3118">
        <v>0.1</v>
      </c>
      <c r="F87" s="3118">
        <v>15</v>
      </c>
    </row>
    <row r="88" spans="1:6" ht="24">
      <c r="A88" s="3118">
        <v>16</v>
      </c>
      <c r="B88" s="3766"/>
      <c r="C88" s="3092" t="s">
        <v>2685</v>
      </c>
      <c r="D88" s="3092" t="s">
        <v>2686</v>
      </c>
      <c r="E88" s="3118">
        <v>0.1</v>
      </c>
      <c r="F88" s="3118">
        <v>15</v>
      </c>
    </row>
    <row r="89" spans="1:6" ht="24">
      <c r="A89" s="3118">
        <v>17</v>
      </c>
      <c r="B89" s="3775"/>
      <c r="C89" s="3092" t="s">
        <v>2687</v>
      </c>
      <c r="D89" s="3092" t="s">
        <v>2688</v>
      </c>
      <c r="E89" s="3118">
        <v>0.1</v>
      </c>
      <c r="F89" s="3118">
        <v>15</v>
      </c>
    </row>
    <row r="90" spans="1:6" ht="13.5">
      <c r="A90" s="3118">
        <v>18</v>
      </c>
      <c r="B90" s="3771" t="s">
        <v>2689</v>
      </c>
      <c r="C90" s="3092" t="s">
        <v>2690</v>
      </c>
      <c r="D90" s="3092" t="s">
        <v>2691</v>
      </c>
      <c r="E90" s="3118">
        <v>0.2</v>
      </c>
      <c r="F90" s="3118">
        <v>25</v>
      </c>
    </row>
    <row r="91" spans="1:6" ht="24">
      <c r="A91" s="3118">
        <v>19</v>
      </c>
      <c r="B91" s="3766"/>
      <c r="C91" s="3092" t="s">
        <v>2692</v>
      </c>
      <c r="D91" s="3092" t="s">
        <v>2693</v>
      </c>
      <c r="E91" s="3118">
        <v>0.2</v>
      </c>
      <c r="F91" s="3118">
        <v>25</v>
      </c>
    </row>
    <row r="92" spans="1:6" ht="13.5">
      <c r="A92" s="3118">
        <v>20</v>
      </c>
      <c r="B92" s="3766"/>
      <c r="C92" s="3092" t="s">
        <v>2694</v>
      </c>
      <c r="D92" s="3092" t="s">
        <v>2695</v>
      </c>
      <c r="E92" s="3118">
        <v>0.15</v>
      </c>
      <c r="F92" s="3118">
        <v>20</v>
      </c>
    </row>
    <row r="93" spans="1:6" ht="13.5">
      <c r="A93" s="3118">
        <v>21</v>
      </c>
      <c r="B93" s="3766"/>
      <c r="C93" s="3092" t="s">
        <v>2696</v>
      </c>
      <c r="D93" s="3092" t="s">
        <v>2697</v>
      </c>
      <c r="E93" s="3118">
        <v>0.15</v>
      </c>
      <c r="F93" s="3118">
        <v>20</v>
      </c>
    </row>
    <row r="94" spans="1:6" ht="13.5">
      <c r="A94" s="3118">
        <v>22</v>
      </c>
      <c r="B94" s="3766"/>
      <c r="C94" s="3092" t="s">
        <v>2698</v>
      </c>
      <c r="D94" s="3092" t="s">
        <v>2699</v>
      </c>
      <c r="E94" s="3118">
        <v>0.15</v>
      </c>
      <c r="F94" s="3118">
        <v>20</v>
      </c>
    </row>
    <row r="95" spans="1:6" ht="36">
      <c r="A95" s="3118">
        <v>23</v>
      </c>
      <c r="B95" s="3766"/>
      <c r="C95" s="3092" t="s">
        <v>2700</v>
      </c>
      <c r="D95" s="3092" t="s">
        <v>2701</v>
      </c>
      <c r="E95" s="3118">
        <v>0.15</v>
      </c>
      <c r="F95" s="3118">
        <v>20</v>
      </c>
    </row>
    <row r="96" spans="1:6" ht="13.5">
      <c r="A96" s="3118">
        <v>24</v>
      </c>
      <c r="B96" s="3766"/>
      <c r="C96" s="3092" t="s">
        <v>2702</v>
      </c>
      <c r="D96" s="3092" t="s">
        <v>2703</v>
      </c>
      <c r="E96" s="3118">
        <v>0.1</v>
      </c>
      <c r="F96" s="3118">
        <v>15</v>
      </c>
    </row>
    <row r="97" spans="1:6" ht="13.5">
      <c r="A97" s="3118">
        <v>25</v>
      </c>
      <c r="B97" s="3766"/>
      <c r="C97" s="3092" t="s">
        <v>2704</v>
      </c>
      <c r="D97" s="3092" t="s">
        <v>2705</v>
      </c>
      <c r="E97" s="3118">
        <v>0.1</v>
      </c>
      <c r="F97" s="3118">
        <v>15</v>
      </c>
    </row>
    <row r="98" spans="1:6" ht="24">
      <c r="A98" s="3118">
        <v>26</v>
      </c>
      <c r="B98" s="3766"/>
      <c r="C98" s="3092" t="s">
        <v>2706</v>
      </c>
      <c r="D98" s="3092" t="s">
        <v>2707</v>
      </c>
      <c r="E98" s="3118">
        <v>0.1</v>
      </c>
      <c r="F98" s="3118">
        <v>15</v>
      </c>
    </row>
    <row r="99" spans="1:6" ht="24">
      <c r="A99" s="3118">
        <v>27</v>
      </c>
      <c r="B99" s="3766"/>
      <c r="C99" s="3092" t="s">
        <v>2708</v>
      </c>
      <c r="D99" s="3092" t="s">
        <v>2709</v>
      </c>
      <c r="E99" s="3118">
        <v>0.1</v>
      </c>
      <c r="F99" s="3118">
        <v>15</v>
      </c>
    </row>
    <row r="100" spans="1:6" ht="13.5">
      <c r="A100" s="3118">
        <v>28</v>
      </c>
      <c r="B100" s="3766"/>
      <c r="C100" s="3092" t="s">
        <v>2710</v>
      </c>
      <c r="D100" s="3092" t="s">
        <v>2711</v>
      </c>
      <c r="E100" s="3118">
        <v>0.1</v>
      </c>
      <c r="F100" s="3118">
        <v>15</v>
      </c>
    </row>
    <row r="101" spans="1:6" ht="13.5">
      <c r="A101" s="3118">
        <v>29</v>
      </c>
      <c r="B101" s="3766"/>
      <c r="C101" s="3092" t="s">
        <v>2712</v>
      </c>
      <c r="D101" s="3092" t="s">
        <v>2713</v>
      </c>
      <c r="E101" s="3118">
        <v>0.1</v>
      </c>
      <c r="F101" s="3118">
        <v>15</v>
      </c>
    </row>
    <row r="102" spans="1:6" ht="13.5">
      <c r="A102" s="3118">
        <v>30</v>
      </c>
      <c r="B102" s="3766"/>
      <c r="C102" s="3092" t="s">
        <v>2714</v>
      </c>
      <c r="D102" s="3092" t="s">
        <v>2715</v>
      </c>
      <c r="E102" s="3118">
        <v>0.1</v>
      </c>
      <c r="F102" s="3118">
        <v>15</v>
      </c>
    </row>
    <row r="103" spans="1:6" ht="24">
      <c r="A103" s="3118">
        <v>31</v>
      </c>
      <c r="B103" s="3766"/>
      <c r="C103" s="3092" t="s">
        <v>2716</v>
      </c>
      <c r="D103" s="3092" t="s">
        <v>2717</v>
      </c>
      <c r="E103" s="3118">
        <v>0.1</v>
      </c>
      <c r="F103" s="3118">
        <v>15</v>
      </c>
    </row>
    <row r="104" spans="1:6" ht="24">
      <c r="A104" s="3118">
        <v>32</v>
      </c>
      <c r="B104" s="3766"/>
      <c r="C104" s="3092" t="s">
        <v>2718</v>
      </c>
      <c r="D104" s="3092" t="s">
        <v>2719</v>
      </c>
      <c r="E104" s="3118">
        <v>0.1</v>
      </c>
      <c r="F104" s="3118">
        <v>15</v>
      </c>
    </row>
    <row r="105" spans="1:6" ht="24">
      <c r="A105" s="3118">
        <v>33</v>
      </c>
      <c r="B105" s="3766"/>
      <c r="C105" s="3092" t="s">
        <v>2720</v>
      </c>
      <c r="D105" s="3092" t="s">
        <v>2721</v>
      </c>
      <c r="E105" s="3118">
        <v>0.1</v>
      </c>
      <c r="F105" s="3118">
        <v>15</v>
      </c>
    </row>
    <row r="106" spans="1:6" ht="24">
      <c r="A106" s="3118">
        <v>34</v>
      </c>
      <c r="B106" s="3775"/>
      <c r="C106" s="3092" t="s">
        <v>2722</v>
      </c>
      <c r="D106" s="3092" t="s">
        <v>2723</v>
      </c>
      <c r="E106" s="3118">
        <v>0.1</v>
      </c>
      <c r="F106" s="3118">
        <v>15</v>
      </c>
    </row>
    <row r="107" spans="1:6" ht="24">
      <c r="A107" s="3118">
        <v>35</v>
      </c>
      <c r="B107" s="3771" t="s">
        <v>2724</v>
      </c>
      <c r="C107" s="3118" t="s">
        <v>2725</v>
      </c>
      <c r="D107" s="3092" t="s">
        <v>2726</v>
      </c>
      <c r="E107" s="3118">
        <v>0.15</v>
      </c>
      <c r="F107" s="3118">
        <v>20</v>
      </c>
    </row>
    <row r="108" spans="1:6" ht="13.5">
      <c r="A108" s="3118">
        <v>36</v>
      </c>
      <c r="B108" s="3766"/>
      <c r="C108" s="3118" t="s">
        <v>2727</v>
      </c>
      <c r="D108" s="3092" t="s">
        <v>2728</v>
      </c>
      <c r="E108" s="3118">
        <v>0.15</v>
      </c>
      <c r="F108" s="3118">
        <v>20</v>
      </c>
    </row>
    <row r="109" spans="1:6" ht="13.5">
      <c r="A109" s="3118">
        <v>37</v>
      </c>
      <c r="B109" s="3766"/>
      <c r="C109" s="3118" t="s">
        <v>2729</v>
      </c>
      <c r="D109" s="3092" t="s">
        <v>2730</v>
      </c>
      <c r="E109" s="3118">
        <v>0.15</v>
      </c>
      <c r="F109" s="3118">
        <v>20</v>
      </c>
    </row>
    <row r="110" spans="1:6" ht="13.5">
      <c r="A110" s="3118">
        <v>38</v>
      </c>
      <c r="B110" s="3766"/>
      <c r="C110" s="3118" t="s">
        <v>2731</v>
      </c>
      <c r="D110" s="3092" t="s">
        <v>2732</v>
      </c>
      <c r="E110" s="3118">
        <v>0.1</v>
      </c>
      <c r="F110" s="3118">
        <v>15</v>
      </c>
    </row>
    <row r="111" spans="1:6" ht="24">
      <c r="A111" s="3118">
        <v>39</v>
      </c>
      <c r="B111" s="3766"/>
      <c r="C111" s="3118" t="s">
        <v>2733</v>
      </c>
      <c r="D111" s="3092" t="s">
        <v>2734</v>
      </c>
      <c r="E111" s="3118">
        <v>0.1</v>
      </c>
      <c r="F111" s="3118">
        <v>15</v>
      </c>
    </row>
    <row r="112" spans="1:6" ht="24">
      <c r="A112" s="3118">
        <v>40</v>
      </c>
      <c r="B112" s="3775"/>
      <c r="C112" s="3118" t="s">
        <v>2735</v>
      </c>
      <c r="D112" s="3092" t="s">
        <v>2736</v>
      </c>
      <c r="E112" s="3118">
        <v>0.1</v>
      </c>
      <c r="F112" s="3118">
        <v>15</v>
      </c>
    </row>
    <row r="113" spans="1:6" ht="13.5">
      <c r="A113" s="3118">
        <v>41</v>
      </c>
      <c r="B113" s="3776" t="s">
        <v>2737</v>
      </c>
      <c r="C113" s="3118" t="s">
        <v>2738</v>
      </c>
      <c r="D113" s="3092" t="s">
        <v>2739</v>
      </c>
      <c r="E113" s="3118">
        <v>0.1</v>
      </c>
      <c r="F113" s="3118">
        <v>15</v>
      </c>
    </row>
    <row r="114" spans="1:6" ht="13.5">
      <c r="A114" s="3118">
        <v>42</v>
      </c>
      <c r="B114" s="3776"/>
      <c r="C114" s="3118" t="s">
        <v>2740</v>
      </c>
      <c r="D114" s="3092" t="s">
        <v>2741</v>
      </c>
      <c r="E114" s="3118">
        <v>0.1</v>
      </c>
      <c r="F114" s="3118">
        <v>15</v>
      </c>
    </row>
    <row r="115" spans="1:6" ht="24">
      <c r="A115" s="3118">
        <v>43</v>
      </c>
      <c r="B115" s="3776"/>
      <c r="C115" s="3118" t="s">
        <v>2742</v>
      </c>
      <c r="D115" s="3092" t="s">
        <v>2743</v>
      </c>
      <c r="E115" s="3118">
        <v>0.1</v>
      </c>
      <c r="F115" s="3118">
        <v>15</v>
      </c>
    </row>
    <row r="116" spans="1:6" ht="13.5">
      <c r="A116" s="3118">
        <v>44</v>
      </c>
      <c r="B116" s="3771" t="s">
        <v>2744</v>
      </c>
      <c r="C116" s="3118" t="s">
        <v>2745</v>
      </c>
      <c r="D116" s="3092" t="s">
        <v>2746</v>
      </c>
      <c r="E116" s="3118">
        <v>0.1</v>
      </c>
      <c r="F116" s="3118">
        <v>15</v>
      </c>
    </row>
    <row r="117" spans="1:6" ht="24">
      <c r="A117" s="3118">
        <v>45</v>
      </c>
      <c r="B117" s="3775"/>
      <c r="C117" s="3092" t="s">
        <v>2747</v>
      </c>
      <c r="D117" s="3092" t="s">
        <v>2748</v>
      </c>
      <c r="E117" s="3118">
        <v>0.1</v>
      </c>
      <c r="F117" s="3118">
        <v>15</v>
      </c>
    </row>
    <row r="118" spans="1:6" ht="24">
      <c r="A118" s="3118">
        <v>46</v>
      </c>
      <c r="B118" s="3771" t="s">
        <v>2749</v>
      </c>
      <c r="C118" s="3118" t="s">
        <v>2750</v>
      </c>
      <c r="D118" s="3092" t="s">
        <v>2751</v>
      </c>
      <c r="E118" s="3118">
        <v>0.1</v>
      </c>
      <c r="F118" s="3118">
        <v>15</v>
      </c>
    </row>
    <row r="119" spans="1:6" ht="24">
      <c r="A119" s="3118">
        <v>47</v>
      </c>
      <c r="B119" s="3775"/>
      <c r="C119" s="3118" t="s">
        <v>2752</v>
      </c>
      <c r="D119" s="3092" t="s">
        <v>2753</v>
      </c>
      <c r="E119" s="3118">
        <v>0.1</v>
      </c>
      <c r="F119" s="3118">
        <v>15</v>
      </c>
    </row>
    <row r="120" spans="1:6" ht="13.5">
      <c r="A120" s="3118">
        <v>48</v>
      </c>
      <c r="B120" s="3771" t="s">
        <v>2754</v>
      </c>
      <c r="C120" s="3118" t="s">
        <v>2755</v>
      </c>
      <c r="D120" s="3092" t="s">
        <v>2756</v>
      </c>
      <c r="E120" s="3118">
        <v>0.1</v>
      </c>
      <c r="F120" s="3118">
        <v>15</v>
      </c>
    </row>
    <row r="121" spans="1:6" ht="13.5">
      <c r="A121" s="3118">
        <v>49</v>
      </c>
      <c r="B121" s="3775"/>
      <c r="C121" s="3118" t="s">
        <v>2757</v>
      </c>
      <c r="D121" s="3092" t="s">
        <v>2758</v>
      </c>
      <c r="E121" s="3118">
        <v>0.1</v>
      </c>
      <c r="F121" s="3118">
        <v>15</v>
      </c>
    </row>
    <row r="122" spans="1:6" ht="24">
      <c r="A122" s="3118">
        <v>50</v>
      </c>
      <c r="B122" s="3776" t="s">
        <v>2759</v>
      </c>
      <c r="C122" s="3118" t="s">
        <v>2760</v>
      </c>
      <c r="D122" s="3092" t="s">
        <v>2761</v>
      </c>
      <c r="E122" s="3118">
        <v>0.1</v>
      </c>
      <c r="F122" s="3118">
        <v>15</v>
      </c>
    </row>
    <row r="123" spans="1:6" ht="24">
      <c r="A123" s="3118">
        <v>51</v>
      </c>
      <c r="B123" s="3776"/>
      <c r="C123" s="3118" t="s">
        <v>2762</v>
      </c>
      <c r="D123" s="3092" t="s">
        <v>2763</v>
      </c>
      <c r="E123" s="3118">
        <v>0.1</v>
      </c>
      <c r="F123" s="3118">
        <v>15</v>
      </c>
    </row>
    <row r="124" spans="1:6" ht="24">
      <c r="A124" s="3118">
        <v>52</v>
      </c>
      <c r="B124" s="3776" t="s">
        <v>2764</v>
      </c>
      <c r="C124" s="3118" t="s">
        <v>2765</v>
      </c>
      <c r="D124" s="3092" t="s">
        <v>2766</v>
      </c>
      <c r="E124" s="3118">
        <v>0.1</v>
      </c>
      <c r="F124" s="3118">
        <v>15</v>
      </c>
    </row>
    <row r="125" spans="1:6" ht="24">
      <c r="A125" s="3118">
        <v>53</v>
      </c>
      <c r="B125" s="377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6" t="s">
        <v>2772</v>
      </c>
      <c r="C127" s="3118" t="s">
        <v>2773</v>
      </c>
      <c r="D127" s="3092" t="s">
        <v>2774</v>
      </c>
      <c r="E127" s="3118">
        <v>0.1</v>
      </c>
      <c r="F127" s="3118">
        <v>15</v>
      </c>
    </row>
    <row r="128" spans="1:6" ht="13.5">
      <c r="A128" s="3118">
        <v>56</v>
      </c>
      <c r="B128" s="3776"/>
      <c r="C128" s="3118" t="s">
        <v>2775</v>
      </c>
      <c r="D128" s="3092" t="s">
        <v>2776</v>
      </c>
      <c r="E128" s="3118">
        <v>0.1</v>
      </c>
      <c r="F128" s="3118">
        <v>15</v>
      </c>
    </row>
    <row r="129" spans="1:6" ht="24">
      <c r="A129" s="3118">
        <v>57</v>
      </c>
      <c r="B129" s="3776"/>
      <c r="C129" s="3118" t="s">
        <v>2777</v>
      </c>
      <c r="D129" s="3092" t="s">
        <v>2778</v>
      </c>
      <c r="E129" s="3118">
        <v>0.1</v>
      </c>
      <c r="F129" s="3118">
        <v>15</v>
      </c>
    </row>
    <row r="130" spans="1:6" ht="24">
      <c r="A130" s="3118">
        <v>58</v>
      </c>
      <c r="B130" s="3776" t="s">
        <v>2779</v>
      </c>
      <c r="C130" s="3118" t="s">
        <v>2780</v>
      </c>
      <c r="D130" s="3092" t="s">
        <v>2781</v>
      </c>
      <c r="E130" s="3118">
        <v>0.1</v>
      </c>
      <c r="F130" s="3118">
        <v>15</v>
      </c>
    </row>
    <row r="131" spans="1:6" ht="13.5">
      <c r="A131" s="3118">
        <v>59</v>
      </c>
      <c r="B131" s="3776"/>
      <c r="C131" s="3118" t="s">
        <v>2782</v>
      </c>
      <c r="D131" s="3092" t="s">
        <v>2783</v>
      </c>
      <c r="E131" s="3118">
        <v>0.1</v>
      </c>
      <c r="F131" s="3118">
        <v>15</v>
      </c>
    </row>
    <row r="132" spans="1:6" ht="13.5">
      <c r="A132" s="3118">
        <v>60</v>
      </c>
      <c r="B132" s="3771" t="s">
        <v>2784</v>
      </c>
      <c r="C132" s="3118" t="s">
        <v>2785</v>
      </c>
      <c r="D132" s="3092" t="s">
        <v>2786</v>
      </c>
      <c r="E132" s="3118">
        <v>0.1</v>
      </c>
      <c r="F132" s="3118">
        <v>15</v>
      </c>
    </row>
    <row r="133" spans="1:6" ht="13.5">
      <c r="A133" s="3118">
        <v>61</v>
      </c>
      <c r="B133" s="377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6" t="s">
        <v>2792</v>
      </c>
      <c r="C135" s="3118" t="s">
        <v>2793</v>
      </c>
      <c r="D135" s="3092" t="s">
        <v>2794</v>
      </c>
      <c r="E135" s="3118">
        <v>0.1</v>
      </c>
      <c r="F135" s="3118">
        <v>15</v>
      </c>
    </row>
    <row r="136" spans="1:6" ht="13.5">
      <c r="A136" s="3118">
        <v>64</v>
      </c>
      <c r="B136" s="377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7599</v>
      </c>
      <c r="E5" s="1491"/>
    </row>
    <row r="6" spans="1:5" ht="15.75">
      <c r="A6" s="1491"/>
      <c r="B6" s="3460"/>
      <c r="C6" s="1494" t="s">
        <v>911</v>
      </c>
      <c r="D6" s="850" t="str">
        <f ca="1">NUMBERSTRING(INT(D5*10000),2)&amp;"元整"</f>
        <v>柒仟伍佰玖拾玖万元整</v>
      </c>
      <c r="E6" s="1491"/>
    </row>
    <row r="7" spans="1:5" ht="15.75">
      <c r="A7" s="1491"/>
      <c r="B7" s="3465"/>
      <c r="C7" s="1495" t="s">
        <v>912</v>
      </c>
      <c r="D7" s="851">
        <f ca="1">结果表!H102</f>
        <v>22026</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7599</v>
      </c>
      <c r="E13" s="1491"/>
    </row>
    <row r="14" spans="1:5" ht="15.75">
      <c r="A14" s="1491"/>
      <c r="B14" s="3460"/>
      <c r="C14" s="1494" t="s">
        <v>911</v>
      </c>
      <c r="D14" s="850" t="str">
        <f ca="1">NUMBERSTRING(INT(D13*10000),2)&amp;"元整"</f>
        <v>柒仟伍佰玖拾玖万元整</v>
      </c>
      <c r="E14" s="1491"/>
    </row>
    <row r="15" spans="1:5" ht="15">
      <c r="A15" s="1491"/>
      <c r="B15" s="3465"/>
      <c r="C15" s="1495" t="s">
        <v>921</v>
      </c>
      <c r="D15" s="859">
        <f ca="1">结果表!H108</f>
        <v>22026</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30106</v>
      </c>
      <c r="C2" s="2" t="s">
        <v>106</v>
      </c>
      <c r="D2" s="199"/>
      <c r="E2" s="199"/>
      <c r="F2" s="199"/>
      <c r="G2" s="199"/>
    </row>
    <row r="3" spans="1:7" s="200" customFormat="1" ht="18" customHeight="1" thickBot="1">
      <c r="A3" s="203" t="s">
        <v>58</v>
      </c>
      <c r="B3" s="204">
        <f ca="1">ROUND(B2*10000/'数据-汇总表'!E3,0)</f>
        <v>87262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66</v>
      </c>
      <c r="D10" s="845">
        <f>'数据-汇总表'!E6</f>
        <v>3450.08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v>
      </c>
      <c r="D19" s="849">
        <f>'数据-汇总表'!E3</f>
        <v>3450.08</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1091</v>
      </c>
      <c r="D22" s="235">
        <f ca="1">C26</f>
        <v>5.0000000000000001E-4</v>
      </c>
      <c r="E22" s="236" t="s">
        <v>99</v>
      </c>
      <c r="F22" s="237">
        <f ca="1">'数据-取费表'!B40</f>
        <v>3.4499999999999996E-2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4219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1511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1380</v>
      </c>
      <c r="D34" s="217"/>
      <c r="E34" s="220"/>
      <c r="F34" s="257">
        <f>IF('数据-取费表'!B24=0,1,'数据-取费表'!N16)</f>
        <v>1</v>
      </c>
      <c r="G34" s="219" t="s">
        <v>89</v>
      </c>
    </row>
    <row r="35" spans="1:7" ht="13.5" customHeight="1">
      <c r="A35" s="780" t="s">
        <v>351</v>
      </c>
      <c r="B35" s="215" t="s">
        <v>33</v>
      </c>
      <c r="C35" s="220">
        <f>ROUND(C34*F35,0)</f>
        <v>41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69</v>
      </c>
      <c r="D37" s="217">
        <f>'数据-汇总表'!E3</f>
        <v>3450.08</v>
      </c>
      <c r="E37" s="249">
        <f>'数据-取费表'!B35</f>
        <v>200</v>
      </c>
      <c r="F37" s="259"/>
      <c r="G37" s="261" t="s">
        <v>92</v>
      </c>
    </row>
    <row r="38" spans="1:7" ht="13.5" customHeight="1">
      <c r="A38" s="780" t="s">
        <v>354</v>
      </c>
      <c r="B38" s="215" t="s">
        <v>36</v>
      </c>
      <c r="C38" s="220">
        <f>ROUND(C34*F38,0)</f>
        <v>21</v>
      </c>
      <c r="D38" s="220"/>
      <c r="E38" s="220"/>
      <c r="F38" s="259">
        <f>'数据-取费表'!B36</f>
        <v>1.4999999999999999E-2</v>
      </c>
      <c r="G38" s="219" t="s">
        <v>90</v>
      </c>
    </row>
    <row r="39" spans="1:7" s="214" customFormat="1" ht="13.5" customHeight="1">
      <c r="A39" s="777" t="s">
        <v>338</v>
      </c>
      <c r="B39" s="210" t="s">
        <v>77</v>
      </c>
      <c r="C39" s="232">
        <f>ROUND(C33*F20,0)</f>
        <v>30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40</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v>
      </c>
      <c r="D42" s="238"/>
      <c r="E42" s="238"/>
      <c r="F42" s="239"/>
      <c r="G42" s="3641" t="s">
        <v>94</v>
      </c>
    </row>
    <row r="43" spans="1:7" ht="13.5" customHeight="1">
      <c r="A43" s="780" t="s">
        <v>347</v>
      </c>
      <c r="B43" s="215" t="s">
        <v>426</v>
      </c>
      <c r="C43" s="238">
        <f ca="1">ROUND(IF('数据-取费表'!B22&lt;=1,C39*F22*'数据-取费表'!B21/2,C39*(POWER((1+F22),'数据-取费表'!B21/2)-1)),0)</f>
        <v>1</v>
      </c>
      <c r="D43" s="238"/>
      <c r="E43" s="238"/>
      <c r="F43" s="239"/>
      <c r="G43" s="3642"/>
    </row>
    <row r="44" spans="1:7" ht="13.5" customHeight="1">
      <c r="A44" s="780" t="s">
        <v>348</v>
      </c>
      <c r="B44" s="215" t="s">
        <v>428</v>
      </c>
      <c r="C44" s="238">
        <f ca="1">ROUND(IF('数据-取费表'!B22&lt;=1,C40*F22*'数据-取费表'!B21/2,C40*(POWER((1+F22),'数据-取费表'!B21/2)-1)),4)</f>
        <v>5.0000000000000001E-4</v>
      </c>
      <c r="D44" s="238"/>
      <c r="E44" s="238"/>
      <c r="F44" s="239"/>
      <c r="G44" s="3643"/>
    </row>
    <row r="45" spans="1:7" s="214" customFormat="1" ht="13.5" customHeight="1">
      <c r="A45" s="777" t="s">
        <v>341</v>
      </c>
      <c r="B45" s="244" t="s">
        <v>85</v>
      </c>
      <c r="C45" s="245">
        <f>C46</f>
        <v>308</v>
      </c>
      <c r="D45" s="235">
        <f>C47</f>
        <v>4.0000000000000001E-3</v>
      </c>
      <c r="E45" s="236" t="s">
        <v>102</v>
      </c>
      <c r="F45" s="246"/>
      <c r="G45" s="247" t="s">
        <v>434</v>
      </c>
    </row>
    <row r="46" spans="1:7" s="214" customFormat="1" ht="13.5" customHeight="1">
      <c r="A46" s="780" t="s">
        <v>349</v>
      </c>
      <c r="B46" s="248" t="s">
        <v>427</v>
      </c>
      <c r="C46" s="249">
        <f>ROUND((C33+C39)*F27,0)</f>
        <v>308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2048</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1475</v>
      </c>
      <c r="D51" s="232"/>
      <c r="E51" s="232"/>
      <c r="F51" s="264"/>
      <c r="G51" s="234" t="s">
        <v>37</v>
      </c>
    </row>
    <row r="52" spans="1:7" s="208" customFormat="1" ht="16.5" thickBot="1">
      <c r="A52" s="265" t="s">
        <v>38</v>
      </c>
      <c r="B52" s="266"/>
      <c r="C52" s="267">
        <f ca="1">C31+C51</f>
        <v>30106</v>
      </c>
      <c r="D52" s="266"/>
      <c r="E52" s="266"/>
      <c r="F52" s="266"/>
      <c r="G52" s="268"/>
    </row>
    <row r="55" spans="1:7" ht="15">
      <c r="B55" s="270" t="s">
        <v>39</v>
      </c>
      <c r="C55" s="271"/>
    </row>
    <row r="56" spans="1:7">
      <c r="B56" s="273" t="s">
        <v>40</v>
      </c>
      <c r="C56" s="274">
        <f ca="1">ROUND(C51/C52,3)</f>
        <v>4.9000000000000002E-2</v>
      </c>
    </row>
    <row r="57" spans="1:7">
      <c r="B57" s="273" t="s">
        <v>41</v>
      </c>
      <c r="C57" s="275">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2844</v>
      </c>
      <c r="B1" s="3779"/>
      <c r="C1" s="3779"/>
      <c r="D1" s="3779"/>
      <c r="E1" s="3779"/>
      <c r="F1" s="3779"/>
      <c r="G1" s="3780"/>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7"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8"/>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3186</v>
      </c>
      <c r="B1" s="3781"/>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2" t="s">
        <v>3237</v>
      </c>
      <c r="B1" s="3782"/>
      <c r="C1" s="3782"/>
      <c r="D1" s="3782"/>
      <c r="E1" s="3782"/>
      <c r="F1" s="3783"/>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X49" sqref="X49"/>
    </sheetView>
  </sheetViews>
  <sheetFormatPr defaultRowHeight="13.5"/>
  <cols>
    <col min="1" max="1" width="13.875" customWidth="1"/>
    <col min="11" max="17" width="0" hidden="1" customWidth="1"/>
    <col min="25" max="30" width="0" hidden="1" customWidth="1"/>
  </cols>
  <sheetData>
    <row r="1" spans="1:30">
      <c r="A1" s="3221">
        <f>基准地价修正!G23</f>
        <v>45215</v>
      </c>
      <c r="B1" s="3210" t="s">
        <v>2843</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3371</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3372</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3376</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3375</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3373</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4" t="s">
        <v>2831</v>
      </c>
      <c r="S21" s="3785"/>
      <c r="T21" s="3785"/>
      <c r="U21" s="3785"/>
      <c r="V21" s="3785"/>
      <c r="W21" s="3785"/>
      <c r="X21" s="3165"/>
      <c r="Y21" s="3784" t="s">
        <v>2832</v>
      </c>
      <c r="Z21" s="3785"/>
      <c r="AA21" s="3785"/>
      <c r="AB21" s="3785"/>
      <c r="AC21" s="3785"/>
      <c r="AD21" s="3785"/>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3371</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3372</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3374</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3375</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3373</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45215</v>
      </c>
      <c r="D1" s="1302" t="s">
        <v>603</v>
      </c>
      <c r="E1" s="1297">
        <f>'数据-取费表'!B22</f>
        <v>1.5</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3450.08</v>
      </c>
      <c r="C4" s="854">
        <f>项目基本情况!C18</f>
        <v>0</v>
      </c>
      <c r="D4" s="854">
        <f ca="1">结果表!D118</f>
        <v>6376</v>
      </c>
      <c r="E4" s="854">
        <f ca="1">结果表!E118</f>
        <v>18481</v>
      </c>
      <c r="F4" s="854">
        <f ca="1">结果表!F118</f>
        <v>1223</v>
      </c>
      <c r="G4" s="854">
        <f ca="1">结果表!G118</f>
        <v>3545</v>
      </c>
      <c r="H4" s="854">
        <f ca="1">结果表!H118</f>
        <v>7599</v>
      </c>
      <c r="I4" s="854">
        <f ca="1">结果表!I118</f>
        <v>22026</v>
      </c>
    </row>
    <row r="5" spans="1:9" ht="30" customHeight="1">
      <c r="A5" s="3471" t="s">
        <v>927</v>
      </c>
      <c r="B5" s="3471"/>
      <c r="C5" s="3471"/>
      <c r="D5" s="3471" t="str">
        <f ca="1">结果表!D119</f>
        <v>陆仟叁佰柒拾陆万元整</v>
      </c>
      <c r="E5" s="3471"/>
      <c r="F5" s="3471" t="str">
        <f ca="1">结果表!F119</f>
        <v>壹仟贰佰贰拾叁万元整</v>
      </c>
      <c r="G5" s="3471"/>
      <c r="H5" s="3471" t="str">
        <f ca="1">结果表!H119</f>
        <v>柒仟伍佰玖拾玖万元整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7599</v>
      </c>
      <c r="E8" s="3472"/>
      <c r="F8" s="3472"/>
      <c r="G8" s="3472"/>
      <c r="H8" s="3472"/>
      <c r="I8" s="3472"/>
    </row>
    <row r="9" spans="1:9" ht="15">
      <c r="A9" s="3471" t="s">
        <v>927</v>
      </c>
      <c r="B9" s="3471"/>
      <c r="C9" s="3471"/>
      <c r="D9" s="3471" t="str">
        <f ca="1">结果表!D123</f>
        <v>柒仟伍佰玖拾玖万元整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spans="1:4" ht="30" customHeight="1">
      <c r="A13" s="3481" t="str">
        <f>IF(项目基本情况!B8="抵押","3.抵押双方在办理抵押登记手续时，应使用本公司出具的正式《房地产评估报告》，特提醒报告使用者注意。","——")</f>
        <v>——</v>
      </c>
      <c r="B13" s="3482"/>
      <c r="C13" s="3482"/>
      <c r="D13" s="3482"/>
    </row>
    <row r="14" spans="1:4" ht="15.75" customHeight="1">
      <c r="A14" s="3481" t="str">
        <f>IF(项目基本情况!B8="抵押","4.本次评估估价师所知悉的法定优先受偿款情况说明如下：","——")</f>
        <v>——</v>
      </c>
      <c r="B14" s="3482"/>
      <c r="C14" s="3482"/>
      <c r="D14" s="3482"/>
    </row>
    <row r="15" spans="1:4" ht="42" customHeight="1">
      <c r="A15" s="3481" t="str">
        <f>IF(项目基本情况!B8="抵押","（1）"&amp;CONCATENATE(项目基本情况!L20,项目基本情况!L21,项目基本情况!L22),"——")</f>
        <v>——</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2023-10-17T06:25:17Z</dcterms:modified>
</cp:coreProperties>
</file>