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石景山区香山南路168号院2号楼8-502号住宅用房房地产市场价值评估\测算\"/>
    </mc:Choice>
  </mc:AlternateContent>
  <xr:revisionPtr revIDLastSave="0" documentId="13_ncr:1_{1DD20930-8B8C-40FA-91DC-6A9862C53983}" xr6:coauthVersionLast="47" xr6:coauthVersionMax="47" xr10:uidLastSave="{00000000-0000-0000-0000-000000000000}"/>
  <bookViews>
    <workbookView xWindow="4140" yWindow="75" windowWidth="18195" windowHeight="20925"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03" i="21" l="1"/>
  <c r="J91" i="21"/>
  <c r="H27" i="21"/>
  <c r="G23" i="21" l="1"/>
  <c r="G19" i="21"/>
  <c r="I17" i="21"/>
  <c r="I15" i="21"/>
  <c r="W39" i="81"/>
  <c r="L3" i="81"/>
  <c r="K3" i="81"/>
  <c r="F3" i="81"/>
  <c r="E3" i="81"/>
  <c r="S26" i="81"/>
  <c r="W26" i="81" s="1"/>
  <c r="X26" i="81" s="1"/>
  <c r="Q26" i="81"/>
  <c r="I5" i="21"/>
  <c r="G5" i="21"/>
  <c r="E5" i="21"/>
  <c r="AB26" i="81" l="1"/>
  <c r="T26" i="81"/>
  <c r="K2" i="81"/>
  <c r="W38" i="81"/>
  <c r="L2" i="81"/>
  <c r="J2" i="81"/>
  <c r="F2" i="81"/>
  <c r="E2" i="81"/>
  <c r="AZ25" i="81"/>
  <c r="S25" i="81"/>
  <c r="AB25" i="81" s="1"/>
  <c r="Q25" i="81"/>
  <c r="D104" i="21"/>
  <c r="J33" i="21" s="1"/>
  <c r="W25" i="81" l="1"/>
  <c r="X25" i="81" s="1"/>
  <c r="T25" i="81"/>
  <c r="J19" i="9"/>
  <c r="J20" i="9"/>
  <c r="C6" i="69"/>
  <c r="F27" i="21" l="1"/>
  <c r="D59" i="21"/>
  <c r="E59" i="21" s="1"/>
  <c r="F59" i="21" s="1"/>
  <c r="G59" i="21" s="1"/>
  <c r="H59" i="21" s="1"/>
  <c r="I59" i="21" s="1"/>
  <c r="J59" i="21" s="1"/>
  <c r="K59" i="21" s="1"/>
  <c r="L59" i="21" s="1"/>
  <c r="O76" i="81"/>
  <c r="L4" i="81"/>
  <c r="K4" i="81"/>
  <c r="J4" i="81"/>
  <c r="F4" i="81"/>
  <c r="E4" i="81"/>
  <c r="M20" i="1" l="1"/>
  <c r="M59" i="21"/>
  <c r="N59" i="21" s="1"/>
  <c r="P18" i="9" l="1"/>
  <c r="F6" i="1" l="1"/>
  <c r="F104" i="21"/>
  <c r="C104" i="21"/>
  <c r="E91" i="21"/>
  <c r="C91" i="21"/>
  <c r="J27" i="21" s="1"/>
  <c r="G104" i="21" l="1"/>
  <c r="H104" i="21" s="1"/>
  <c r="I104" i="21" s="1"/>
  <c r="J104" i="21" s="1"/>
  <c r="F33" i="21"/>
  <c r="H33" i="21" s="1"/>
  <c r="I19" i="21"/>
  <c r="I128" i="21"/>
  <c r="E129" i="21" s="1"/>
  <c r="D129" i="21" s="1"/>
  <c r="C129" i="21" s="1"/>
  <c r="F37" i="21" s="1"/>
  <c r="J37" i="21" s="1"/>
  <c r="O59" i="21"/>
  <c r="P59" i="21" s="1"/>
  <c r="Q59" i="21" s="1"/>
  <c r="R59" i="21" s="1"/>
  <c r="S59" i="21" s="1"/>
  <c r="D127" i="21"/>
  <c r="B27" i="9"/>
  <c r="H37" i="21" l="1"/>
  <c r="E127" i="21"/>
  <c r="F91"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B73" i="72" s="1"/>
  <c r="C4" i="4"/>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B58" i="72" s="1"/>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B16" i="72" s="1"/>
  <c r="A20" i="51"/>
  <c r="B15" i="72" s="1"/>
  <c r="A15" i="51"/>
  <c r="B12" i="72" s="1"/>
  <c r="A13" i="51"/>
  <c r="B11" i="72" s="1"/>
  <c r="A3" i="51"/>
  <c r="B49" i="48"/>
  <c r="B5" i="72" s="1"/>
  <c r="B40" i="48"/>
  <c r="B3" i="72" s="1"/>
  <c r="B74" i="72"/>
  <c r="B69" i="72"/>
  <c r="B68" i="72"/>
  <c r="B63" i="72"/>
  <c r="B62" i="72"/>
  <c r="B50" i="72"/>
  <c r="B44" i="72"/>
  <c r="B42" i="72"/>
  <c r="B10" i="72"/>
  <c r="B8" i="72"/>
  <c r="B11" i="76"/>
  <c r="B10" i="76"/>
  <c r="B8" i="76"/>
  <c r="E8" i="76"/>
  <c r="F37" i="67"/>
  <c r="F26" i="67"/>
  <c r="AO7" i="1"/>
  <c r="M8" i="67"/>
  <c r="F36" i="67"/>
  <c r="E13" i="76"/>
  <c r="F16" i="67"/>
  <c r="AO10" i="1"/>
  <c r="AO11" i="1"/>
  <c r="D2" i="21"/>
  <c r="E9" i="76"/>
  <c r="C76" i="67"/>
  <c r="F8" i="67"/>
  <c r="AO8" i="1"/>
  <c r="M9" i="67"/>
  <c r="J15" i="67"/>
  <c r="M24" i="67"/>
  <c r="D2" i="37"/>
  <c r="B13" i="76"/>
  <c r="D2" i="36"/>
  <c r="D35" i="9"/>
  <c r="AO13" i="1"/>
  <c r="E2" i="68"/>
  <c r="F20" i="31"/>
  <c r="M23" i="67"/>
  <c r="L47" i="67"/>
  <c r="F9" i="67"/>
  <c r="F6" i="67"/>
  <c r="E12" i="76"/>
  <c r="B12" i="76"/>
  <c r="B9" i="76"/>
  <c r="M26" i="67"/>
  <c r="F13" i="67"/>
  <c r="F40" i="67"/>
  <c r="F42" i="67"/>
  <c r="E10" i="76"/>
  <c r="D2" i="35"/>
  <c r="M6" i="67"/>
  <c r="M28" i="67"/>
  <c r="AO12" i="1"/>
  <c r="E11" i="76"/>
  <c r="D2" i="34"/>
  <c r="M22" i="67"/>
  <c r="E2" i="69"/>
  <c r="F38" i="67"/>
  <c r="B7" i="76"/>
  <c r="D34" i="9"/>
  <c r="AO9" i="1"/>
  <c r="E7" i="76"/>
  <c r="M27" i="67"/>
  <c r="D2" i="33"/>
  <c r="K4" i="4" l="1"/>
  <c r="B46" i="48" s="1"/>
  <c r="B4" i="72" s="1"/>
  <c r="G405" i="3"/>
  <c r="J40" i="21"/>
  <c r="AC40" i="21" s="1"/>
  <c r="S8" i="35"/>
  <c r="U27" i="35"/>
  <c r="G523" i="3"/>
  <c r="H109" i="9"/>
  <c r="D16" i="53" s="1"/>
  <c r="D17" i="53" s="1"/>
  <c r="B36" i="72" s="1"/>
  <c r="F40" i="21"/>
  <c r="AA40" i="21" s="1"/>
  <c r="S13" i="79"/>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BA199" i="3"/>
  <c r="AZ199" i="3" s="1"/>
  <c r="BA210" i="3"/>
  <c r="BA211" i="3"/>
  <c r="BL215" i="3"/>
  <c r="G216" i="3"/>
  <c r="BL224" i="3"/>
  <c r="BL227" i="3"/>
  <c r="G229" i="3"/>
  <c r="BA230" i="3"/>
  <c r="AZ230" i="3" s="1"/>
  <c r="BA231" i="3"/>
  <c r="BL236" i="3"/>
  <c r="BA242" i="3"/>
  <c r="BA243" i="3"/>
  <c r="AZ243" i="3" s="1"/>
  <c r="BL247" i="3"/>
  <c r="G248" i="3"/>
  <c r="G251" i="3"/>
  <c r="BL256" i="3"/>
  <c r="BL259" i="3"/>
  <c r="G261" i="3"/>
  <c r="BA262" i="3"/>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D7" i="73"/>
  <c r="L48" i="67"/>
  <c r="F6" i="73"/>
  <c r="S40" i="21" l="1"/>
  <c r="AZ271" i="3"/>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s="1"/>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J15" i="15"/>
  <c r="M29" i="15"/>
  <c r="F41" i="15"/>
  <c r="F5" i="73"/>
  <c r="M6" i="15"/>
  <c r="C36" i="69"/>
  <c r="F42" i="15"/>
  <c r="D6" i="73"/>
  <c r="M26" i="15"/>
  <c r="M22" i="15"/>
  <c r="F40" i="15"/>
  <c r="M28" i="15"/>
  <c r="D3" i="73"/>
  <c r="F3" i="73"/>
  <c r="C76" i="15"/>
  <c r="F26" i="15"/>
  <c r="F4" i="73"/>
  <c r="D5" i="73"/>
  <c r="M27" i="15"/>
  <c r="M8" i="15"/>
  <c r="L47" i="15"/>
  <c r="F6" i="15"/>
  <c r="L48" i="15"/>
  <c r="F36" i="15"/>
  <c r="M23" i="15"/>
  <c r="F7" i="15"/>
  <c r="F43" i="67"/>
  <c r="F43" i="15"/>
  <c r="F35" i="15"/>
  <c r="C14" i="15"/>
  <c r="F8" i="15"/>
  <c r="M9" i="15"/>
  <c r="F16" i="15"/>
  <c r="D4" i="73"/>
  <c r="M21" i="15"/>
  <c r="F9" i="15"/>
  <c r="M24" i="15"/>
  <c r="F7" i="73"/>
  <c r="F38" i="15"/>
  <c r="M29" i="67"/>
  <c r="F13" i="15"/>
  <c r="F37" i="15"/>
  <c r="C30" i="11" l="1"/>
  <c r="Q16" i="1"/>
  <c r="F27" i="68" s="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7" i="15"/>
  <c r="C16" i="67"/>
  <c r="C16" i="15"/>
  <c r="F27" i="69"/>
  <c r="D9" i="69"/>
  <c r="G1" i="73"/>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14" i="67"/>
  <c r="AE6" i="1"/>
  <c r="D10" i="69"/>
  <c r="C34" i="69"/>
  <c r="C17" i="67"/>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F35" i="67"/>
  <c r="M21" i="67"/>
  <c r="D19" i="9"/>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L51" i="15"/>
  <c r="D20" i="9"/>
  <c r="B3" i="69"/>
  <c r="D103"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8" i="72" l="1"/>
  <c r="E4" i="52"/>
  <c r="D9" i="52"/>
  <c r="D123" i="9"/>
  <c r="B49" i="72"/>
  <c r="D5" i="52"/>
  <c r="D119" i="9"/>
  <c r="E81" i="9"/>
  <c r="E80" i="9"/>
  <c r="C80" i="9"/>
  <c r="F119" i="9"/>
  <c r="F5" i="52"/>
  <c r="B53" i="72"/>
  <c r="C86" i="9"/>
  <c r="C93" i="9"/>
  <c r="B32" i="72"/>
  <c r="D14" i="53"/>
  <c r="D54" i="9"/>
  <c r="C68" i="9"/>
  <c r="D13" i="53"/>
  <c r="B30" i="72"/>
  <c r="M54" i="9"/>
  <c r="C97" i="9"/>
  <c r="D58" i="9"/>
  <c r="D56" i="9"/>
  <c r="B31" i="72"/>
  <c r="D15" i="53"/>
  <c r="C5" i="74"/>
  <c r="D122" i="9"/>
  <c r="D8" i="52"/>
  <c r="M48" i="9"/>
  <c r="C73" i="9"/>
  <c r="C78" i="9"/>
  <c r="H107" i="9"/>
  <c r="H108" i="9"/>
  <c r="C6" i="74"/>
  <c r="C72" i="9"/>
  <c r="C79" i="9"/>
  <c r="C81" i="9"/>
  <c r="B22" i="72"/>
  <c r="D6" i="53"/>
  <c r="N60" i="9"/>
  <c r="N59" i="9"/>
  <c r="N61" i="9"/>
  <c r="B51" i="72"/>
  <c r="F4" i="52"/>
  <c r="C64" i="9"/>
  <c r="C63" i="9"/>
  <c r="C67" i="9"/>
  <c r="D59" i="9"/>
  <c r="M55" i="9"/>
  <c r="H102" i="9"/>
  <c r="D7" i="53"/>
  <c r="B21" i="72"/>
  <c r="H4" i="52"/>
  <c r="C104" i="9"/>
  <c r="D5" i="53"/>
  <c r="B20" i="72"/>
  <c r="F118" i="9"/>
  <c r="G118" i="9"/>
  <c r="G4" i="52"/>
  <c r="B52" i="72"/>
  <c r="N58" i="9"/>
  <c r="D55" i="9"/>
  <c r="M53" i="9"/>
  <c r="N57" i="9"/>
  <c r="P57" i="9"/>
  <c r="C105" i="9"/>
  <c r="I4" i="52"/>
  <c r="D53" i="9"/>
  <c r="D52" i="9"/>
  <c r="E118" i="9"/>
  <c r="D118" i="9"/>
  <c r="D4" i="52"/>
  <c r="B47" i="72"/>
  <c r="H119" i="9"/>
  <c r="H5" i="5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11" authorId="0" shapeId="0" xr:uid="{00000000-0006-0000-2400-000001000000}">
      <text>
        <r>
          <rPr>
            <b/>
            <sz val="9"/>
            <rFont val="宋体"/>
            <family val="3"/>
            <charset val="134"/>
            <scheme val="minor"/>
          </rPr>
          <t>填写交易证明的类型，分为商品房合同、预售契约、买卖契约、认购书。</t>
        </r>
      </text>
    </comment>
    <comment ref="AX11" authorId="0" shapeId="0" xr:uid="{00000000-0006-0000-2400-000002000000}">
      <text>
        <r>
          <rPr>
            <b/>
            <sz val="9"/>
            <rFont val="宋体"/>
            <family val="3"/>
            <charset val="134"/>
            <scheme val="minor"/>
          </rPr>
          <t>填写新版合同编号前的大写汉语拼音字母</t>
        </r>
        <r>
          <rPr>
            <b/>
            <sz val="9"/>
            <rFont val="宋体"/>
            <family val="1"/>
            <scheme val="minor"/>
          </rPr>
          <t>N</t>
        </r>
        <r>
          <rPr>
            <b/>
            <sz val="9"/>
            <rFont val="宋体"/>
            <family val="3"/>
            <charset val="134"/>
            <scheme val="minor"/>
          </rPr>
          <t xml:space="preserve">：内销
</t>
        </r>
        <r>
          <rPr>
            <b/>
            <sz val="9"/>
            <rFont val="宋体"/>
            <family val="1"/>
            <scheme val="minor"/>
          </rPr>
          <t>W</t>
        </r>
        <r>
          <rPr>
            <b/>
            <sz val="9"/>
            <rFont val="宋体"/>
            <family val="3"/>
            <charset val="134"/>
            <scheme val="minor"/>
          </rPr>
          <t xml:space="preserve">：外销
</t>
        </r>
        <r>
          <rPr>
            <b/>
            <sz val="9"/>
            <rFont val="宋体"/>
            <family val="1"/>
            <scheme val="minor"/>
          </rPr>
          <t>J</t>
        </r>
        <r>
          <rPr>
            <b/>
            <sz val="9"/>
            <rFont val="宋体"/>
            <family val="3"/>
            <charset val="134"/>
            <scheme val="minor"/>
          </rPr>
          <t>：经济适用房</t>
        </r>
      </text>
    </comment>
    <comment ref="BF11" authorId="0" shapeId="0" xr:uid="{00000000-0006-0000-2400-000003000000}">
      <text>
        <r>
          <rPr>
            <b/>
            <sz val="9"/>
            <rFont val="宋体"/>
            <family val="3"/>
            <charset val="134"/>
            <scheme val="minor"/>
          </rPr>
          <t>填写数值型数据，保留小数点后一位。</t>
        </r>
      </text>
    </comment>
    <comment ref="BG11" authorId="0" shapeId="0" xr:uid="{00000000-0006-0000-2400-000004000000}">
      <text>
        <r>
          <rPr>
            <b/>
            <sz val="9"/>
            <rFont val="宋体"/>
            <family val="3"/>
            <charset val="134"/>
            <scheme val="minor"/>
          </rPr>
          <t>此项填写合同日期，无合同日期填写预售登记日期，均无则在备注中注明</t>
        </r>
      </text>
    </comment>
    <comment ref="BH11" authorId="0" shapeId="0" xr:uid="{00000000-0006-0000-2400-000005000000}">
      <text>
        <r>
          <rPr>
            <b/>
            <sz val="9"/>
            <rFont val="宋体"/>
            <family val="3"/>
            <charset val="134"/>
            <scheme val="minor"/>
          </rPr>
          <t>在补充过程中发现合同遗漏的项目，不能正常补充的需注明。</t>
        </r>
      </text>
    </comment>
    <comment ref="BL11" authorId="1" shapeId="0" xr:uid="{00000000-0006-0000-2400-000006000000}">
      <text>
        <r>
          <rPr>
            <b/>
            <sz val="9"/>
            <rFont val="宋体"/>
            <family val="3"/>
            <charset val="134"/>
            <scheme val="minor"/>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<sst xmlns="http://schemas.openxmlformats.org/spreadsheetml/2006/main" count="8869" uniqueCount="3948">
  <si>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</si>
  <si>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</si>
  <si>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</si>
  <si>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</si>
  <si>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</si>
  <si>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</si>
  <si>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</si>
  <si>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</si>
  <si>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</si>
  <si>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</si>
  <si>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</si>
  <si>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</si>
  <si>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</si>
  <si>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</si>
  <si>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</si>
  <si>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</si>
  <si>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</si>
  <si>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</si>
  <si>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</si>
  <si>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</si>
  <si>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</si>
  <si>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</si>
  <si>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</si>
  <si>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</si>
  <si>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</si>
  <si>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</si>
  <si>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</si>
  <si>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</si>
  <si>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</si>
  <si>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</si>
  <si>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</si>
  <si>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</si>
  <si>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</si>
  <si>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</si>
  <si>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</si>
  <si>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</si>
  <si>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</si>
  <si>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</si>
  <si>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</si>
  <si>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</si>
  <si>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</si>
  <si>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</si>
  <si>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</si>
  <si>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</si>
  <si>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</si>
  <si>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</si>
  <si>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</si>
  <si>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</si>
  <si>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</si>
  <si>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</si>
  <si>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</si>
  <si>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</si>
  <si>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</si>
  <si>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</si>
  <si>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</si>
  <si>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</si>
  <si>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</si>
  <si>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</si>
  <si>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</si>
  <si>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</si>
  <si>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</si>
  <si>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</si>
  <si>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</si>
  <si>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</si>
  <si>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</si>
  <si>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</si>
  <si>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</si>
  <si>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</si>
  <si>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</si>
  <si>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</si>
  <si>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</si>
  <si>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</si>
  <si>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</si>
  <si>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</si>
  <si>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</si>
  <si>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</si>
  <si>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</si>
  <si>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</si>
  <si>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</si>
  <si>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</si>
  <si>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</si>
  <si>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</si>
  <si>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</si>
  <si>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</si>
  <si>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</si>
  <si>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</si>
  <si>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</si>
  <si>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</si>
  <si>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</si>
  <si>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</si>
  <si>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</si>
  <si>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</si>
  <si>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</si>
  <si>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</si>
  <si>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</si>
  <si>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</si>
  <si>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</si>
  <si>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</si>
  <si>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</si>
  <si>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</si>
  <si>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</si>
  <si>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</si>
  <si>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</si>
  <si>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</si>
  <si>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</si>
  <si>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</si>
  <si>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</si>
  <si>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</si>
  <si>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</si>
  <si>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</si>
  <si>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</si>
  <si>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</si>
  <si>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</si>
  <si>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</si>
  <si>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</si>
  <si>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</si>
  <si>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</si>
  <si>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</si>
  <si>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</si>
  <si>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</si>
  <si>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</si>
  <si>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</si>
  <si>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</si>
  <si>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</si>
  <si>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</si>
  <si>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</si>
  <si>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</si>
  <si>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</si>
  <si>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</si>
  <si>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</si>
  <si>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</si>
  <si>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</si>
  <si>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</si>
  <si>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</si>
  <si>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</si>
  <si>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</si>
  <si>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</si>
  <si>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</si>
  <si>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</si>
  <si>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</si>
  <si>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</si>
  <si>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</si>
  <si>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</si>
  <si>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</si>
  <si>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</si>
  <si>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</si>
  <si>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</si>
  <si>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</si>
  <si>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</si>
  <si>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</si>
  <si>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</si>
  <si>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</si>
  <si>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</si>
  <si>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</si>
  <si>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</si>
  <si>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</si>
  <si>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</si>
  <si>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</si>
  <si>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</si>
  <si>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</si>
  <si>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</si>
  <si>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</si>
  <si>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</si>
  <si>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</si>
  <si>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</si>
  <si>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</si>
  <si>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</si>
  <si>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</si>
  <si>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</si>
  <si>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</si>
  <si>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</si>
  <si>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</si>
  <si>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</si>
  <si>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</si>
  <si>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</si>
  <si>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</si>
  <si>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</si>
  <si>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</si>
  <si>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</si>
  <si>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</si>
  <si>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</si>
  <si>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</si>
  <si>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</si>
  <si>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</si>
  <si>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</si>
  <si>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</si>
  <si>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</si>
  <si>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</si>
  <si>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</si>
  <si>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</si>
  <si>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</si>
  <si>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</si>
  <si>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</si>
  <si>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</si>
  <si>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</si>
  <si>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</si>
  <si>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</si>
  <si>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</si>
  <si>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</si>
  <si>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</si>
  <si>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</si>
  <si>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</si>
  <si>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</si>
  <si>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</si>
  <si>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</si>
  <si>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</si>
  <si>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</si>
  <si>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</si>
  <si>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</si>
  <si>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</si>
  <si>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</si>
  <si>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</si>
  <si>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</si>
  <si>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</si>
  <si>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</si>
  <si>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</si>
  <si>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</si>
  <si>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</si>
  <si>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</si>
  <si>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</si>
  <si>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</si>
  <si>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</si>
  <si>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</si>
  <si>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</si>
  <si>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</si>
  <si>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</si>
  <si>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</si>
  <si>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</si>
  <si>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</si>
  <si>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</si>
  <si>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</si>
  <si>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</si>
  <si>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</si>
  <si>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</si>
  <si>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</si>
  <si>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</si>
  <si>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</si>
  <si>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</si>
  <si>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</si>
  <si>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</si>
  <si>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</si>
  <si>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</si>
  <si>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</si>
  <si>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</si>
  <si>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</si>
  <si>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</si>
  <si>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</si>
  <si>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</si>
  <si>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</si>
  <si>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</si>
  <si>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</si>
  <si>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</si>
  <si>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</si>
  <si>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</si>
  <si>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</si>
  <si>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</si>
  <si>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</si>
  <si>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</si>
  <si>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</si>
  <si>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</si>
  <si>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</si>
  <si>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</si>
  <si>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</si>
  <si>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</si>
  <si>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</si>
  <si>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</si>
  <si>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</si>
  <si>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</si>
  <si>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</si>
  <si>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</si>
  <si>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</si>
  <si>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</si>
  <si>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</si>
  <si>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</si>
  <si>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</si>
  <si>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</si>
  <si>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</si>
  <si>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</si>
  <si>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</si>
  <si>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</si>
  <si>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</si>
  <si>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</si>
  <si>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</si>
  <si>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</si>
  <si>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</si>
  <si>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</si>
  <si>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</si>
  <si>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</si>
  <si>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</si>
  <si>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</si>
  <si>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</si>
  <si>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</si>
  <si>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</si>
  <si>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</si>
  <si>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</si>
  <si>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</si>
  <si>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</si>
  <si>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</si>
  <si>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</si>
  <si>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</si>
  <si>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</si>
  <si>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</si>
  <si>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</si>
  <si>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</si>
  <si>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</si>
  <si>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</si>
  <si>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</si>
  <si>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</si>
  <si>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</si>
  <si>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</si>
  <si>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</si>
  <si>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</si>
  <si>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</si>
  <si>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</si>
  <si>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</si>
  <si>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</si>
  <si>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</si>
  <si>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</si>
  <si>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</si>
  <si>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</si>
  <si>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</si>
  <si>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</si>
  <si>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</si>
  <si>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</si>
  <si>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</si>
  <si>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</si>
  <si>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</si>
  <si>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</si>
  <si>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</si>
  <si>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</si>
  <si>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</si>
  <si>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</si>
  <si>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</si>
  <si>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</si>
  <si>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</si>
  <si>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</si>
  <si>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</si>
  <si>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</si>
  <si>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</si>
  <si>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</si>
  <si>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</si>
  <si>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</si>
  <si>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</si>
  <si>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</si>
  <si>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</si>
  <si>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</si>
  <si>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</si>
  <si>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</si>
  <si>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</si>
  <si>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</si>
  <si>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</si>
  <si>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</si>
  <si>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</si>
  <si>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</si>
  <si>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</si>
  <si>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</si>
  <si>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</si>
  <si>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</si>
  <si>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</si>
  <si>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</si>
  <si>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</si>
  <si>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</si>
  <si>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</si>
  <si>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</si>
  <si>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</si>
  <si>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</si>
  <si>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</si>
  <si>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</si>
  <si>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</si>
  <si>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</si>
  <si>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</si>
  <si>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</si>
  <si>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</si>
  <si>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</si>
  <si>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</si>
  <si>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</si>
  <si>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</si>
  <si>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</si>
  <si>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</si>
  <si>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</si>
  <si>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</si>
  <si>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</si>
  <si>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</si>
  <si>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</si>
  <si>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</si>
  <si>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</si>
  <si>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</si>
  <si>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</si>
  <si>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</si>
  <si>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</si>
  <si>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</si>
  <si>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</si>
  <si>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</si>
  <si>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</si>
  <si>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</si>
  <si>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</si>
  <si>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</si>
  <si>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</si>
  <si>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</si>
  <si>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</si>
  <si>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</si>
  <si>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</si>
  <si>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</si>
  <si>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</si>
  <si>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</si>
  <si>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</si>
  <si>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</si>
  <si>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</si>
  <si>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</si>
  <si>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</si>
  <si>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</si>
  <si>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</si>
  <si>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</si>
  <si>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</si>
  <si>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</si>
  <si>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</si>
  <si>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</si>
  <si>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</si>
  <si>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</si>
  <si>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</si>
  <si>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</si>
  <si>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</si>
  <si>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</si>
  <si>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</si>
  <si>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</si>
  <si>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</si>
  <si>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</si>
  <si>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</si>
  <si>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</si>
  <si>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</si>
  <si>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</si>
  <si>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</si>
  <si>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</si>
  <si>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</si>
  <si>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</si>
  <si>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</si>
  <si>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</si>
  <si>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</si>
  <si>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</si>
  <si>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</si>
  <si>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</si>
  <si>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</si>
  <si>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</si>
  <si>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</si>
  <si>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</si>
  <si>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</si>
  <si>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</si>
  <si>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</si>
  <si>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</si>
  <si>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</si>
  <si>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</si>
  <si>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</si>
  <si>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</si>
  <si>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</si>
  <si>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</si>
  <si>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</si>
  <si>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</si>
  <si>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</si>
  <si>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</si>
  <si>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</si>
  <si>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</si>
  <si>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</si>
  <si>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</si>
  <si>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</si>
  <si>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</si>
  <si>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</si>
  <si>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</si>
  <si>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</si>
  <si>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</si>
  <si>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</si>
  <si>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</si>
  <si>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</si>
  <si>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</si>
  <si>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</si>
  <si>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</si>
  <si>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</si>
  <si>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</si>
  <si>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</si>
  <si>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</si>
  <si>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</si>
  <si>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</si>
  <si>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</si>
  <si>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</si>
  <si>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</si>
  <si>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</si>
  <si>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</si>
  <si>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</si>
  <si>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</si>
  <si>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</si>
  <si>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</si>
  <si>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</si>
  <si>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</si>
  <si>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</si>
  <si>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</si>
  <si>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</si>
  <si>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</si>
  <si>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</si>
  <si>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</si>
  <si>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</si>
  <si>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</si>
  <si>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</si>
  <si>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</si>
  <si>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</si>
  <si>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</si>
  <si>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</si>
  <si>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</si>
  <si>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</si>
  <si>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</si>
  <si>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</si>
  <si>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</si>
  <si>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</si>
  <si>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</si>
  <si>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</si>
  <si>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</si>
  <si>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</si>
  <si>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</si>
  <si>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</si>
  <si>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</si>
  <si>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</si>
  <si>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</si>
  <si>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</si>
  <si>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</si>
  <si>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</si>
  <si>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</si>
  <si>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</si>
  <si>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</si>
  <si>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</si>
  <si>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</si>
  <si>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</si>
  <si>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</si>
  <si>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</si>
  <si>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</si>
  <si>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</si>
  <si>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</si>
  <si>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</si>
  <si>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</si>
  <si>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</si>
  <si>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</si>
  <si>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</si>
  <si>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</si>
  <si>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</si>
  <si>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</si>
  <si>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</si>
  <si>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</si>
  <si>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</si>
  <si>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</si>
  <si>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</si>
  <si>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</si>
  <si>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</si>
  <si>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</si>
  <si>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</si>
  <si>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</si>
  <si>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</si>
  <si>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</si>
  <si>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</si>
  <si>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</si>
  <si>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</si>
  <si>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</si>
  <si>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</si>
  <si>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</si>
  <si>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</si>
  <si>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</si>
  <si>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</si>
  <si>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</si>
  <si>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</si>
  <si>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</si>
  <si>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</si>
  <si>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</si>
  <si>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</si>
  <si>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</si>
  <si>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</si>
  <si>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</si>
  <si>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</si>
  <si>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</si>
  <si>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</si>
  <si>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</si>
  <si>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</si>
  <si>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</si>
  <si>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</si>
  <si>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</si>
  <si>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</si>
  <si>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</si>
  <si>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</si>
  <si>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</si>
  <si>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</si>
  <si>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</si>
  <si>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</si>
  <si>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</si>
  <si>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</si>
  <si>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</si>
  <si>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</si>
  <si>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</si>
  <si>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</si>
  <si>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</si>
  <si>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</si>
  <si>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</si>
  <si>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</si>
  <si>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</si>
  <si>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</si>
  <si>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</si>
  <si>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</si>
  <si>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</si>
  <si>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</si>
  <si>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</si>
  <si>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</si>
  <si>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</si>
  <si>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</si>
  <si>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</si>
  <si>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</si>
  <si>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</si>
  <si>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</si>
  <si>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</si>
  <si>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</si>
  <si>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</si>
  <si>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</si>
  <si>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</si>
  <si>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</si>
  <si>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</si>
  <si>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</si>
  <si>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</si>
  <si>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</si>
  <si>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</si>
  <si>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</si>
  <si>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</si>
  <si>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</si>
  <si>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</si>
  <si>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</si>
  <si>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</si>
  <si>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</si>
  <si>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</si>
  <si>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</si>
  <si>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</si>
  <si>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</si>
  <si>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</si>
  <si>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</si>
  <si>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</si>
  <si>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</si>
  <si>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</si>
  <si>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</si>
  <si>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</si>
  <si>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</si>
  <si>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</si>
  <si>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</si>
  <si>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</si>
  <si>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</si>
  <si>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</si>
  <si>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</si>
  <si>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</si>
  <si>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</si>
  <si>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</si>
  <si>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</si>
  <si>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</si>
  <si>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</si>
  <si>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</si>
  <si>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</si>
  <si>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</si>
  <si>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</si>
  <si>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</si>
  <si>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</si>
  <si>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</si>
  <si>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</si>
  <si>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</si>
  <si>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</si>
  <si>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</si>
  <si>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</si>
  <si>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</si>
  <si>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</si>
  <si>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</si>
  <si>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</si>
  <si>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</si>
  <si>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</si>
  <si>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</si>
  <si>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</si>
  <si>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</si>
  <si>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</si>
  <si>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</si>
  <si>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</si>
  <si>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</si>
  <si>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</si>
  <si>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</si>
  <si>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</si>
  <si>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</si>
  <si>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</si>
  <si>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</si>
  <si>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</si>
  <si>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</si>
  <si>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</si>
  <si>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</si>
  <si>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</si>
  <si>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</si>
  <si>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</si>
  <si>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</si>
  <si>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</si>
  <si>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</si>
  <si>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</si>
  <si>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</si>
  <si>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</si>
  <si>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</si>
  <si>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</si>
  <si>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</si>
  <si>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</si>
  <si>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</si>
  <si>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</si>
  <si>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</si>
  <si>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</si>
  <si>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</si>
  <si>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</si>
  <si>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</si>
  <si>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</si>
  <si>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</si>
  <si>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</si>
  <si>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</si>
  <si>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</si>
  <si>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</si>
  <si>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</si>
  <si>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</si>
  <si>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</si>
  <si>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</si>
  <si>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</si>
  <si>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</si>
  <si>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</si>
  <si>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</si>
  <si>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</si>
  <si>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</si>
  <si>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</si>
  <si>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</si>
  <si>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</si>
  <si>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</si>
  <si>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</si>
  <si>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</si>
  <si>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</si>
  <si>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</si>
  <si>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</si>
  <si>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</si>
  <si>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</si>
  <si>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</si>
  <si>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</si>
  <si>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</si>
  <si>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</si>
  <si>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</si>
  <si>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</si>
  <si>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</si>
  <si>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</si>
  <si>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</si>
  <si>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</si>
  <si>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</si>
  <si>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</si>
  <si>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</si>
  <si>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</si>
  <si>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</si>
  <si>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</si>
  <si>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</si>
  <si>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</si>
  <si>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</si>
  <si>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</si>
  <si>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</si>
  <si>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</si>
  <si>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</si>
  <si>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</si>
  <si>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</si>
  <si>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</si>
  <si>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</si>
  <si>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</si>
  <si>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</si>
  <si>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</si>
  <si>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</si>
  <si>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</si>
  <si>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</si>
  <si>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</si>
  <si>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</si>
  <si>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</si>
  <si>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</si>
  <si>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</si>
  <si>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</si>
  <si>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</si>
  <si>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</si>
  <si>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</si>
  <si>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</si>
  <si>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</si>
  <si>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</si>
  <si>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</si>
  <si>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</si>
  <si>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</si>
  <si>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</si>
  <si>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</si>
  <si>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</si>
  <si>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</si>
  <si>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</si>
  <si>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</si>
  <si>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</si>
  <si>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</si>
  <si>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</si>
  <si>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</si>
  <si>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</si>
  <si>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</si>
  <si>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</si>
  <si>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</si>
  <si>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</si>
  <si>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</si>
  <si>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</si>
  <si>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</si>
  <si>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</si>
  <si>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</si>
  <si>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</si>
  <si>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</si>
  <si>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</si>
  <si>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</si>
  <si>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</si>
  <si>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</si>
  <si>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</si>
  <si>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</si>
  <si>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</si>
  <si>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</si>
  <si>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</si>
  <si>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</si>
  <si>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</si>
  <si>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</si>
  <si>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</si>
  <si>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</si>
  <si>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</si>
  <si>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</si>
  <si>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</si>
  <si>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</si>
  <si>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</si>
  <si>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</si>
  <si>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</si>
  <si>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</si>
  <si>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</si>
  <si>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</si>
  <si>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</si>
  <si>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</si>
  <si>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</si>
  <si>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</si>
  <si>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</si>
  <si>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</si>
  <si>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</si>
  <si>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</si>
  <si>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</si>
  <si>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</si>
  <si>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</si>
  <si>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</si>
  <si>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</si>
  <si>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</si>
  <si>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</si>
  <si>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</si>
  <si>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</si>
  <si>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</si>
  <si>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</si>
  <si>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</si>
  <si>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</si>
  <si>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</si>
  <si>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</si>
  <si>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</si>
  <si>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</si>
  <si>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</si>
  <si>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</si>
  <si>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</si>
  <si>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</si>
  <si>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</si>
  <si>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</si>
  <si>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</si>
  <si>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</si>
  <si>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</si>
  <si>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</si>
  <si>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</si>
  <si>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</si>
  <si>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</si>
  <si>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</si>
  <si>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</si>
  <si>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</si>
  <si>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</si>
  <si>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</si>
  <si>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</si>
  <si>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</si>
  <si>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</si>
  <si>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</si>
  <si>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</si>
  <si>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</si>
  <si>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</si>
  <si>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</si>
  <si>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</si>
  <si>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</si>
  <si>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</si>
  <si>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</si>
  <si>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</si>
  <si>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</si>
  <si>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</si>
  <si>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</si>
  <si>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</si>
  <si>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</si>
  <si>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</si>
  <si>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</si>
  <si>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</si>
  <si>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</si>
  <si>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</si>
  <si>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</si>
  <si>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</si>
  <si>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</si>
  <si>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</si>
  <si>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</si>
  <si>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</si>
  <si>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</si>
  <si>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</si>
  <si>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</si>
  <si>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</si>
  <si>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</si>
  <si>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</si>
  <si>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</si>
  <si>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</si>
  <si>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</si>
  <si>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</si>
  <si>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</si>
  <si>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</si>
  <si>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</si>
  <si>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</si>
  <si>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</si>
  <si>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</si>
  <si>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</si>
  <si>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</si>
  <si>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</si>
  <si>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</si>
  <si>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</si>
  <si>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</si>
  <si>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</si>
  <si>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</si>
  <si>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</si>
  <si>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</si>
  <si>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</si>
  <si>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</si>
  <si>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</si>
  <si>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</si>
  <si>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</si>
  <si>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</si>
  <si>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</si>
  <si>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</si>
  <si>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</si>
  <si>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</si>
  <si>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</si>
  <si>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</si>
  <si>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</si>
  <si>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</si>
  <si>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</si>
  <si>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</si>
  <si>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</si>
  <si>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</si>
  <si>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</si>
  <si>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</si>
  <si>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</si>
  <si>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</si>
  <si>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</si>
  <si>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</si>
  <si>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</si>
  <si>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</si>
  <si>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</si>
  <si>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</si>
  <si>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</si>
  <si>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</si>
  <si>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</si>
  <si>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</si>
  <si>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</si>
  <si>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</si>
  <si>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</si>
  <si>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</si>
  <si>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</si>
  <si>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</si>
  <si>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</si>
  <si>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</si>
  <si>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</si>
  <si>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</si>
  <si>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</si>
  <si>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</si>
  <si>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</si>
  <si>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</si>
  <si>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</si>
  <si>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</si>
  <si>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</si>
  <si>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</si>
  <si>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</si>
  <si>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</si>
  <si>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</si>
  <si>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</si>
  <si>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</si>
  <si>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</si>
  <si>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</si>
  <si>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</si>
  <si>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</si>
  <si>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</si>
  <si>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</si>
  <si>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</si>
  <si>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</si>
  <si>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</si>
  <si>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</si>
  <si>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</si>
  <si>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</si>
  <si>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</si>
  <si>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</si>
  <si>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</si>
  <si>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</si>
  <si>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</si>
  <si>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</si>
  <si>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</si>
  <si>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</si>
  <si>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</si>
  <si>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</si>
  <si>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</si>
  <si>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</si>
  <si>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</si>
  <si>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</si>
  <si>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</si>
  <si>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</si>
  <si>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</si>
  <si>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</si>
  <si>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</si>
  <si>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</si>
  <si>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</si>
  <si>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</si>
  <si>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</si>
  <si>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</si>
  <si>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</si>
  <si>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</si>
  <si>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</si>
  <si>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</si>
  <si>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</si>
  <si>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</si>
  <si>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</si>
  <si>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</si>
  <si>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</si>
  <si>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</si>
  <si>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</si>
  <si>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</si>
  <si>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</si>
  <si>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</si>
  <si>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</si>
  <si>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</si>
  <si>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</si>
  <si>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</si>
  <si>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</si>
  <si>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</si>
  <si>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</si>
  <si>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</si>
  <si>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</si>
  <si>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</si>
  <si>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</si>
  <si>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</si>
  <si>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</si>
  <si>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</si>
  <si>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</si>
  <si>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</si>
  <si>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</si>
  <si>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</si>
  <si>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</si>
  <si>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</si>
  <si>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</si>
  <si>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</si>
  <si>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</si>
  <si>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</si>
  <si>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</si>
  <si>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</si>
  <si>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</si>
  <si>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</si>
  <si>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</si>
  <si>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</si>
  <si>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</si>
  <si>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</si>
  <si>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</si>
  <si>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</si>
  <si>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</si>
  <si>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</si>
  <si>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</si>
  <si>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</si>
  <si>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</si>
  <si>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</si>
  <si>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</si>
  <si>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</si>
  <si>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</si>
  <si>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</si>
  <si>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</si>
  <si>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</si>
  <si>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</si>
  <si>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</si>
  <si>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</si>
  <si>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</si>
  <si>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</si>
  <si>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</si>
  <si>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</si>
  <si>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</si>
  <si>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</si>
  <si>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</si>
  <si>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</si>
  <si>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</si>
  <si>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</si>
  <si>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</si>
  <si>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</si>
  <si>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</si>
  <si>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</si>
  <si>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</si>
  <si>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</si>
  <si>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</si>
  <si>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</si>
  <si>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</si>
  <si>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</si>
  <si>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</si>
  <si>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</si>
  <si>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</si>
  <si>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</si>
  <si>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</si>
  <si>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</si>
  <si>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</si>
  <si>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</si>
  <si>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</si>
  <si>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</si>
  <si>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</si>
  <si>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</si>
  <si>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</si>
  <si>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</si>
  <si>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</si>
  <si>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</si>
  <si>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</si>
  <si>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</si>
  <si>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</si>
  <si>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</si>
  <si>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</si>
  <si>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</si>
  <si>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</si>
  <si>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</si>
  <si>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</si>
  <si>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</si>
  <si>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</si>
  <si>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</si>
  <si>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</si>
  <si>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</si>
  <si>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</si>
  <si>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</si>
  <si>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</si>
  <si>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</si>
  <si>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</si>
  <si>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</si>
  <si>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</si>
  <si>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</si>
  <si>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</si>
  <si>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</si>
  <si>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</si>
  <si>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</si>
  <si>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</si>
  <si>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</si>
  <si>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</si>
  <si>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</si>
  <si>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</si>
  <si>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</si>
  <si>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</si>
  <si>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</si>
  <si>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</si>
  <si>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</si>
  <si>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</si>
  <si>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</si>
  <si>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</si>
  <si>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</si>
  <si>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</si>
  <si>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</si>
  <si>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</si>
  <si>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</si>
  <si>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</si>
  <si>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</si>
  <si>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</si>
  <si>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</si>
  <si>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</si>
  <si>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</si>
  <si>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</si>
  <si>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</si>
  <si>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</si>
  <si>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</si>
  <si>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</si>
  <si>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</si>
  <si>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</si>
  <si>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</si>
  <si>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</si>
  <si>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</si>
  <si>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</si>
  <si>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</si>
  <si>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</si>
  <si>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</si>
  <si>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</si>
  <si>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</si>
  <si>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</si>
  <si>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</si>
  <si>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</si>
  <si>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</si>
  <si>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</si>
  <si>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</si>
  <si>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</si>
  <si>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</si>
  <si>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</si>
  <si>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</si>
  <si>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</si>
  <si>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</si>
  <si>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</si>
  <si>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</si>
  <si>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</si>
  <si>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</si>
  <si>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</si>
  <si>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</si>
  <si>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</si>
  <si>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</si>
  <si>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</si>
  <si>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</si>
  <si>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</si>
  <si>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</si>
  <si>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</si>
  <si>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</si>
  <si>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</si>
  <si>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</si>
  <si>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</si>
  <si>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</si>
  <si>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</si>
  <si>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</si>
  <si>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</si>
  <si>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</si>
  <si>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</si>
  <si>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</si>
  <si>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</si>
  <si>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</si>
  <si>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</si>
  <si>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</si>
  <si>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</si>
  <si>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</si>
  <si>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</si>
  <si>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</si>
  <si>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</si>
  <si>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</si>
  <si>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</si>
  <si>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</si>
  <si>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</si>
  <si>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</si>
  <si>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</si>
  <si>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</si>
  <si>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</si>
  <si>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</si>
  <si>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</si>
  <si>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</si>
  <si>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</si>
  <si>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</si>
  <si>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</si>
  <si>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</si>
  <si>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</si>
  <si>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</si>
  <si>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</si>
  <si>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</si>
  <si>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</si>
  <si>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</si>
  <si>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</si>
  <si>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</si>
  <si>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</si>
  <si>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</si>
  <si>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</si>
  <si>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</si>
  <si>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</si>
  <si>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</si>
  <si>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</si>
  <si>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</si>
  <si>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</si>
  <si>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</si>
  <si>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</si>
  <si>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</si>
  <si>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</si>
  <si>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</si>
  <si>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</si>
  <si>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</si>
  <si>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</si>
  <si>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</si>
  <si>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</si>
  <si>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</si>
  <si>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</si>
  <si>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</si>
  <si>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</si>
  <si>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</si>
  <si>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</si>
  <si>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</si>
  <si>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</si>
  <si>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</si>
  <si>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</si>
  <si>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</si>
  <si>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</si>
  <si>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</si>
  <si>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</si>
  <si>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</si>
  <si>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</si>
  <si>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</si>
  <si>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</si>
  <si>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</si>
  <si>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</si>
  <si>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</si>
  <si>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</si>
  <si>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</si>
  <si>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</si>
  <si>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</si>
  <si>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</si>
  <si>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</si>
  <si>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</si>
  <si>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</si>
  <si>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</si>
  <si>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</si>
  <si>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</si>
  <si>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</si>
  <si>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</si>
  <si>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</si>
  <si>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</si>
  <si>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</si>
  <si>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</si>
  <si>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</si>
  <si>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</si>
  <si>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</si>
  <si>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</si>
  <si>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</si>
  <si>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</si>
  <si>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</si>
  <si>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</si>
  <si>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</si>
  <si>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</si>
  <si>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</si>
  <si>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</si>
  <si>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</si>
  <si>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</si>
  <si>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</si>
  <si>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</si>
  <si>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</si>
  <si>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</si>
  <si>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</si>
  <si>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</si>
  <si>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</si>
  <si>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</si>
  <si>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</si>
  <si>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</si>
  <si>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</si>
  <si>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</si>
  <si>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</si>
  <si>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</si>
  <si>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</si>
  <si>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</si>
  <si>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</si>
  <si>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</si>
  <si>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</si>
  <si>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</si>
  <si>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</si>
  <si>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</si>
  <si>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</si>
  <si>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</si>
  <si>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</si>
  <si>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</si>
  <si>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</si>
  <si>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</si>
  <si>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</si>
  <si>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</si>
  <si>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</si>
  <si>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</si>
  <si>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</si>
  <si>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</si>
  <si>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</si>
  <si>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</si>
  <si>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</si>
  <si>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</si>
  <si>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</si>
  <si>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</si>
  <si>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</si>
  <si>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</si>
  <si>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</si>
  <si>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</si>
  <si>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</si>
  <si>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</si>
  <si>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</si>
  <si>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</si>
  <si>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</si>
  <si>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</si>
  <si>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</si>
  <si>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</si>
  <si>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</si>
  <si>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</si>
  <si>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</si>
  <si>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</si>
  <si>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</si>
  <si>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</si>
  <si>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</si>
  <si>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</si>
  <si>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</si>
  <si>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</si>
  <si>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</si>
  <si>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</si>
  <si>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</si>
  <si>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</si>
  <si>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</si>
  <si>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</si>
  <si>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</si>
  <si>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</si>
  <si>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</si>
  <si>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</si>
  <si>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</si>
  <si>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</si>
  <si>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</si>
  <si>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</si>
  <si>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</si>
  <si>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</si>
  <si>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</si>
  <si>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</si>
  <si>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</si>
  <si>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</si>
  <si>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</si>
  <si>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</si>
  <si>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</si>
  <si>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</si>
  <si>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</si>
  <si>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</si>
  <si>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</si>
  <si>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</si>
  <si>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</si>
  <si>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</si>
  <si>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</si>
  <si>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</si>
  <si>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</si>
  <si>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</si>
  <si>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</si>
  <si>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</si>
  <si>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</si>
  <si>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</si>
  <si>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</si>
  <si>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</si>
  <si>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</si>
  <si>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</si>
  <si>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</si>
  <si>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</si>
  <si>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</si>
  <si>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</si>
  <si>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</si>
  <si>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</si>
  <si>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</si>
  <si>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</si>
  <si>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</si>
  <si>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</si>
  <si>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</si>
  <si>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</si>
  <si>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</si>
  <si>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</si>
  <si>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</si>
  <si>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</si>
  <si>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</si>
  <si>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</si>
  <si>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</si>
  <si>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</si>
  <si>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</si>
  <si>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</si>
  <si>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</si>
  <si>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</si>
  <si>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</si>
  <si>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</si>
  <si>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</si>
  <si>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</si>
  <si>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</si>
  <si>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</si>
  <si>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</si>
  <si>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</si>
  <si>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</si>
  <si>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</si>
  <si>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</si>
  <si>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</si>
  <si>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</si>
  <si>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</si>
  <si>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</si>
  <si>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</si>
  <si>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</si>
  <si>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</si>
  <si>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</si>
  <si>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</si>
  <si>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</si>
  <si>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</si>
  <si>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</si>
  <si>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</si>
  <si>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</si>
  <si>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</si>
  <si>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</si>
  <si>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</si>
  <si>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</si>
  <si>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</si>
  <si>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</si>
  <si>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</si>
  <si>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</si>
  <si>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</si>
  <si>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</si>
  <si>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</si>
  <si>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</si>
  <si>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</si>
  <si>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</si>
  <si>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</si>
  <si>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</si>
  <si>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</si>
  <si>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</si>
  <si>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</si>
  <si>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</si>
  <si>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</si>
  <si>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</si>
  <si>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</si>
  <si>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</si>
  <si>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</si>
  <si>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</si>
  <si>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</si>
  <si>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</si>
  <si>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</si>
  <si>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</si>
  <si>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</si>
  <si>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</si>
  <si>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</si>
  <si>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</si>
  <si>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</si>
  <si>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</si>
  <si>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</si>
  <si>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</si>
  <si>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</si>
  <si>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</si>
  <si>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</si>
  <si>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</si>
  <si>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</si>
  <si>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</si>
  <si>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</si>
  <si>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</si>
  <si>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</si>
  <si>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</si>
  <si>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</si>
  <si>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</si>
  <si>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</si>
  <si>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</si>
  <si>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</si>
  <si>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</si>
  <si>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</si>
  <si>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</si>
  <si>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</si>
  <si>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</si>
  <si>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</si>
  <si>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</si>
  <si>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</si>
  <si>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</si>
  <si>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</si>
  <si>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</si>
  <si>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</si>
  <si>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</si>
  <si>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</si>
  <si>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</si>
  <si>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</si>
  <si>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</si>
  <si>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</si>
  <si>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</si>
  <si>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</si>
  <si>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</si>
  <si>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</si>
  <si>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</si>
  <si>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</si>
  <si>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</si>
  <si>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</si>
  <si>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</si>
  <si>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</si>
  <si>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</si>
  <si>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</si>
  <si>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</si>
  <si>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</si>
  <si>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</si>
  <si>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</si>
  <si>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</si>
  <si>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</si>
  <si>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</si>
  <si>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</si>
  <si>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</si>
  <si>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</si>
  <si>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</si>
  <si>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</si>
  <si>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</si>
  <si>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</si>
  <si>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</si>
  <si>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</si>
  <si>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</si>
  <si>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</si>
  <si>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</si>
  <si>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</si>
  <si>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</si>
  <si>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</si>
  <si>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</si>
  <si>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</si>
  <si>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</si>
  <si>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</si>
  <si>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</si>
  <si>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</si>
  <si>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</si>
  <si>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</si>
  <si>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</si>
  <si>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</si>
  <si>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</si>
  <si>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</si>
  <si>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</si>
  <si>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</si>
  <si>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</si>
  <si>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</si>
  <si>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</si>
  <si>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</si>
  <si>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</si>
  <si>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</si>
  <si>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</si>
  <si>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</si>
  <si>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</si>
  <si>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</si>
  <si>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</si>
  <si>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</si>
  <si>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</si>
  <si>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</si>
  <si>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</si>
  <si>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</si>
  <si>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</si>
  <si>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</si>
  <si>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</si>
  <si>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</si>
  <si>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</si>
  <si>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</si>
  <si>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</si>
  <si>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</si>
  <si>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</si>
  <si>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</si>
  <si>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</si>
  <si>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</si>
  <si>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</si>
  <si>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</si>
  <si>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</si>
  <si>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</si>
  <si>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</si>
  <si>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</si>
  <si>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</si>
  <si>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</si>
  <si>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</si>
  <si>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</si>
  <si>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</si>
  <si>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</si>
  <si>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</si>
  <si>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</si>
  <si>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</si>
  <si>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</si>
  <si>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</si>
  <si>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</si>
  <si>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</si>
  <si>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</si>
  <si>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</si>
  <si>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</si>
  <si>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</si>
  <si>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</si>
  <si>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</si>
  <si>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</si>
  <si>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</si>
  <si>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</si>
  <si>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</si>
  <si>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</si>
  <si>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</si>
  <si>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</si>
  <si>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</si>
  <si>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</si>
  <si>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</si>
  <si>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</si>
  <si>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</si>
  <si>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</si>
  <si>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</si>
  <si>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</si>
  <si>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</si>
  <si>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</si>
  <si>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</si>
  <si>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</si>
  <si>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</si>
  <si>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</si>
  <si>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</si>
  <si>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</si>
  <si>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</si>
  <si>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</si>
  <si>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</si>
  <si>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</si>
  <si>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</si>
  <si>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</si>
  <si>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</si>
  <si>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</si>
  <si>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</si>
  <si>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</si>
  <si>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</si>
  <si>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</si>
  <si>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</si>
  <si>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</si>
  <si>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</si>
  <si>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</si>
  <si>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</si>
  <si>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</si>
  <si>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</si>
  <si>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</si>
  <si>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</si>
  <si>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</si>
  <si>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</si>
  <si>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</si>
  <si>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</si>
  <si>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</si>
  <si>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</si>
  <si>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</si>
  <si>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</si>
  <si>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</si>
  <si>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</si>
  <si>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</si>
  <si>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</si>
  <si>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</si>
  <si>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</si>
  <si>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</si>
  <si>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</si>
  <si>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</si>
  <si>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</si>
  <si>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</si>
  <si>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</si>
  <si>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</si>
  <si>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</si>
  <si>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</si>
  <si>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</si>
  <si>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</si>
  <si>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</si>
  <si>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</si>
  <si>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</si>
  <si>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</si>
  <si>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</si>
  <si>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</si>
  <si>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</si>
  <si>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</si>
  <si>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</si>
  <si>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</si>
  <si>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</si>
  <si>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</si>
  <si>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</si>
  <si>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</si>
  <si>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</si>
  <si>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</si>
  <si>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</si>
  <si>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</si>
  <si>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</si>
  <si>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</si>
  <si>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</si>
  <si>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</si>
  <si>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</si>
  <si>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</si>
  <si>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</si>
  <si>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</si>
  <si>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</si>
  <si>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</si>
  <si>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</si>
  <si>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</si>
  <si>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</si>
  <si>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</si>
  <si>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</si>
  <si>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</si>
  <si>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</si>
  <si>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</si>
  <si>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</si>
  <si>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</si>
  <si>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</si>
  <si>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</si>
  <si>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</si>
  <si>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</si>
  <si>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</si>
  <si>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</si>
  <si>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</si>
  <si>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</si>
  <si>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</si>
  <si>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</si>
  <si>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</si>
  <si>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</si>
  <si>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</si>
  <si>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</si>
  <si>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</si>
  <si>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</si>
  <si>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</si>
  <si>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</si>
  <si>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</si>
  <si>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</si>
  <si>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</si>
  <si>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</si>
  <si>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</si>
  <si>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</si>
  <si>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</si>
  <si>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</si>
  <si>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</si>
  <si>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</si>
  <si>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</si>
  <si>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</si>
  <si>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</si>
  <si>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</si>
  <si>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</si>
  <si>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</si>
  <si>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</si>
  <si>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</si>
  <si>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</si>
  <si>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</si>
  <si>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</si>
  <si>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</si>
  <si>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</si>
  <si>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</si>
  <si>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</si>
  <si>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</si>
  <si>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</si>
  <si>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</si>
  <si>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</si>
  <si>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</si>
  <si>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</si>
  <si>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</si>
  <si>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</si>
  <si>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</si>
  <si>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</si>
  <si>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</si>
  <si>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</si>
  <si>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</si>
  <si>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</si>
  <si>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</si>
  <si>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</si>
  <si>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</si>
  <si>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</si>
  <si>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</si>
  <si>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</si>
  <si>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</si>
  <si>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</si>
  <si>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</si>
  <si>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</si>
  <si>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</si>
  <si>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</si>
  <si>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</si>
  <si>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</si>
  <si>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</si>
  <si>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</si>
  <si>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</si>
  <si>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</si>
  <si>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</si>
  <si>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</si>
  <si>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</si>
  <si>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</si>
  <si>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</si>
  <si>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</si>
  <si>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</si>
  <si>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</si>
  <si>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</si>
  <si>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</si>
  <si>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</si>
  <si>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</si>
  <si>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</si>
  <si>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</si>
  <si>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</si>
  <si>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</si>
  <si>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</si>
  <si>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</si>
  <si>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</si>
  <si>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</si>
  <si>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</si>
  <si>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</si>
  <si>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</si>
  <si>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</si>
  <si>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</si>
  <si>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</si>
  <si>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</si>
  <si>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</si>
  <si>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</si>
  <si>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</si>
  <si>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</si>
  <si>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</si>
  <si>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</si>
  <si>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</si>
  <si>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</si>
  <si>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</si>
  <si>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</si>
  <si>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</si>
  <si>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</si>
  <si>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</si>
  <si>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</si>
  <si>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</si>
  <si>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</si>
  <si>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</si>
  <si>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</si>
  <si>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</si>
  <si>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</si>
  <si>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</si>
  <si>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</si>
  <si>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</si>
  <si>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</si>
  <si>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</si>
  <si>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</si>
  <si>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</si>
  <si>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</si>
  <si>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</si>
  <si>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</si>
  <si>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</si>
  <si>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</si>
  <si>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</si>
  <si>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</si>
  <si>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</si>
  <si>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</si>
  <si>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</si>
  <si>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</si>
  <si>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</si>
  <si>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</si>
  <si>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</si>
  <si>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</si>
  <si>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</si>
  <si>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</si>
  <si>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</si>
  <si>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</si>
  <si>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</si>
  <si>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</si>
  <si>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</si>
  <si>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</si>
  <si>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</si>
  <si>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</si>
  <si>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</si>
  <si>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</si>
  <si>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</si>
  <si>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</si>
  <si>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</si>
  <si>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</si>
  <si>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</si>
  <si>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</si>
  <si>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</si>
  <si>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</si>
  <si>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</si>
  <si>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</si>
  <si>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</si>
  <si>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</si>
  <si>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</si>
  <si>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</si>
  <si>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</si>
  <si>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</si>
  <si>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</si>
  <si>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</si>
  <si>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</si>
  <si>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</si>
  <si>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</si>
  <si>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</si>
  <si>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</si>
  <si>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</si>
  <si>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</si>
  <si>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</si>
  <si>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</si>
  <si>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</si>
  <si>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</si>
  <si>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</si>
  <si>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</si>
  <si>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</si>
  <si>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</si>
  <si>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</si>
  <si>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</si>
  <si>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</si>
  <si>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</si>
  <si>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</si>
  <si>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</si>
  <si>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</si>
  <si>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</si>
  <si>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</si>
  <si>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</si>
  <si>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</si>
  <si>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</si>
  <si>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</si>
  <si>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</si>
  <si>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</si>
  <si>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</si>
  <si>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</si>
  <si>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</si>
  <si>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</si>
  <si>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</si>
  <si>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</si>
  <si>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</si>
  <si>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</si>
  <si>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</si>
  <si>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</si>
  <si>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</si>
  <si>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</si>
  <si>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</si>
  <si>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</si>
  <si>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</si>
  <si>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</si>
  <si>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</si>
  <si>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</si>
  <si>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</si>
  <si>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</si>
  <si>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</si>
  <si>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</si>
  <si>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</si>
  <si>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</si>
  <si>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</si>
  <si>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</si>
  <si>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</si>
  <si>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</si>
  <si>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</si>
  <si>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</si>
  <si>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</si>
  <si>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</si>
  <si>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</si>
  <si>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</si>
  <si>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</si>
  <si>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</si>
  <si>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</si>
  <si>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</si>
  <si>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</si>
  <si>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</si>
  <si>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</si>
  <si>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</si>
  <si>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</si>
  <si>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</si>
  <si>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</si>
  <si>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</si>
  <si>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</si>
  <si>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</si>
  <si>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</si>
  <si>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</si>
  <si>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</si>
  <si>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</si>
  <si>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</si>
  <si>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</si>
  <si>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</si>
  <si>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</si>
  <si>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</si>
  <si>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</si>
  <si>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</si>
  <si>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</si>
  <si>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</si>
  <si>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</si>
  <si>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</si>
  <si>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</si>
  <si>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</si>
  <si>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</si>
  <si>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</si>
  <si>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</si>
  <si>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</si>
  <si>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</si>
  <si>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</si>
  <si>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</si>
  <si>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</si>
  <si>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</si>
  <si>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</si>
  <si>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</si>
  <si>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</si>
  <si>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</si>
  <si>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</si>
  <si>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</si>
  <si>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</si>
  <si>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</si>
  <si>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</si>
  <si>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</si>
  <si>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</si>
  <si>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</si>
  <si>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</si>
  <si>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</si>
  <si>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</si>
  <si>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</si>
  <si>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</si>
  <si>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</si>
  <si>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</si>
  <si>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</si>
  <si>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</si>
  <si>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</si>
  <si>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</si>
  <si>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</si>
  <si>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</si>
  <si>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</si>
  <si>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</si>
  <si>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</si>
  <si>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</si>
  <si>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</si>
  <si>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</si>
  <si>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</si>
  <si>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</si>
  <si>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</si>
  <si>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</si>
  <si>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</si>
  <si>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</si>
  <si>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</si>
  <si>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</si>
  <si>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</si>
  <si>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</si>
  <si>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</si>
  <si>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</si>
  <si>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</si>
  <si>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</si>
  <si>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</si>
  <si>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</si>
  <si>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</si>
  <si>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</si>
  <si>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</si>
  <si>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</si>
  <si>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</si>
  <si>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</si>
  <si>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</si>
  <si>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</si>
  <si>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</si>
  <si>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</si>
  <si>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</si>
  <si>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</si>
  <si>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</si>
  <si>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</si>
  <si>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</si>
  <si>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</si>
  <si>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</si>
  <si>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</si>
  <si>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</si>
  <si>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</si>
  <si>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</si>
  <si>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</si>
  <si>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</si>
  <si>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</si>
  <si>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</si>
  <si>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</si>
  <si>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</si>
  <si>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</si>
  <si>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</si>
  <si>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</si>
  <si>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</si>
  <si>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</si>
  <si>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</si>
  <si>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</si>
  <si>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</si>
  <si>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</si>
  <si>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</si>
  <si>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</si>
  <si>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</si>
  <si>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</si>
  <si>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</si>
  <si>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</si>
  <si>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</si>
  <si>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</si>
  <si>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</si>
  <si>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</si>
  <si>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</si>
  <si>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</si>
  <si>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</si>
  <si>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</si>
  <si>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</si>
  <si>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</si>
  <si>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</si>
  <si>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</si>
  <si>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</si>
  <si>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</si>
  <si>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</si>
  <si>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</si>
  <si>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</si>
  <si>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</si>
  <si>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</si>
  <si>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</si>
  <si>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</si>
  <si>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</si>
  <si>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</si>
  <si>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</si>
  <si>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</si>
  <si>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</si>
  <si>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</si>
  <si>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</si>
  <si>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</si>
  <si>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</si>
  <si>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</si>
  <si>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</si>
  <si>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</si>
  <si>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</si>
  <si>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</si>
  <si>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</si>
  <si>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</si>
  <si>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</si>
  <si>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</si>
  <si>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</si>
  <si>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</si>
  <si>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</si>
  <si>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</si>
  <si>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</si>
  <si>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</si>
  <si>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</si>
  <si>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</si>
  <si>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</si>
  <si>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</si>
  <si>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</si>
  <si>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</si>
  <si>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</si>
  <si>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</si>
  <si>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</si>
  <si>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</si>
  <si>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</si>
  <si>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</si>
  <si>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</si>
  <si>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</si>
  <si>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</si>
  <si>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</si>
  <si>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</si>
  <si>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</si>
  <si>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</si>
  <si>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</si>
  <si>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</si>
  <si>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</si>
  <si>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</si>
  <si>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</si>
  <si>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</si>
  <si>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</si>
  <si>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</si>
  <si>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</si>
  <si>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</si>
  <si>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</si>
  <si>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</si>
  <si>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</si>
  <si>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</si>
  <si>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</si>
  <si>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</si>
  <si>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</si>
  <si>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</si>
  <si>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</si>
  <si>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</si>
  <si>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</si>
  <si>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</si>
  <si>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</si>
  <si>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</si>
  <si>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</si>
  <si>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</si>
  <si>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</si>
  <si>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</si>
  <si>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</si>
  <si>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</si>
  <si>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</si>
  <si>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</si>
  <si>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</si>
  <si>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</si>
  <si>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</si>
  <si>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</si>
  <si>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</si>
  <si>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</si>
  <si>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</si>
  <si>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</si>
  <si>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</si>
  <si>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</si>
  <si>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</si>
  <si>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</si>
  <si>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</si>
  <si>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</si>
  <si>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</si>
  <si>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</si>
  <si>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</si>
  <si>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</si>
  <si>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</si>
  <si>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</si>
  <si>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</si>
  <si>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</si>
  <si>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</si>
  <si>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</si>
  <si>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</si>
  <si>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</si>
  <si>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</si>
  <si>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</si>
  <si>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</si>
  <si>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</si>
  <si>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</si>
  <si>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</si>
  <si>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</si>
  <si>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</si>
  <si>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</si>
  <si>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</si>
  <si>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</si>
  <si>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</si>
  <si>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</si>
  <si>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</si>
  <si>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</si>
  <si>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</si>
  <si>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</si>
  <si>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</si>
  <si>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</si>
  <si>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</si>
  <si>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</si>
  <si>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</si>
  <si>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</si>
  <si>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</si>
  <si>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</si>
  <si>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</si>
  <si>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</si>
  <si>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</si>
  <si>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</si>
  <si>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</si>
  <si>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</si>
  <si>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</si>
  <si>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</si>
  <si>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</si>
  <si>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</si>
  <si>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</si>
  <si>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</si>
  <si>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</si>
  <si>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</si>
  <si>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</si>
  <si>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</si>
  <si>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</si>
  <si>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</si>
  <si>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</si>
  <si>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</si>
  <si>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</si>
  <si>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</si>
  <si>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</si>
  <si>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</si>
  <si>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</si>
  <si>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</si>
  <si>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</si>
  <si>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</si>
  <si>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</si>
  <si>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</si>
  <si>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</si>
  <si>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</si>
  <si>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</si>
  <si>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</si>
  <si>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</si>
  <si>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</si>
  <si>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</si>
  <si>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</si>
  <si>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</si>
  <si>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</si>
  <si>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</si>
  <si>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</si>
  <si>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</si>
  <si>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</si>
  <si>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</si>
  <si>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</si>
  <si>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</si>
  <si>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</si>
  <si>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</si>
  <si>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</si>
  <si>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</si>
  <si>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</si>
  <si>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</si>
  <si>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</si>
  <si>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</si>
  <si>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</si>
  <si>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</si>
  <si>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</si>
  <si>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</si>
  <si>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</si>
  <si>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</si>
  <si>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</si>
  <si>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</si>
  <si>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</si>
  <si>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</si>
  <si>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</si>
  <si>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</si>
  <si>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</si>
  <si>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</si>
  <si>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</si>
  <si>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</si>
  <si>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</si>
  <si>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</si>
  <si>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</si>
  <si>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</si>
  <si>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</si>
  <si>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</si>
  <si>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</si>
  <si>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</si>
  <si>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</si>
  <si>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</si>
  <si>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</si>
  <si>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</si>
  <si>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</si>
  <si>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</si>
  <si>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</si>
  <si>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</si>
  <si>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</si>
  <si>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</si>
  <si>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</si>
  <si>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</si>
  <si>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</si>
  <si>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</si>
  <si>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</si>
  <si>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</si>
  <si>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</si>
  <si>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</si>
  <si>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</si>
  <si>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</si>
  <si>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</si>
  <si>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</si>
  <si>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</si>
  <si>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</si>
  <si>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</si>
  <si>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</si>
  <si>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</si>
  <si>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</si>
  <si>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</si>
  <si>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</si>
  <si>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</si>
  <si>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</si>
  <si>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</si>
  <si>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</si>
  <si>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</si>
  <si>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</si>
  <si>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</si>
  <si>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</si>
  <si>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</si>
  <si>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</si>
  <si>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</si>
  <si>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</si>
  <si>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</si>
  <si>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</si>
  <si>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</si>
  <si>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</si>
  <si>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</si>
  <si>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</si>
  <si>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</si>
  <si>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</si>
  <si>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</si>
  <si>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</si>
  <si>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</si>
  <si>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</si>
  <si>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</si>
  <si>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</si>
  <si>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</si>
  <si>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</si>
  <si>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</si>
  <si>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</si>
  <si>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</si>
  <si>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</si>
  <si>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</si>
  <si>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</si>
  <si>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</si>
  <si>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</si>
  <si>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</si>
  <si>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</si>
  <si>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</si>
  <si>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</si>
  <si>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</si>
  <si>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</si>
  <si>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</si>
  <si>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</si>
  <si>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</si>
  <si>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</si>
  <si>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</si>
  <si>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</si>
  <si>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</si>
  <si>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</si>
  <si>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</si>
  <si>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</si>
  <si>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</si>
  <si>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</si>
  <si>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</si>
  <si>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</si>
  <si>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</si>
  <si>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</si>
  <si>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</si>
  <si>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</si>
  <si>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</si>
  <si>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</si>
  <si>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</si>
  <si>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</si>
  <si>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</si>
  <si>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</si>
  <si>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</si>
  <si>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</si>
  <si>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</si>
  <si>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</si>
  <si>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</si>
  <si>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</si>
  <si>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</si>
  <si>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</si>
  <si>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</si>
  <si>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</si>
  <si>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</si>
  <si>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</si>
  <si>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</si>
  <si>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</si>
  <si>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</si>
  <si>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</si>
  <si>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</si>
  <si>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</si>
  <si>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</si>
  <si>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</si>
  <si>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</si>
  <si>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</si>
  <si>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</si>
  <si>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</si>
  <si>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</si>
  <si>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</si>
  <si>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</si>
  <si>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</si>
  <si>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</si>
  <si>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</si>
  <si>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</si>
  <si>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</si>
  <si>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</si>
  <si>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</si>
  <si>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</si>
  <si>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</si>
  <si>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</si>
  <si>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</si>
  <si>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</si>
  <si>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</si>
  <si>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</si>
  <si>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</si>
  <si>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</si>
  <si>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</si>
  <si>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</si>
  <si>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</si>
  <si>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</si>
  <si>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</si>
  <si>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</si>
  <si>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</si>
  <si>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</si>
  <si>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</si>
  <si>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</si>
  <si>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</si>
  <si>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</si>
  <si>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</si>
  <si>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</si>
  <si>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</si>
  <si>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</si>
  <si>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</si>
  <si>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</si>
  <si>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</si>
  <si>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</si>
  <si>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</si>
  <si>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</si>
  <si>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</si>
  <si>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</si>
  <si>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</si>
  <si>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</si>
  <si>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</si>
  <si>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</si>
  <si>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</si>
  <si>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</si>
  <si>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</si>
  <si>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</si>
  <si>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</si>
  <si>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</si>
  <si>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</si>
  <si>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</si>
  <si>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</si>
  <si>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</si>
  <si>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</si>
  <si>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</si>
  <si>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</si>
  <si>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</si>
  <si>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</si>
  <si>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</si>
  <si>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</si>
  <si>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</si>
  <si>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</si>
  <si>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</si>
  <si>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</si>
  <si>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</si>
  <si>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</si>
  <si>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</si>
  <si>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</si>
  <si>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</si>
  <si>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</si>
  <si>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</si>
  <si>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</si>
  <si>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</si>
  <si>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</si>
  <si>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</si>
  <si>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</si>
  <si>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</si>
  <si>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</si>
  <si>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</si>
  <si>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</si>
  <si>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</si>
  <si>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</si>
  <si>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</si>
  <si>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</si>
  <si>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</si>
  <si>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</si>
  <si>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</si>
  <si>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</si>
  <si>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</si>
  <si>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</si>
  <si>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</si>
  <si>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</si>
  <si>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</si>
  <si>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</si>
  <si>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</si>
  <si>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</si>
  <si>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</si>
  <si>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</si>
  <si>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</si>
  <si>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</si>
  <si>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</si>
  <si>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</si>
  <si>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</si>
  <si>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</si>
  <si>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</si>
  <si>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</si>
  <si>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</si>
  <si>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</si>
  <si>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</si>
  <si>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</si>
  <si>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</si>
  <si>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</si>
  <si>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</si>
  <si>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</si>
  <si>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</si>
  <si>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</si>
  <si>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</si>
  <si>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</si>
  <si>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</si>
  <si>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</si>
  <si>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</si>
  <si>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</si>
  <si>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</si>
  <si>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</si>
  <si>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</si>
  <si>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</si>
  <si>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</si>
  <si>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</si>
  <si>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</si>
  <si>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</si>
  <si>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</si>
  <si>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</si>
  <si>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</si>
  <si>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</si>
  <si>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</si>
  <si>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</si>
  <si>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</si>
  <si>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</si>
  <si>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</si>
  <si>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</si>
  <si>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</si>
  <si>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</si>
  <si>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</si>
  <si>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</si>
  <si>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</si>
  <si>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</si>
  <si>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</si>
  <si>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</si>
  <si>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</si>
  <si>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</si>
  <si>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</si>
  <si>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</si>
  <si>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</si>
  <si>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</si>
  <si>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</si>
  <si>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</si>
  <si>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</si>
  <si>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</si>
  <si>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</si>
  <si>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</si>
  <si>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</si>
  <si>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</si>
  <si>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</si>
  <si>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</si>
  <si>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</si>
  <si>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</si>
  <si>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</si>
  <si>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</si>
  <si>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</si>
  <si>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</si>
  <si>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</si>
  <si>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</si>
  <si>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</si>
  <si>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</si>
  <si>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</si>
  <si>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</si>
  <si>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</si>
  <si>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</si>
  <si>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</si>
  <si>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</si>
  <si>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</si>
  <si>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</si>
  <si>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</si>
  <si>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</si>
  <si>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</si>
  <si>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</si>
  <si>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</si>
  <si>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</si>
  <si>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</si>
  <si>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</si>
  <si>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</si>
  <si>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</si>
  <si>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</si>
  <si>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</si>
  <si>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</si>
  <si>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</si>
  <si>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</si>
  <si>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</si>
  <si>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</si>
  <si>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</si>
  <si>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</si>
  <si>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</si>
  <si>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</si>
  <si>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</si>
  <si>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</si>
  <si>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</si>
  <si>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</si>
  <si>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</si>
  <si>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</si>
  <si>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</si>
  <si>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</si>
  <si>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</si>
  <si>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</si>
  <si>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</si>
  <si>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</si>
  <si>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</si>
  <si>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</si>
  <si>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</si>
  <si>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</si>
  <si>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</si>
  <si>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</si>
  <si>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</si>
  <si>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</si>
  <si>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</si>
  <si>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</si>
  <si>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</si>
  <si>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</si>
  <si>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</si>
  <si>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</si>
  <si>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</si>
  <si>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</si>
  <si>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</si>
  <si>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</si>
  <si>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</si>
  <si>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</si>
  <si>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</si>
  <si>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</si>
  <si>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</si>
  <si>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</si>
  <si>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</si>
  <si>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</si>
  <si>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</si>
  <si>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</si>
  <si>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</si>
  <si>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</si>
  <si>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</si>
  <si>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</si>
  <si>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</si>
  <si>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</si>
  <si>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</si>
  <si>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</si>
  <si>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</si>
  <si>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</si>
  <si>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</si>
  <si>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</si>
  <si>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</si>
  <si>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</si>
  <si>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</si>
  <si>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</si>
  <si>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</si>
  <si>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</si>
  <si>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</si>
  <si>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</si>
  <si>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</si>
  <si>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</si>
  <si>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</si>
  <si>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</si>
  <si>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</si>
  <si>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</si>
  <si>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</si>
  <si>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</si>
  <si>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</si>
  <si>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</si>
  <si>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</si>
  <si>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</si>
  <si>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</si>
  <si>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</si>
  <si>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</si>
  <si>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</si>
  <si>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</si>
  <si>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</si>
  <si>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</si>
  <si>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</si>
  <si>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</si>
  <si>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</si>
  <si>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</si>
  <si>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</si>
  <si>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</si>
  <si>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</si>
  <si>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</si>
  <si>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</si>
  <si>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</si>
  <si>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</si>
  <si>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</si>
  <si>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</si>
  <si>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</si>
  <si>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</si>
  <si>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</si>
  <si>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</si>
  <si>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</si>
  <si>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</si>
  <si>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</si>
  <si>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</si>
  <si>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</si>
  <si>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</si>
  <si>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</si>
  <si>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</si>
  <si>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</si>
  <si>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</si>
  <si>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</si>
  <si>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</si>
  <si>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</si>
  <si>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</si>
  <si>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</si>
  <si>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</si>
  <si>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</si>
  <si>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</si>
  <si>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</si>
  <si>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</si>
  <si>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</si>
  <si>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</si>
  <si>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</si>
  <si>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</si>
  <si>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</si>
  <si>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</si>
  <si>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</si>
  <si>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</si>
  <si>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</si>
  <si>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</si>
  <si>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</si>
  <si>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</si>
  <si>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</si>
  <si>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</si>
  <si>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</si>
  <si>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</si>
  <si>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</si>
  <si>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</si>
  <si>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</si>
  <si>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</si>
  <si>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</si>
  <si>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</si>
  <si>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</si>
  <si>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</si>
  <si>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</si>
  <si>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</si>
  <si>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</si>
  <si>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</si>
  <si>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</si>
  <si>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</si>
  <si>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</si>
  <si>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</si>
  <si>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</si>
  <si>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</si>
  <si>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</si>
  <si>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</si>
  <si>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</si>
  <si>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</si>
  <si>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</si>
  <si>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</si>
  <si>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</si>
  <si>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</si>
  <si>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</si>
  <si>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</si>
  <si>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</si>
  <si>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</si>
  <si>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</si>
  <si>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</si>
  <si>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</si>
  <si>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</si>
  <si>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</si>
  <si>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</si>
  <si>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</si>
  <si>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</si>
  <si>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</si>
  <si>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</si>
  <si>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</si>
  <si>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</si>
  <si>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</si>
  <si>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</si>
  <si>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</si>
  <si>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</si>
  <si>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</si>
  <si>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</si>
  <si>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</si>
  <si>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</si>
  <si>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</si>
  <si>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</si>
  <si>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</si>
  <si>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</si>
  <si>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</si>
  <si>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</si>
  <si>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</si>
  <si>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</si>
  <si>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</si>
  <si>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</si>
  <si>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</si>
  <si>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</si>
  <si>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</si>
  <si>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</si>
  <si>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</si>
  <si>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</si>
  <si>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</si>
  <si>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</si>
  <si>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</si>
  <si>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</si>
  <si>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</si>
  <si>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</si>
  <si>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</si>
  <si>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</si>
  <si>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</si>
  <si>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</si>
  <si>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</si>
  <si>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</si>
  <si>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</si>
  <si>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</si>
  <si>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</si>
  <si>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</si>
  <si>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</si>
  <si>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</si>
  <si>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</si>
  <si>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</si>
  <si>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</si>
  <si>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</si>
  <si>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</si>
  <si>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</si>
  <si>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</si>
  <si>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</si>
  <si>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</si>
  <si>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</si>
  <si>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</si>
  <si>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</si>
  <si>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</si>
  <si>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</si>
  <si>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</si>
  <si>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</si>
  <si>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</si>
  <si>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</si>
  <si>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</si>
  <si>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</si>
  <si>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</si>
  <si>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</si>
  <si>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</si>
  <si>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</si>
  <si>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</si>
  <si>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</si>
  <si>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</si>
  <si>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</si>
  <si>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</si>
  <si>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</si>
  <si>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</si>
  <si>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</si>
  <si>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</si>
  <si>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</si>
  <si>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</si>
  <si>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</si>
  <si>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</si>
  <si>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</si>
  <si>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</si>
  <si>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</si>
  <si>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</si>
  <si>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</si>
  <si>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</si>
  <si>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</si>
  <si>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</si>
  <si>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</si>
  <si>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</si>
  <si>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</si>
  <si>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</si>
  <si>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</si>
  <si>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</si>
  <si>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</si>
  <si>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</si>
  <si>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</si>
  <si>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</si>
  <si>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</si>
  <si>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</si>
  <si>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</si>
  <si>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</si>
  <si>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</si>
  <si>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</si>
  <si>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</si>
  <si>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</si>
  <si>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</si>
  <si>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</si>
  <si>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</si>
  <si>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</si>
  <si>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</si>
  <si>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</si>
  <si>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</si>
  <si>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</si>
  <si>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</si>
  <si>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</si>
  <si>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</si>
  <si>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</si>
  <si>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</si>
  <si>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</si>
  <si>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</si>
  <si>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</si>
  <si>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</si>
  <si>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</si>
  <si>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</si>
  <si>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</si>
  <si>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</si>
  <si>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</si>
  <si>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</si>
  <si>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</si>
  <si>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</si>
  <si>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</si>
  <si>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</si>
  <si>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</si>
  <si>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</si>
  <si>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</si>
  <si>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</si>
  <si>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</si>
  <si>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</si>
  <si>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</si>
  <si>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</si>
  <si>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</si>
  <si>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</si>
  <si>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</si>
  <si>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</si>
  <si>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</si>
  <si>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</si>
  <si>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</si>
  <si>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</si>
  <si>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</si>
  <si>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</si>
  <si>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</si>
  <si>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</si>
  <si>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</si>
  <si>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</si>
  <si>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</si>
  <si>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</si>
  <si>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</si>
  <si>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</si>
  <si>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</si>
  <si>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</si>
  <si>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</si>
  <si>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</si>
  <si>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</si>
  <si>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</si>
  <si>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</si>
  <si>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</si>
  <si>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</si>
  <si>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</si>
  <si>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</si>
  <si>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</si>
  <si>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</si>
  <si>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</si>
  <si>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</si>
  <si>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</si>
  <si>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</si>
  <si>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</si>
  <si>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</si>
  <si>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</si>
  <si>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</si>
  <si>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</si>
  <si>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</si>
  <si>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</si>
  <si>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</si>
  <si>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</si>
  <si>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</si>
  <si>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</si>
  <si>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</si>
  <si>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</si>
  <si>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</si>
  <si>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</si>
  <si>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</si>
  <si>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</si>
  <si>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</si>
  <si>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</si>
  <si>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</si>
  <si>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</si>
  <si>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</si>
  <si>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</si>
  <si>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</si>
  <si>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</si>
  <si>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</si>
  <si>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</si>
  <si>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</si>
  <si>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</si>
  <si>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</si>
  <si>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</si>
  <si>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</si>
  <si>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</si>
  <si>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</si>
  <si>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</si>
  <si>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</si>
  <si>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</si>
  <si>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</si>
  <si>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</si>
  <si>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</si>
  <si>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</si>
  <si>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</si>
  <si>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</si>
  <si>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</si>
  <si>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</si>
  <si>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</si>
  <si>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</si>
  <si>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</si>
  <si>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</si>
  <si>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</si>
  <si>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</si>
  <si>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</si>
  <si>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</si>
  <si>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</si>
  <si>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</si>
  <si>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</si>
  <si>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</si>
  <si>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</si>
  <si>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</si>
  <si>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</si>
  <si>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</si>
  <si>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</si>
  <si>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</si>
  <si>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</si>
  <si>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</si>
  <si>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</si>
  <si>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</si>
  <si>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</si>
  <si>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</si>
  <si>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</si>
  <si>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</si>
  <si>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</si>
  <si>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</si>
  <si>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</si>
  <si>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</si>
  <si>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</si>
  <si>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</si>
  <si>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</si>
  <si>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</si>
  <si>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</si>
  <si>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</si>
  <si>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</si>
  <si>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</si>
  <si>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</si>
  <si>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</si>
  <si>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</si>
  <si>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</si>
  <si>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</si>
  <si>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</si>
  <si>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</si>
  <si>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</si>
  <si>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</si>
  <si>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</si>
  <si>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</si>
  <si>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</si>
  <si>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</si>
  <si>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</si>
  <si>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</si>
  <si>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</si>
  <si>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</si>
  <si>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</si>
  <si>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</si>
  <si>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</si>
  <si>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</si>
  <si>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</si>
  <si>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</si>
  <si>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</si>
  <si>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</si>
  <si>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</si>
  <si>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</si>
  <si>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</si>
  <si>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</si>
  <si>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</si>
  <si>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</si>
  <si>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</si>
  <si>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</si>
  <si>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</si>
  <si>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</si>
  <si>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</si>
  <si>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</si>
  <si>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</si>
  <si>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</si>
  <si>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</si>
  <si>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</si>
  <si>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</si>
  <si>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</si>
  <si>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</si>
  <si>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</si>
  <si>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</si>
  <si>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</si>
  <si>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</si>
  <si>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</si>
  <si>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</si>
  <si>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</si>
  <si>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</si>
  <si>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</si>
  <si>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</si>
  <si>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</si>
  <si>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</si>
  <si>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</si>
  <si>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</si>
  <si>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</si>
  <si>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</si>
  <si>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</si>
  <si>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</si>
  <si>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</si>
  <si>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</si>
  <si>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</si>
  <si>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</si>
  <si>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</si>
  <si>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</si>
  <si>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</si>
  <si>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</si>
  <si>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</si>
  <si>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</si>
  <si>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</si>
  <si>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</si>
  <si>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</si>
  <si>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</si>
  <si>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</si>
  <si>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</si>
  <si>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</si>
  <si>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</si>
  <si>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</si>
  <si>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</si>
  <si>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</si>
  <si>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</si>
  <si>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</si>
  <si>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</si>
  <si>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</si>
  <si>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</si>
  <si>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</si>
  <si>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</si>
  <si>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</si>
  <si>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</si>
  <si>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</si>
  <si>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</si>
  <si>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</si>
  <si>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</si>
  <si>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</si>
  <si>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</si>
  <si>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</si>
  <si>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</si>
  <si>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</si>
  <si>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</si>
  <si>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</si>
  <si>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</si>
  <si>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</si>
  <si>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</si>
  <si>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</si>
  <si>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</si>
  <si>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</si>
  <si>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</si>
  <si>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</si>
  <si>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</si>
  <si>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</si>
  <si>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</si>
  <si>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</si>
  <si>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</si>
  <si>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</si>
  <si>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</si>
  <si>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</si>
  <si>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</si>
  <si>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</si>
  <si>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</si>
  <si>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</si>
  <si>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</si>
  <si>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</si>
  <si>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</si>
  <si>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</si>
  <si>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</si>
  <si>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</si>
  <si>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</si>
  <si>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</si>
  <si>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</si>
  <si>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</si>
  <si>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</si>
  <si>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</si>
  <si>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</si>
  <si>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</si>
  <si>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</si>
  <si>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</si>
  <si>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</si>
  <si>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</si>
  <si>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</si>
  <si>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</si>
  <si>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</si>
  <si>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</si>
  <si>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</si>
  <si>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</si>
  <si>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</si>
  <si>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</si>
  <si>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</si>
  <si>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</si>
  <si>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</si>
  <si>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</si>
  <si>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</si>
  <si>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</si>
  <si>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</si>
  <si>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</si>
  <si>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</si>
  <si>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</si>
  <si>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</si>
  <si>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</si>
  <si>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</si>
  <si>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</si>
  <si>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</si>
  <si>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</si>
  <si>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</si>
  <si>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</si>
  <si>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</si>
  <si>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</si>
  <si>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</si>
  <si>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</si>
  <si>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</si>
  <si>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</si>
  <si>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</si>
  <si>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</si>
  <si>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</si>
  <si>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</si>
  <si>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</si>
  <si>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</si>
  <si>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</si>
  <si>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</si>
  <si>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</si>
  <si>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</si>
  <si>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</si>
  <si>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</si>
  <si>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</si>
  <si>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</si>
  <si>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</si>
  <si>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</si>
  <si>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</si>
  <si>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</si>
  <si>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</si>
  <si>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</si>
  <si>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</si>
  <si>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</si>
  <si>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</si>
  <si>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</si>
  <si>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</si>
  <si>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</si>
  <si>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</si>
  <si>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</si>
  <si>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</si>
  <si>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</si>
  <si>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</si>
  <si>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</si>
  <si>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</si>
  <si>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</si>
  <si>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</si>
  <si>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</si>
  <si>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</si>
  <si>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</si>
  <si>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</si>
  <si>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</si>
  <si>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</si>
  <si>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</si>
  <si>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</si>
  <si>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</si>
  <si>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</si>
  <si>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</si>
  <si>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</si>
  <si>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</si>
  <si>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</si>
  <si>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</si>
  <si>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</si>
  <si>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</si>
  <si>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</si>
  <si>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</si>
  <si>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</si>
  <si>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</si>
  <si>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</si>
  <si>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</si>
  <si>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</si>
  <si>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</si>
  <si>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</si>
  <si>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</si>
  <si>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</si>
  <si>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</si>
  <si>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</si>
  <si>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</si>
  <si>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</si>
  <si>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</si>
  <si>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</si>
  <si>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</si>
  <si>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</si>
  <si>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</si>
  <si>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</si>
  <si>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</si>
  <si>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</si>
  <si>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</si>
  <si>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</si>
  <si>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</si>
  <si>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</si>
  <si>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</si>
  <si>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</si>
  <si>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</si>
  <si>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</si>
  <si>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</si>
  <si>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</si>
  <si>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</si>
  <si>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</si>
  <si>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</si>
  <si>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</si>
  <si>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</si>
  <si>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</si>
  <si>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</si>
  <si>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</si>
  <si>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</si>
  <si>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</si>
  <si>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</si>
  <si>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</si>
  <si>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</si>
  <si>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</si>
  <si>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</si>
  <si>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</si>
  <si>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</si>
  <si>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</si>
  <si>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</si>
  <si>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</si>
  <si>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</si>
  <si>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</si>
  <si>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</si>
  <si>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</si>
  <si>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</si>
  <si>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</si>
  <si>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</si>
  <si>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</si>
  <si>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</si>
  <si>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</si>
  <si>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</si>
  <si>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</si>
  <si>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</si>
  <si>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</si>
  <si>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</si>
  <si>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</si>
  <si>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</si>
  <si>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</si>
  <si>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</si>
  <si>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</si>
  <si>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</si>
  <si>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</si>
  <si>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</si>
  <si>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</si>
  <si>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</si>
  <si>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</si>
  <si>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</si>
  <si>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</si>
  <si>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</si>
  <si>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</si>
  <si>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</si>
  <si>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</si>
  <si>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</si>
  <si>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</si>
  <si>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</si>
  <si>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</si>
  <si>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</si>
  <si>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</si>
  <si>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</si>
  <si>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</si>
  <si>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</si>
  <si>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</si>
  <si>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</si>
  <si>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</si>
  <si>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</si>
  <si>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</si>
  <si>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</si>
  <si>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</si>
  <si>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</si>
  <si>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</si>
  <si>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</si>
  <si>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</si>
  <si>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</si>
  <si>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</si>
  <si>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</si>
  <si>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</si>
  <si>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</si>
  <si>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</si>
  <si>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</si>
  <si>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</si>
  <si>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</si>
  <si>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</si>
  <si>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</si>
  <si>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</si>
  <si>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</si>
  <si>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</si>
  <si>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</si>
  <si>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</si>
  <si>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</si>
  <si>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</si>
  <si>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</si>
  <si>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</si>
  <si>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</si>
  <si>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</si>
  <si>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</si>
  <si>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</si>
  <si>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</si>
  <si>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</si>
  <si>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</si>
  <si>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</si>
  <si>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</si>
  <si>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</si>
  <si>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</si>
  <si>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</si>
  <si>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</si>
  <si>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</si>
  <si>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</si>
  <si>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</si>
  <si>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</si>
  <si>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</si>
  <si>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</si>
  <si>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西山枫林</t>
    <phoneticPr fontId="3" type="noConversion"/>
  </si>
  <si>
    <t>海特花园</t>
  </si>
  <si>
    <t>周边有海特花园、西黄新村北里、八大处路33号院、黄南苑小区等住宅小区，居住社区成熟度较好。</t>
    <phoneticPr fontId="40" type="noConversion"/>
  </si>
  <si>
    <t>周边有399路、965路、985路等多条公交线路，综合评价交通便捷度一般</t>
    <phoneticPr fontId="40" type="noConversion"/>
  </si>
  <si>
    <t>周边有八大处公园及永定河引水渠等自然及人文景观，
综合评价环境状况较好。</t>
    <phoneticPr fontId="40" type="noConversion"/>
  </si>
  <si>
    <t>银行：中国工商银行等金融机构；
医院：北京大学首钢医院等医疗机构；
学校：首钢工学院、北方工业大学、八大处中学、西黄村小学等教育机构；
商业：当代商城等商业设施；
综合评价公共服务设施齐备度较好。</t>
    <phoneticPr fontId="40" type="noConversion"/>
  </si>
  <si>
    <t>评估日期</t>
  </si>
  <si>
    <t>贷款机构</t>
  </si>
  <si>
    <t>评估人电话</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</si>
  <si>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</si>
  <si>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</si>
  <si>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</si>
  <si>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</si>
  <si>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</si>
  <si>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</si>
  <si>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</si>
  <si>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</si>
  <si>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</si>
  <si>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</si>
  <si>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</si>
  <si>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</si>
  <si>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</si>
  <si>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</si>
  <si>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</si>
  <si>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</si>
  <si>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</si>
  <si>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</si>
  <si>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</si>
  <si>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</si>
  <si>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</si>
  <si>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</si>
  <si>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</si>
  <si>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</si>
  <si>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</si>
  <si>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</si>
  <si>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</si>
  <si>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</si>
  <si>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</si>
  <si>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</si>
  <si>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</si>
  <si>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</si>
  <si>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</si>
  <si>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</si>
  <si>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</si>
  <si>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</si>
  <si>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</si>
  <si>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</si>
  <si>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</si>
  <si>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</si>
  <si>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</si>
  <si>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</si>
  <si>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</si>
  <si>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</si>
  <si>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</si>
  <si>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</si>
  <si>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</si>
  <si>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</si>
  <si>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</si>
  <si>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</si>
  <si>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</si>
  <si>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</si>
  <si>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</si>
  <si>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</si>
  <si>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</si>
  <si>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</si>
  <si>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</si>
  <si>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</si>
  <si>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</si>
  <si>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</si>
  <si>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</si>
  <si>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</si>
  <si>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</si>
  <si>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</si>
  <si>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</si>
  <si>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</si>
  <si>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</si>
  <si>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</si>
  <si>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</si>
  <si>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</si>
  <si>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2004-22-P-00024</t>
  </si>
  <si>
    <t>杨振旺</t>
  </si>
  <si>
    <t>110225196906055915</t>
  </si>
  <si>
    <t>13910056445、84039193</t>
  </si>
  <si>
    <t>石景山区</t>
  </si>
  <si>
    <t>八大处高科技园区C13街坊西南部海特花园商住楼</t>
  </si>
  <si>
    <t>3座</t>
  </si>
  <si>
    <t>8层</t>
  </si>
  <si>
    <t>804号</t>
  </si>
  <si>
    <t>北京伟恩房地产开发有限公司</t>
  </si>
  <si>
    <t>8</t>
  </si>
  <si>
    <t>一室一卫一厨</t>
  </si>
  <si>
    <t>50.31</t>
  </si>
  <si>
    <t>复式、平层√、跃层、错层</t>
  </si>
  <si>
    <t>北京住房公积金管理中心石景山第一管理部</t>
  </si>
  <si>
    <t>苏海</t>
  </si>
  <si>
    <t>结构施工</t>
  </si>
  <si>
    <t>可抵押商品住宅</t>
  </si>
  <si>
    <t>邹晓鸣</t>
  </si>
  <si>
    <t>二</t>
  </si>
  <si>
    <t xml:space="preserve"> </t>
  </si>
  <si>
    <t>裴蓓</t>
  </si>
  <si>
    <t>新增</t>
  </si>
  <si>
    <t>合同</t>
  </si>
  <si>
    <t>564094</t>
  </si>
  <si>
    <t>北京市延庆县经济技术开发区物业管理中心</t>
  </si>
  <si>
    <t>1100001133462（1-1）</t>
  </si>
  <si>
    <t>刘卫</t>
  </si>
  <si>
    <t>102100</t>
  </si>
  <si>
    <t>88797875</t>
  </si>
  <si>
    <t>预售</t>
  </si>
  <si>
    <t>2004-22-P-00105</t>
  </si>
  <si>
    <t>周晨升</t>
  </si>
  <si>
    <t>110102600106275</t>
  </si>
  <si>
    <t>68811353、13911569051</t>
  </si>
  <si>
    <t>3层</t>
  </si>
  <si>
    <t>06号</t>
  </si>
  <si>
    <t>3</t>
  </si>
  <si>
    <t>二室一厅一卫一厨</t>
  </si>
  <si>
    <t>79.79</t>
  </si>
  <si>
    <t>599802</t>
  </si>
  <si>
    <t>2004-22-P-00122</t>
  </si>
  <si>
    <t>陈玉宝、邓改芬</t>
  </si>
  <si>
    <t>110109701030183、110109197007051821</t>
  </si>
  <si>
    <t>13681217023</t>
  </si>
  <si>
    <t>1座</t>
  </si>
  <si>
    <t>4层</t>
  </si>
  <si>
    <t>403号</t>
  </si>
  <si>
    <t>4</t>
  </si>
  <si>
    <t>76.76</t>
  </si>
  <si>
    <t>北京住房公积金管理中心西城第一管理部</t>
  </si>
  <si>
    <t>564088</t>
  </si>
  <si>
    <t>2004-22-P-00183</t>
  </si>
  <si>
    <t>王伟</t>
  </si>
  <si>
    <t>110107196909072413</t>
  </si>
  <si>
    <t>13651306200、88797758</t>
  </si>
  <si>
    <t>12层</t>
  </si>
  <si>
    <t>1206号</t>
  </si>
  <si>
    <t>12</t>
  </si>
  <si>
    <t>76.62</t>
  </si>
  <si>
    <t>599803</t>
  </si>
  <si>
    <t>2004-22-P-00326</t>
  </si>
  <si>
    <t>索雪梅</t>
  </si>
  <si>
    <t>110108791102372</t>
  </si>
  <si>
    <t>13911937658</t>
  </si>
  <si>
    <t>15层</t>
  </si>
  <si>
    <t>01号</t>
  </si>
  <si>
    <t>15</t>
  </si>
  <si>
    <t>二室二厅一卫一厨</t>
  </si>
  <si>
    <t>77.44</t>
  </si>
  <si>
    <t>北京住房公积金管理中心东城第二管理部</t>
  </si>
  <si>
    <t>三</t>
  </si>
  <si>
    <t>599801</t>
  </si>
  <si>
    <t>2004-22-P-00360</t>
  </si>
  <si>
    <t>张旭</t>
  </si>
  <si>
    <t>110109197602160010</t>
  </si>
  <si>
    <t>13651382997</t>
  </si>
  <si>
    <t>2座</t>
  </si>
  <si>
    <t>11层</t>
  </si>
  <si>
    <t>11</t>
  </si>
  <si>
    <t>49.49</t>
  </si>
  <si>
    <t>北京住房公积金管理中心东城第一管理部</t>
  </si>
  <si>
    <t>564090</t>
  </si>
  <si>
    <t>2004-22-P-00552</t>
  </si>
  <si>
    <t>张新建</t>
  </si>
  <si>
    <t>110109691028033</t>
  </si>
  <si>
    <t>13691072937</t>
  </si>
  <si>
    <t>八大处高科技园区海特花园</t>
  </si>
  <si>
    <t>58幢</t>
  </si>
  <si>
    <t>1207号</t>
  </si>
  <si>
    <t>北京实兴经济技术开发总公司</t>
  </si>
  <si>
    <t>三室二厅二卫一厨</t>
  </si>
  <si>
    <t>110.27</t>
  </si>
  <si>
    <t>现房</t>
  </si>
  <si>
    <t>一</t>
  </si>
  <si>
    <t>323578</t>
  </si>
  <si>
    <t>石景山区苹果园北路海特饭店</t>
  </si>
  <si>
    <t>07362675(1-1)</t>
  </si>
  <si>
    <t>韩振北</t>
  </si>
  <si>
    <t>2004-22-P-00678</t>
  </si>
  <si>
    <t>吴彦清</t>
  </si>
  <si>
    <t>110107791012001</t>
  </si>
  <si>
    <t>13366195555、68834053</t>
  </si>
  <si>
    <t>13层</t>
  </si>
  <si>
    <t>1303号</t>
  </si>
  <si>
    <t>13</t>
  </si>
  <si>
    <t>47.01</t>
  </si>
  <si>
    <t>北京住房公积金管理中心宣武第二管理部</t>
  </si>
  <si>
    <t>599807</t>
  </si>
  <si>
    <t>2004-22-P-01132</t>
  </si>
  <si>
    <t>李青</t>
  </si>
  <si>
    <t>110107197304302110</t>
  </si>
  <si>
    <t>13701050377</t>
  </si>
  <si>
    <t>9层</t>
  </si>
  <si>
    <t>9</t>
  </si>
  <si>
    <t>四</t>
  </si>
  <si>
    <t>564051</t>
  </si>
  <si>
    <t>周婷婷</t>
  </si>
  <si>
    <t>2004-22-P-01133</t>
  </si>
  <si>
    <t>卢健</t>
  </si>
  <si>
    <t>11010719750719181x</t>
  </si>
  <si>
    <t>13693222128</t>
  </si>
  <si>
    <t>04号</t>
  </si>
  <si>
    <t>一室一厅一卫一厨</t>
  </si>
  <si>
    <t>564042</t>
  </si>
  <si>
    <t>2004-22-P-01134</t>
  </si>
  <si>
    <t>刘彩霞</t>
  </si>
  <si>
    <t>110107196911280326</t>
  </si>
  <si>
    <t>13301170391</t>
  </si>
  <si>
    <t>564055</t>
  </si>
  <si>
    <t>2004-22-P-01135</t>
  </si>
  <si>
    <t>邵玉琴</t>
  </si>
  <si>
    <t>110107196206160927</t>
  </si>
  <si>
    <t>13910789223</t>
  </si>
  <si>
    <t>564093</t>
  </si>
  <si>
    <t>2004-22-P-01245</t>
  </si>
  <si>
    <t>赵骞</t>
  </si>
  <si>
    <t>130226198011235957</t>
  </si>
  <si>
    <t>13691561980</t>
  </si>
  <si>
    <t>07号</t>
  </si>
  <si>
    <t>75.92</t>
  </si>
  <si>
    <t>599809</t>
  </si>
  <si>
    <t>海特花园</t>
    <phoneticPr fontId="134" type="noConversion"/>
  </si>
  <si>
    <t>居室</t>
  </si>
  <si>
    <t>厨房</t>
  </si>
  <si>
    <t>卫生间</t>
  </si>
  <si>
    <t>公共部分</t>
  </si>
  <si>
    <t>录入、修改时间</t>
  </si>
  <si>
    <t>小区名称</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</si>
  <si>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</si>
  <si>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</si>
  <si>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</si>
  <si>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</si>
  <si>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</si>
  <si>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</si>
  <si>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</si>
  <si>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</si>
  <si>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</si>
  <si>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</si>
  <si>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</si>
  <si>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</si>
  <si>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</si>
  <si>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</si>
  <si>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</si>
  <si>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</si>
  <si>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</si>
  <si>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</si>
  <si>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</si>
  <si>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</si>
  <si>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</si>
  <si>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</si>
  <si>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</si>
  <si>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</si>
  <si>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</si>
  <si>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</si>
  <si>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</si>
  <si>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</si>
  <si>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</si>
  <si>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</si>
  <si>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</si>
  <si>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</si>
  <si>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</si>
  <si>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</si>
  <si>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修改类型</t>
  </si>
  <si>
    <t>商住楼（1-3座）</t>
  </si>
  <si>
    <t>不上人屋面</t>
  </si>
  <si>
    <t>1-2层为人造仿蘑菇石，3层及以上为涂料</t>
  </si>
  <si>
    <t>外窗：塑钢窗；户门：防盗门</t>
  </si>
  <si>
    <t>刮白腻子</t>
  </si>
  <si>
    <t>刮水泥腻子</t>
  </si>
  <si>
    <t>水泥地面</t>
  </si>
  <si>
    <t>首层电梯厅为瓷砖地面，涂料墙面、顶棚</t>
  </si>
  <si>
    <t>电梯厅为瓷砖地面，涂料墙面、顶棚；其他公共部分为水泥地面，涂料墙面、顶棚</t>
  </si>
  <si>
    <t>管道天然气</t>
  </si>
  <si>
    <t>市政集中供暖</t>
  </si>
  <si>
    <t>预留有线电视、电话、ADSL网络接口</t>
  </si>
  <si>
    <t>市政供电</t>
  </si>
  <si>
    <t>市政供水</t>
  </si>
  <si>
    <t>消防栓</t>
  </si>
  <si>
    <t>每座2部电梯</t>
  </si>
  <si>
    <t>保安值勤</t>
  </si>
  <si>
    <t>地上车位、地下车库</t>
  </si>
  <si>
    <t>提供规范物业管理</t>
  </si>
  <si>
    <t>标准居住区</t>
  </si>
  <si>
    <t>市级、区级、小区级√、街区级</t>
  </si>
  <si>
    <t>城市主干道、城市次干道√、支路</t>
  </si>
  <si>
    <t>有399，965，985路等多条公交线路</t>
  </si>
  <si>
    <t>商店√、学校√、托幼√、医疗√、办公、综合服务√、邮电√、变配电站√、水泵房√、锅炉房√、煤气站、天然气站√</t>
  </si>
  <si>
    <t>天然气√、煤气</t>
  </si>
  <si>
    <t>邓晓澜</t>
  </si>
  <si>
    <t>第一季度</t>
  </si>
  <si>
    <t>第二季度</t>
  </si>
  <si>
    <t>第三季度</t>
  </si>
  <si>
    <t>第四季度</t>
  </si>
  <si>
    <t>开发商</t>
  </si>
  <si>
    <t>结构类型</t>
  </si>
  <si>
    <t>共几层</t>
  </si>
  <si>
    <t>房屋所有权证</t>
  </si>
  <si>
    <t>国有土地使用证</t>
  </si>
  <si>
    <t>土地座落</t>
  </si>
  <si>
    <t>土地用途</t>
  </si>
  <si>
    <t>土地面积</t>
  </si>
  <si>
    <t>北至</t>
  </si>
  <si>
    <t>东至</t>
  </si>
  <si>
    <t>南至</t>
  </si>
  <si>
    <t>西至</t>
  </si>
  <si>
    <t>地权起年</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</si>
  <si>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</si>
  <si>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</si>
  <si>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</si>
  <si>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</si>
  <si>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</si>
  <si>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</si>
  <si>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</si>
  <si>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</si>
  <si>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</si>
  <si>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</si>
  <si>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</si>
  <si>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</si>
  <si>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</si>
  <si>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</si>
  <si>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</si>
  <si>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</si>
  <si>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</si>
  <si>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</si>
  <si>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</si>
  <si>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</si>
  <si>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</si>
  <si>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</si>
  <si>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</si>
  <si>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</si>
  <si>
    <t>14-0005</t>
  </si>
  <si>
    <t>剪力墙</t>
  </si>
  <si>
    <t>18（局部16、12、11、2层）</t>
  </si>
  <si>
    <t>京石国用(2003出)字第0074号</t>
  </si>
  <si>
    <t>住宅、配套、地下车库</t>
  </si>
  <si>
    <t>2002规地字0531号</t>
  </si>
  <si>
    <t>2003规建字0200号</t>
  </si>
  <si>
    <t>00（建）2003·1060</t>
  </si>
  <si>
    <t>京房售证字（2003）265号</t>
  </si>
  <si>
    <t>海特花园商住楼</t>
  </si>
  <si>
    <t>2003.8-2005.10</t>
  </si>
  <si>
    <t>彭莹</t>
  </si>
  <si>
    <t>竣工备案</t>
  </si>
  <si>
    <t>暂定资质</t>
  </si>
  <si>
    <t>房地产开发、销售商品房</t>
  </si>
  <si>
    <t>2003.10.28</t>
  </si>
  <si>
    <t>已封顶</t>
  </si>
  <si>
    <t>海特花园57号楼1单元1507号</t>
    <phoneticPr fontId="134" type="noConversion"/>
  </si>
  <si>
    <t>公积金</t>
    <phoneticPr fontId="134" type="noConversion"/>
  </si>
  <si>
    <t>毛坯</t>
  </si>
  <si>
    <t>毛坯</t>
    <phoneticPr fontId="134" type="noConversion"/>
  </si>
  <si>
    <t>1单元401</t>
    <phoneticPr fontId="134" type="noConversion"/>
  </si>
  <si>
    <t>南</t>
  </si>
  <si>
    <t>5/11</t>
    <phoneticPr fontId="24" type="noConversion"/>
  </si>
  <si>
    <t>15/18</t>
    <phoneticPr fontId="24" type="noConversion"/>
  </si>
  <si>
    <t>高楼层</t>
    <phoneticPr fontId="24" type="noConversion"/>
  </si>
  <si>
    <t>塔楼</t>
  </si>
  <si>
    <t>建成年代</t>
    <phoneticPr fontId="24" type="noConversion"/>
  </si>
  <si>
    <t>原始户型</t>
    <phoneticPr fontId="24" type="noConversion"/>
  </si>
  <si>
    <t>毛坯</t>
    <phoneticPr fontId="24" type="noConversion"/>
  </si>
  <si>
    <t>1单元户型</t>
    <phoneticPr fontId="134" type="noConversion"/>
  </si>
  <si>
    <t>经适房单价</t>
    <phoneticPr fontId="24" type="noConversion"/>
  </si>
  <si>
    <t>海特花园</t>
    <phoneticPr fontId="134" type="noConversion"/>
  </si>
  <si>
    <t>2003-22-P-07904</t>
    <phoneticPr fontId="3" type="noConversion"/>
  </si>
  <si>
    <t>赵保山</t>
    <phoneticPr fontId="3" type="noConversion"/>
  </si>
  <si>
    <t>510212651027043</t>
    <phoneticPr fontId="3" type="noConversion"/>
  </si>
  <si>
    <t>13601389599、88793552</t>
    <phoneticPr fontId="3" type="noConversion"/>
  </si>
  <si>
    <t>杨庄大街宏鑫家园</t>
    <phoneticPr fontId="3" type="noConversion"/>
  </si>
  <si>
    <t>B幢</t>
    <phoneticPr fontId="3" type="noConversion"/>
  </si>
  <si>
    <t>一单元</t>
    <phoneticPr fontId="3" type="noConversion"/>
  </si>
  <si>
    <t>803号</t>
    <phoneticPr fontId="3" type="noConversion"/>
  </si>
  <si>
    <t>北京宏鑫源房地产开发有限责任公司</t>
    <phoneticPr fontId="3" type="noConversion"/>
  </si>
  <si>
    <t>三室二厅二卫一厨</t>
    <phoneticPr fontId="3" type="noConversion"/>
  </si>
  <si>
    <t>北京住房公积金管理中心石景山第一管理部</t>
    <phoneticPr fontId="3" type="noConversion"/>
  </si>
  <si>
    <t>结构施工</t>
    <phoneticPr fontId="3" type="noConversion"/>
  </si>
  <si>
    <t>邹晓鸣</t>
    <phoneticPr fontId="3" type="noConversion"/>
  </si>
  <si>
    <t>十二</t>
    <phoneticPr fontId="3" type="noConversion"/>
  </si>
  <si>
    <t>裴蓓</t>
    <phoneticPr fontId="3" type="noConversion"/>
  </si>
  <si>
    <t>北京市石景山区石景山路22号万商大厦1002号</t>
    <phoneticPr fontId="3" type="noConversion"/>
  </si>
  <si>
    <t>1101071319876</t>
    <phoneticPr fontId="3" type="noConversion"/>
  </si>
  <si>
    <t>刘桂兰</t>
    <phoneticPr fontId="3" type="noConversion"/>
  </si>
  <si>
    <t>预售</t>
    <phoneticPr fontId="3" type="noConversion"/>
  </si>
  <si>
    <t>宏鑫家园</t>
  </si>
  <si>
    <t>杨庄大街宏鑫家园B幢一单元803号</t>
    <phoneticPr fontId="134" type="noConversion"/>
  </si>
  <si>
    <t>宏鑫家园</t>
    <phoneticPr fontId="134" type="noConversion"/>
  </si>
  <si>
    <t>14-0029</t>
  </si>
  <si>
    <t>一期B座</t>
  </si>
  <si>
    <t>北京宏鑫源房地产开发有限责任公司</t>
  </si>
  <si>
    <t>京石国用（2003出）字第0039号</t>
  </si>
  <si>
    <t>石景山区杨庄大街宏鑫家园一期</t>
  </si>
  <si>
    <t>住宅、地下车库</t>
  </si>
  <si>
    <t>2002规地字0153号</t>
  </si>
  <si>
    <t>2003规建字0189号</t>
  </si>
  <si>
    <t>00（建）2003.2040</t>
  </si>
  <si>
    <t>京房售证字（2003）348号</t>
  </si>
  <si>
    <t>宏鑫家园一期A、B栋及地下车库</t>
  </si>
  <si>
    <t>2003.11-2004.12</t>
  </si>
  <si>
    <t>魏伯欣</t>
  </si>
  <si>
    <t>房地产开发，销售商品房</t>
  </si>
  <si>
    <t>不确定</t>
    <phoneticPr fontId="3" type="noConversion"/>
  </si>
  <si>
    <t>涂料</t>
  </si>
  <si>
    <t>耐水腻子</t>
  </si>
  <si>
    <t>预留装饰面</t>
  </si>
  <si>
    <t>做完防水层、保护层，预留装饰面</t>
  </si>
  <si>
    <t>石材地面，釉面砖墙面</t>
  </si>
  <si>
    <t>水泥地面，涂料墙面</t>
  </si>
  <si>
    <t>集中供暖</t>
  </si>
  <si>
    <t>有线电视、电话、小区宽带入户</t>
  </si>
  <si>
    <t>电表磁卡计费</t>
  </si>
  <si>
    <t>合资电梯</t>
  </si>
  <si>
    <t>单元对讲系统，电子巡更，保安监视系统</t>
  </si>
  <si>
    <t>地下车库、地上车位</t>
  </si>
  <si>
    <t>混合居住区</t>
  </si>
  <si>
    <t xml:space="preserve">市级、区级、小区级√、街区级    </t>
  </si>
  <si>
    <t>有501、325、336等多条公交线路经过</t>
  </si>
  <si>
    <t>利用周围配套设施</t>
  </si>
  <si>
    <t>周边有501路、325路、336路等多条公交线路，综合评价交通便捷度一般</t>
    <phoneticPr fontId="24" type="noConversion"/>
  </si>
  <si>
    <t>8/14</t>
    <phoneticPr fontId="24" type="noConversion"/>
  </si>
  <si>
    <t>周边有法海寺森林公园及永定河引水渠等自然及人文景观，
综合评价环境状况较好。</t>
    <phoneticPr fontId="24" type="noConversion"/>
  </si>
  <si>
    <t>银行：中国工商银行等金融机构；
医院：北京大学首钢医院等医疗机构；
学校：首钢工学院、北方工业大学、苹果园中学、杨庄中学、苹果园第二小学等教育机构；
商业：当代商城等商业设施；
综合评价公共服务设施齐备度较好。</t>
    <phoneticPr fontId="24" type="noConversion"/>
  </si>
  <si>
    <t>周边有杨庄中区、杨庄北区、西山枫林、黄南苑小区等住宅小区，居住社区成熟度较好。</t>
    <phoneticPr fontId="24" type="noConversion"/>
  </si>
  <si>
    <t>2003-22-P-07966</t>
    <phoneticPr fontId="3" type="noConversion"/>
  </si>
  <si>
    <t>徐建华</t>
    <phoneticPr fontId="3" type="noConversion"/>
  </si>
  <si>
    <t>320106630421127</t>
    <phoneticPr fontId="3" type="noConversion"/>
  </si>
  <si>
    <t>13911584700、88293321、88293093</t>
    <phoneticPr fontId="3" type="noConversion"/>
  </si>
  <si>
    <t>琅山村琳琅庄园1、2、5#住宅楼及地下车库琳琅庄园</t>
    <phoneticPr fontId="3" type="noConversion"/>
  </si>
  <si>
    <t>1#幢</t>
    <phoneticPr fontId="3" type="noConversion"/>
  </si>
  <si>
    <t>1单元</t>
    <phoneticPr fontId="3" type="noConversion"/>
  </si>
  <si>
    <t>402号</t>
    <phoneticPr fontId="3" type="noConversion"/>
  </si>
  <si>
    <t>北京首钢房地产开发有限公司</t>
  </si>
  <si>
    <t>封顶</t>
    <phoneticPr fontId="3" type="noConversion"/>
  </si>
  <si>
    <t>十二</t>
  </si>
  <si>
    <t>五</t>
  </si>
  <si>
    <t>517860</t>
    <phoneticPr fontId="3" type="noConversion"/>
  </si>
  <si>
    <t>北京市石景山区西黄村地勘察院内</t>
  </si>
  <si>
    <t>1100001514245</t>
    <phoneticPr fontId="3" type="noConversion"/>
  </si>
  <si>
    <t>徐凝</t>
    <phoneticPr fontId="3" type="noConversion"/>
  </si>
  <si>
    <t>琳琅庄园</t>
  </si>
  <si>
    <t>琳琅庄园</t>
    <phoneticPr fontId="134" type="noConversion"/>
  </si>
  <si>
    <t>琳琅庄园1号楼1单元402号</t>
    <phoneticPr fontId="134" type="noConversion"/>
  </si>
  <si>
    <t>琳琅四季花园</t>
  </si>
  <si>
    <t>3#、4#</t>
  </si>
  <si>
    <t>外墙涂料</t>
  </si>
  <si>
    <t>外窗：塑钢窗；户门：三防门</t>
  </si>
  <si>
    <t>水泥抹面</t>
  </si>
  <si>
    <t>防水保护层</t>
  </si>
  <si>
    <t>集中供暖，地板采暖</t>
  </si>
  <si>
    <t>电话、有线电视、宽带网入户</t>
  </si>
  <si>
    <t>OTIS电梯</t>
  </si>
  <si>
    <t>每个单元设可视对讲系统，24小时保安值勤</t>
  </si>
  <si>
    <t>地下停车</t>
  </si>
  <si>
    <t>规范化物业管理</t>
  </si>
  <si>
    <t>城市主干道、城市次干道、支路√</t>
  </si>
  <si>
    <t>14-0018</t>
  </si>
  <si>
    <t>1#</t>
  </si>
  <si>
    <t>京石国用（2003出）字第0077号</t>
  </si>
  <si>
    <t>石景山区琅山1、2、5号楼</t>
  </si>
  <si>
    <t>住宅配套公建及地下车库</t>
  </si>
  <si>
    <t>2001规地字0398号</t>
  </si>
  <si>
    <t>2003规建字0697号</t>
  </si>
  <si>
    <t>00（建）2003·2004</t>
  </si>
  <si>
    <t>京房售证字（2003）336号</t>
  </si>
  <si>
    <t>1#、2#、5#楼</t>
  </si>
  <si>
    <t>现房</t>
    <phoneticPr fontId="3" type="noConversion"/>
  </si>
  <si>
    <t>竣工备案</t>
    <phoneticPr fontId="3" type="noConversion"/>
  </si>
  <si>
    <t>二</t>
    <phoneticPr fontId="3" type="noConversion"/>
  </si>
  <si>
    <t>板楼3900、塔楼3700</t>
  </si>
  <si>
    <t>已封顶</t>
    <phoneticPr fontId="3" type="noConversion"/>
  </si>
  <si>
    <t>4/9</t>
    <phoneticPr fontId="24" type="noConversion"/>
  </si>
  <si>
    <t>有965、621、311、318、326路等多条公交线路经过</t>
    <phoneticPr fontId="134" type="noConversion"/>
  </si>
  <si>
    <t>周边有965路、311路、318路、326路等多条公交线路，综合评价交通便捷度一般</t>
    <phoneticPr fontId="24" type="noConversion"/>
  </si>
  <si>
    <t>周边有模式口东里、海特花园、西山枫林、苹果园小区等住宅小区，居住社区成熟度较好。</t>
    <phoneticPr fontId="24" type="noConversion"/>
  </si>
  <si>
    <t>海特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</si>
</sst>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2]General"/>
    <numFmt numFmtId="201" formatCode="[DBNum1][$-804]General"/>
    <numFmt numFmtId="202" formatCode="[DBNum1]General"/>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b/>
      <sz val="9"/>
      <name val="宋体"/>
      <family val="3"/>
      <charset val="134"/>
      <scheme val="minor"/>
    </font>
    <font>
      <b/>
      <sz val="9"/>
      <name val="宋体"/>
      <family val="1"/>
      <scheme val="minor"/>
    </font>
    <font>
      <sz val="10"/>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99"/>
        <bgColor indexed="64"/>
      </patternFill>
    </fill>
    <fill>
      <patternFill patternType="solid">
        <fgColor rgb="FF99CCFF"/>
        <bgColor indexed="64"/>
      </patternFill>
    </fill>
    <fill>
      <patternFill patternType="solid">
        <fgColor rgb="FFC0C0C0"/>
        <bgColor indexed="64"/>
      </patternFill>
    </fill>
    <fill>
      <patternFill patternType="solid">
        <fgColor indexed="44"/>
        <bgColor indexed="64"/>
      </patternFill>
    </fill>
    <fill>
      <patternFill patternType="solid">
        <fgColor rgb="FF00B0F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19" fillId="0" borderId="0" xfId="0" applyFont="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alignment horizontal="center"/>
      <protection locked="0"/>
    </xf>
    <xf numFmtId="176" fontId="19" fillId="22" borderId="176" xfId="0" applyNumberFormat="1" applyFont="1" applyFill="1" applyBorder="1" applyAlignment="1" applyProtection="1">
      <alignment horizontal="center"/>
      <protection locked="0"/>
    </xf>
    <xf numFmtId="185" fontId="19" fillId="22" borderId="176" xfId="0" applyNumberFormat="1" applyFont="1" applyFill="1" applyBorder="1" applyAlignment="1" applyProtection="1">
      <alignment horizontal="center"/>
      <protection locked="0"/>
    </xf>
    <xf numFmtId="198" fontId="19" fillId="22" borderId="176" xfId="0" applyNumberFormat="1" applyFont="1" applyFill="1" applyBorder="1" applyAlignment="1" applyProtection="1">
      <alignment horizontal="center"/>
      <protection locked="0"/>
    </xf>
    <xf numFmtId="31" fontId="19" fillId="22"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alignment horizontal="center"/>
      <protection locked="0"/>
    </xf>
    <xf numFmtId="49" fontId="19" fillId="23" borderId="176" xfId="0" applyNumberFormat="1" applyFont="1" applyFill="1" applyBorder="1" applyAlignment="1" applyProtection="1">
      <alignment horizontal="center"/>
      <protection locked="0"/>
    </xf>
    <xf numFmtId="199" fontId="19" fillId="23" borderId="176" xfId="0" applyNumberFormat="1" applyFont="1" applyFill="1" applyBorder="1" applyAlignment="1" applyProtection="1">
      <alignment horizontal="center"/>
      <protection locked="0"/>
    </xf>
    <xf numFmtId="179" fontId="19" fillId="23" borderId="176" xfId="0" applyNumberFormat="1" applyFont="1" applyFill="1" applyBorder="1" applyAlignment="1" applyProtection="1">
      <alignment horizontal="center"/>
      <protection locked="0"/>
    </xf>
    <xf numFmtId="31" fontId="19" fillId="23" borderId="176" xfId="0" applyNumberFormat="1" applyFont="1" applyFill="1" applyBorder="1" applyAlignment="1" applyProtection="1">
      <alignment horizontal="center"/>
      <protection locked="0"/>
    </xf>
    <xf numFmtId="183" fontId="80"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0" borderId="0" xfId="0" applyFont="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76" fontId="80" fillId="22" borderId="176" xfId="0" applyNumberFormat="1" applyFont="1" applyFill="1" applyBorder="1" applyAlignment="1" applyProtection="1">
      <alignment horizontal="center"/>
      <protection locked="0"/>
    </xf>
    <xf numFmtId="185"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122" fillId="0" borderId="176" xfId="0" applyFont="1" applyBorder="1" applyAlignment="1"/>
    <xf numFmtId="49" fontId="122" fillId="0" borderId="176" xfId="0" applyNumberFormat="1" applyFont="1" applyBorder="1" applyAlignment="1"/>
    <xf numFmtId="49" fontId="122" fillId="0" borderId="176" xfId="0" applyNumberFormat="1" applyFont="1" applyBorder="1" applyAlignment="1">
      <alignment horizontal="left"/>
    </xf>
    <xf numFmtId="176" fontId="122" fillId="0" borderId="176" xfId="0" applyNumberFormat="1" applyFont="1" applyBorder="1" applyAlignment="1">
      <alignment horizontal="right"/>
    </xf>
    <xf numFmtId="49" fontId="122" fillId="0" borderId="176" xfId="0" applyNumberFormat="1" applyFont="1" applyBorder="1" applyAlignment="1">
      <alignment horizontal="right"/>
    </xf>
    <xf numFmtId="0" fontId="122" fillId="0" borderId="176" xfId="0" applyFont="1" applyBorder="1" applyAlignment="1">
      <alignment horizontal="left"/>
    </xf>
    <xf numFmtId="185" fontId="122" fillId="0" borderId="176" xfId="0" applyNumberFormat="1" applyFont="1" applyBorder="1" applyAlignment="1">
      <alignment horizontal="right"/>
    </xf>
    <xf numFmtId="200" fontId="122" fillId="0" borderId="176" xfId="0" applyNumberFormat="1" applyFont="1" applyBorder="1" applyAlignment="1"/>
    <xf numFmtId="9" fontId="122" fillId="0" borderId="176" xfId="0" applyNumberFormat="1" applyFont="1" applyBorder="1" applyAlignment="1"/>
    <xf numFmtId="2" fontId="122" fillId="0" borderId="176" xfId="0" applyNumberFormat="1" applyFont="1" applyBorder="1" applyAlignment="1">
      <alignment horizontal="right"/>
    </xf>
    <xf numFmtId="198" fontId="122" fillId="0" borderId="176" xfId="0" applyNumberFormat="1" applyFont="1" applyBorder="1" applyAlignment="1">
      <alignment horizontal="right"/>
    </xf>
    <xf numFmtId="0" fontId="122" fillId="0" borderId="176" xfId="0" applyFont="1" applyBorder="1" applyAlignment="1" applyProtection="1">
      <protection locked="0"/>
    </xf>
    <xf numFmtId="0" fontId="122" fillId="0" borderId="176" xfId="0" applyFont="1" applyBorder="1" applyAlignment="1">
      <alignment horizontal="right"/>
    </xf>
    <xf numFmtId="49" fontId="122" fillId="0" borderId="176" xfId="0" applyNumberFormat="1" applyFont="1" applyBorder="1" applyAlignment="1">
      <alignment horizontal="center"/>
    </xf>
    <xf numFmtId="31" fontId="122" fillId="0" borderId="176" xfId="0" applyNumberFormat="1" applyFont="1" applyBorder="1" applyAlignment="1">
      <alignment horizontal="right"/>
    </xf>
    <xf numFmtId="201" fontId="122" fillId="0" borderId="176" xfId="0" applyNumberFormat="1" applyFont="1" applyBorder="1" applyAlignment="1">
      <alignment horizontal="left"/>
    </xf>
    <xf numFmtId="0" fontId="122" fillId="0" borderId="176" xfId="0" applyFont="1" applyBorder="1" applyAlignment="1">
      <alignment horizontal="center"/>
    </xf>
    <xf numFmtId="49" fontId="122" fillId="0" borderId="176" xfId="0" applyNumberFormat="1" applyFont="1" applyBorder="1" applyAlignment="1" applyProtection="1">
      <protection locked="0"/>
    </xf>
    <xf numFmtId="49" fontId="122" fillId="0" borderId="176" xfId="0" applyNumberFormat="1" applyFont="1" applyBorder="1" applyAlignment="1" applyProtection="1">
      <alignment horizontal="right"/>
      <protection locked="0"/>
    </xf>
    <xf numFmtId="176" fontId="122" fillId="0" borderId="176" xfId="0" applyNumberFormat="1" applyFont="1" applyBorder="1" applyAlignment="1"/>
    <xf numFmtId="31" fontId="122" fillId="0" borderId="176" xfId="0" applyNumberFormat="1" applyFont="1" applyBorder="1" applyAlignment="1"/>
    <xf numFmtId="0" fontId="122" fillId="0" borderId="0" xfId="0" applyFont="1" applyAlignment="1"/>
    <xf numFmtId="49" fontId="122" fillId="0" borderId="0" xfId="0" applyNumberFormat="1" applyFont="1" applyAlignment="1"/>
    <xf numFmtId="200" fontId="122" fillId="0" borderId="176" xfId="0" applyNumberFormat="1" applyFont="1" applyBorder="1" applyAlignment="1">
      <alignment horizontal="right"/>
    </xf>
    <xf numFmtId="202" fontId="122" fillId="0" borderId="176" xfId="0" applyNumberFormat="1" applyFont="1" applyBorder="1" applyAlignment="1">
      <alignment horizontal="center"/>
    </xf>
    <xf numFmtId="0" fontId="122" fillId="0" borderId="176" xfId="0" applyFont="1" applyBorder="1" applyAlignment="1" applyProtection="1">
      <alignment horizontal="center"/>
      <protection locked="0"/>
    </xf>
    <xf numFmtId="0" fontId="122" fillId="5" borderId="176" xfId="0" applyFont="1" applyFill="1" applyBorder="1" applyAlignment="1"/>
    <xf numFmtId="49" fontId="122" fillId="5" borderId="176" xfId="0" applyNumberFormat="1" applyFont="1" applyFill="1" applyBorder="1" applyAlignment="1"/>
    <xf numFmtId="49" fontId="122" fillId="5" borderId="176" xfId="0" applyNumberFormat="1" applyFont="1" applyFill="1" applyBorder="1" applyAlignment="1">
      <alignment horizontal="left"/>
    </xf>
    <xf numFmtId="176" fontId="122" fillId="5" borderId="176" xfId="0" applyNumberFormat="1" applyFont="1" applyFill="1" applyBorder="1" applyAlignment="1">
      <alignment horizontal="right"/>
    </xf>
    <xf numFmtId="49" fontId="122" fillId="5" borderId="176" xfId="0" applyNumberFormat="1" applyFont="1" applyFill="1" applyBorder="1" applyAlignment="1">
      <alignment horizontal="right"/>
    </xf>
    <xf numFmtId="185" fontId="122" fillId="5" borderId="176" xfId="0" applyNumberFormat="1" applyFont="1" applyFill="1" applyBorder="1" applyAlignment="1">
      <alignment horizontal="right"/>
    </xf>
    <xf numFmtId="200" fontId="122" fillId="5" borderId="176" xfId="0" applyNumberFormat="1" applyFont="1" applyFill="1" applyBorder="1" applyAlignment="1"/>
    <xf numFmtId="9" fontId="122" fillId="5" borderId="176" xfId="0" applyNumberFormat="1" applyFont="1" applyFill="1" applyBorder="1" applyAlignment="1"/>
    <xf numFmtId="2" fontId="122" fillId="5" borderId="176" xfId="0" applyNumberFormat="1" applyFont="1" applyFill="1" applyBorder="1" applyAlignment="1">
      <alignment horizontal="right"/>
    </xf>
    <xf numFmtId="198" fontId="122" fillId="5" borderId="176" xfId="0" applyNumberFormat="1" applyFont="1" applyFill="1" applyBorder="1" applyAlignment="1">
      <alignment horizontal="right"/>
    </xf>
    <xf numFmtId="0" fontId="122" fillId="5" borderId="176" xfId="0" applyFont="1" applyFill="1" applyBorder="1" applyAlignment="1" applyProtection="1">
      <protection locked="0"/>
    </xf>
    <xf numFmtId="0" fontId="122" fillId="5" borderId="176" xfId="0" applyFont="1" applyFill="1" applyBorder="1" applyAlignment="1">
      <alignment horizontal="right"/>
    </xf>
    <xf numFmtId="49" fontId="122" fillId="5" borderId="176" xfId="0" applyNumberFormat="1" applyFont="1" applyFill="1" applyBorder="1" applyAlignment="1">
      <alignment horizontal="center"/>
    </xf>
    <xf numFmtId="31" fontId="122" fillId="5" borderId="176" xfId="0" applyNumberFormat="1" applyFont="1" applyFill="1" applyBorder="1" applyAlignment="1">
      <alignment horizontal="right"/>
    </xf>
    <xf numFmtId="201" fontId="122" fillId="5" borderId="176" xfId="0" applyNumberFormat="1" applyFont="1" applyFill="1" applyBorder="1" applyAlignment="1">
      <alignment horizontal="left"/>
    </xf>
    <xf numFmtId="0" fontId="122" fillId="5" borderId="176" xfId="0" applyFont="1" applyFill="1" applyBorder="1" applyAlignment="1">
      <alignment horizontal="center"/>
    </xf>
    <xf numFmtId="49" fontId="122" fillId="5" borderId="176" xfId="0" applyNumberFormat="1" applyFont="1" applyFill="1" applyBorder="1" applyAlignment="1" applyProtection="1">
      <protection locked="0"/>
    </xf>
    <xf numFmtId="49" fontId="122" fillId="5" borderId="176" xfId="0" applyNumberFormat="1" applyFont="1" applyFill="1" applyBorder="1" applyAlignment="1" applyProtection="1">
      <alignment horizontal="right"/>
      <protection locked="0"/>
    </xf>
    <xf numFmtId="176" fontId="122" fillId="5" borderId="176" xfId="0" applyNumberFormat="1" applyFont="1" applyFill="1" applyBorder="1" applyAlignment="1"/>
    <xf numFmtId="31" fontId="122" fillId="5" borderId="176" xfId="0" applyNumberFormat="1" applyFont="1" applyFill="1" applyBorder="1" applyAlignment="1"/>
    <xf numFmtId="0" fontId="122" fillId="5" borderId="0" xfId="0" applyFont="1" applyFill="1" applyAlignment="1"/>
    <xf numFmtId="49" fontId="122" fillId="5" borderId="0" xfId="0" applyNumberFormat="1" applyFont="1" applyFill="1" applyAlignment="1"/>
    <xf numFmtId="0" fontId="129" fillId="5" borderId="176" xfId="0" applyFont="1" applyFill="1" applyBorder="1" applyAlignment="1"/>
    <xf numFmtId="49" fontId="129" fillId="5" borderId="176" xfId="0" applyNumberFormat="1" applyFont="1" applyFill="1" applyBorder="1" applyAlignment="1"/>
    <xf numFmtId="49" fontId="129" fillId="5" borderId="176" xfId="0" applyNumberFormat="1" applyFont="1" applyFill="1" applyBorder="1" applyAlignment="1">
      <alignment horizontal="left"/>
    </xf>
    <xf numFmtId="176" fontId="129" fillId="5" borderId="176" xfId="0" applyNumberFormat="1" applyFont="1" applyFill="1" applyBorder="1" applyAlignment="1">
      <alignment horizontal="right"/>
    </xf>
    <xf numFmtId="49" fontId="129" fillId="5" borderId="176" xfId="0" applyNumberFormat="1" applyFont="1" applyFill="1" applyBorder="1" applyAlignment="1">
      <alignment horizontal="right"/>
    </xf>
    <xf numFmtId="185" fontId="129" fillId="5" borderId="176" xfId="0" applyNumberFormat="1" applyFont="1" applyFill="1" applyBorder="1" applyAlignment="1">
      <alignment horizontal="right"/>
    </xf>
    <xf numFmtId="200" fontId="129" fillId="5" borderId="176" xfId="0" applyNumberFormat="1" applyFont="1" applyFill="1" applyBorder="1" applyAlignment="1"/>
    <xf numFmtId="9" fontId="129" fillId="5" borderId="176" xfId="0" applyNumberFormat="1" applyFont="1" applyFill="1" applyBorder="1" applyAlignment="1"/>
    <xf numFmtId="2" fontId="129" fillId="5" borderId="176" xfId="0" applyNumberFormat="1" applyFont="1" applyFill="1" applyBorder="1" applyAlignment="1">
      <alignment horizontal="right"/>
    </xf>
    <xf numFmtId="198" fontId="129" fillId="5" borderId="176" xfId="0" applyNumberFormat="1" applyFont="1" applyFill="1" applyBorder="1" applyAlignment="1">
      <alignment horizontal="right"/>
    </xf>
    <xf numFmtId="0" fontId="129" fillId="5" borderId="176" xfId="0" applyFont="1" applyFill="1" applyBorder="1" applyAlignment="1" applyProtection="1">
      <protection locked="0"/>
    </xf>
    <xf numFmtId="0" fontId="129" fillId="5" borderId="176" xfId="0" applyFont="1" applyFill="1" applyBorder="1" applyAlignment="1">
      <alignment horizontal="right"/>
    </xf>
    <xf numFmtId="49" fontId="129" fillId="5" borderId="176" xfId="0" applyNumberFormat="1" applyFont="1" applyFill="1" applyBorder="1" applyAlignment="1">
      <alignment horizontal="center"/>
    </xf>
    <xf numFmtId="31" fontId="129" fillId="5" borderId="176" xfId="0" applyNumberFormat="1" applyFont="1" applyFill="1" applyBorder="1" applyAlignment="1">
      <alignment horizontal="right"/>
    </xf>
    <xf numFmtId="201" fontId="129" fillId="5" borderId="176" xfId="0" applyNumberFormat="1" applyFont="1" applyFill="1" applyBorder="1" applyAlignment="1">
      <alignment horizontal="left"/>
    </xf>
    <xf numFmtId="0" fontId="129" fillId="5" borderId="176" xfId="0" applyFont="1" applyFill="1" applyBorder="1" applyAlignment="1">
      <alignment horizontal="center"/>
    </xf>
    <xf numFmtId="49" fontId="129" fillId="5" borderId="176" xfId="0" applyNumberFormat="1" applyFont="1" applyFill="1" applyBorder="1" applyAlignment="1" applyProtection="1">
      <protection locked="0"/>
    </xf>
    <xf numFmtId="49" fontId="129" fillId="5" borderId="176" xfId="0" applyNumberFormat="1" applyFont="1" applyFill="1" applyBorder="1" applyAlignment="1" applyProtection="1">
      <alignment horizontal="right"/>
      <protection locked="0"/>
    </xf>
    <xf numFmtId="176" fontId="129" fillId="5" borderId="176" xfId="0" applyNumberFormat="1" applyFont="1" applyFill="1" applyBorder="1" applyAlignment="1"/>
    <xf numFmtId="31" fontId="129" fillId="5" borderId="176" xfId="0" applyNumberFormat="1" applyFont="1" applyFill="1" applyBorder="1" applyAlignment="1"/>
    <xf numFmtId="0" fontId="129" fillId="5" borderId="0" xfId="0" applyFont="1" applyFill="1" applyAlignment="1"/>
    <xf numFmtId="49" fontId="129" fillId="5" borderId="0" xfId="0" applyNumberFormat="1" applyFont="1" applyFill="1" applyAlignment="1"/>
    <xf numFmtId="0" fontId="129" fillId="5" borderId="176" xfId="0" applyFont="1" applyFill="1" applyBorder="1" applyAlignment="1">
      <alignment horizontal="left"/>
    </xf>
    <xf numFmtId="0" fontId="19" fillId="5" borderId="176" xfId="0" applyFont="1" applyFill="1" applyBorder="1" applyAlignment="1"/>
    <xf numFmtId="49" fontId="19" fillId="5" borderId="176" xfId="0" applyNumberFormat="1" applyFont="1" applyFill="1" applyBorder="1" applyAlignment="1"/>
    <xf numFmtId="49" fontId="19" fillId="5" borderId="176" xfId="0" applyNumberFormat="1" applyFont="1" applyFill="1" applyBorder="1" applyAlignment="1">
      <alignment horizontal="left"/>
    </xf>
    <xf numFmtId="176" fontId="19" fillId="5" borderId="176" xfId="0" applyNumberFormat="1" applyFont="1" applyFill="1" applyBorder="1" applyAlignment="1">
      <alignment horizontal="right"/>
    </xf>
    <xf numFmtId="49" fontId="19" fillId="5" borderId="176" xfId="0" applyNumberFormat="1" applyFont="1" applyFill="1" applyBorder="1" applyAlignment="1">
      <alignment horizontal="right"/>
    </xf>
    <xf numFmtId="185" fontId="19" fillId="5" borderId="176" xfId="0" applyNumberFormat="1" applyFont="1" applyFill="1" applyBorder="1" applyAlignment="1">
      <alignment horizontal="right"/>
    </xf>
    <xf numFmtId="200" fontId="19" fillId="5" borderId="176" xfId="0" applyNumberFormat="1" applyFont="1" applyFill="1" applyBorder="1" applyAlignment="1"/>
    <xf numFmtId="9" fontId="19" fillId="5" borderId="176" xfId="0" applyNumberFormat="1" applyFont="1" applyFill="1" applyBorder="1" applyAlignment="1"/>
    <xf numFmtId="2" fontId="19" fillId="5" borderId="176" xfId="0" applyNumberFormat="1" applyFont="1" applyFill="1" applyBorder="1" applyAlignment="1">
      <alignment horizontal="right"/>
    </xf>
    <xf numFmtId="198" fontId="19" fillId="5" borderId="176" xfId="0" applyNumberFormat="1" applyFont="1" applyFill="1" applyBorder="1" applyAlignment="1">
      <alignment horizontal="right"/>
    </xf>
    <xf numFmtId="0" fontId="19" fillId="5" borderId="176" xfId="0" applyFont="1" applyFill="1" applyBorder="1" applyAlignment="1" applyProtection="1">
      <protection locked="0"/>
    </xf>
    <xf numFmtId="0" fontId="19" fillId="5" borderId="176" xfId="0" applyFont="1" applyFill="1" applyBorder="1" applyAlignment="1">
      <alignment horizontal="right"/>
    </xf>
    <xf numFmtId="49" fontId="19" fillId="5" borderId="176" xfId="0" applyNumberFormat="1" applyFont="1" applyFill="1" applyBorder="1" applyAlignment="1">
      <alignment horizontal="center"/>
    </xf>
    <xf numFmtId="31" fontId="19" fillId="5" borderId="176" xfId="0" applyNumberFormat="1" applyFont="1" applyFill="1" applyBorder="1" applyAlignment="1">
      <alignment horizontal="right"/>
    </xf>
    <xf numFmtId="201" fontId="19" fillId="5" borderId="176" xfId="0" applyNumberFormat="1" applyFont="1" applyFill="1" applyBorder="1" applyAlignment="1">
      <alignment horizontal="left"/>
    </xf>
    <xf numFmtId="0" fontId="19" fillId="5" borderId="176" xfId="0" applyFont="1" applyFill="1" applyBorder="1" applyAlignment="1">
      <alignment horizontal="center"/>
    </xf>
    <xf numFmtId="49" fontId="19" fillId="5" borderId="176" xfId="0" applyNumberFormat="1" applyFont="1" applyFill="1" applyBorder="1" applyAlignment="1" applyProtection="1">
      <protection locked="0"/>
    </xf>
    <xf numFmtId="49" fontId="19" fillId="5" borderId="176" xfId="0" applyNumberFormat="1" applyFont="1" applyFill="1" applyBorder="1" applyAlignment="1" applyProtection="1">
      <alignment horizontal="right"/>
      <protection locked="0"/>
    </xf>
    <xf numFmtId="176" fontId="19" fillId="5" borderId="176" xfId="0" applyNumberFormat="1" applyFont="1" applyFill="1" applyBorder="1" applyAlignment="1"/>
    <xf numFmtId="31" fontId="19" fillId="5" borderId="176" xfId="0" applyNumberFormat="1" applyFont="1" applyFill="1" applyBorder="1" applyAlignment="1"/>
    <xf numFmtId="0" fontId="19" fillId="5" borderId="0" xfId="0" applyFont="1" applyFill="1" applyAlignment="1"/>
    <xf numFmtId="49" fontId="19" fillId="5" borderId="0" xfId="0" applyNumberFormat="1" applyFont="1" applyFill="1" applyAlignment="1"/>
    <xf numFmtId="0" fontId="19" fillId="0" borderId="0" xfId="0" applyFont="1" applyAlignment="1"/>
    <xf numFmtId="9" fontId="80" fillId="22" borderId="176" xfId="0" applyNumberFormat="1" applyFont="1" applyFill="1" applyBorder="1" applyAlignment="1">
      <alignment horizontal="center"/>
    </xf>
    <xf numFmtId="0" fontId="80" fillId="22" borderId="179" xfId="0" applyFont="1" applyFill="1" applyBorder="1" applyAlignment="1">
      <alignment horizontal="center"/>
    </xf>
    <xf numFmtId="9" fontId="80" fillId="22" borderId="179" xfId="0" applyNumberFormat="1" applyFont="1" applyFill="1" applyBorder="1" applyAlignment="1">
      <alignment horizontal="center"/>
    </xf>
    <xf numFmtId="0" fontId="19" fillId="23" borderId="176" xfId="0" applyFont="1" applyFill="1" applyBorder="1" applyAlignment="1"/>
    <xf numFmtId="9" fontId="19" fillId="23" borderId="176" xfId="0" applyNumberFormat="1" applyFont="1" applyFill="1" applyBorder="1" applyAlignment="1"/>
    <xf numFmtId="0" fontId="19" fillId="0" borderId="0" xfId="0" applyFont="1" applyAlignment="1">
      <alignment horizontal="left"/>
    </xf>
    <xf numFmtId="178" fontId="80" fillId="22" borderId="176" xfId="0" applyNumberFormat="1" applyFont="1" applyFill="1" applyBorder="1" applyAlignment="1">
      <alignment horizontal="center"/>
    </xf>
    <xf numFmtId="31" fontId="80" fillId="22" borderId="176" xfId="0" applyNumberFormat="1" applyFont="1" applyFill="1" applyBorder="1" applyAlignment="1">
      <alignment horizontal="center"/>
    </xf>
    <xf numFmtId="0" fontId="176" fillId="22" borderId="176" xfId="0" applyFont="1" applyFill="1" applyBorder="1" applyAlignment="1">
      <alignment horizontal="center"/>
    </xf>
    <xf numFmtId="31" fontId="176" fillId="22" borderId="176" xfId="0" applyNumberFormat="1" applyFont="1" applyFill="1" applyBorder="1" applyAlignment="1">
      <alignment horizontal="center"/>
    </xf>
    <xf numFmtId="49" fontId="19" fillId="23" borderId="176" xfId="0" applyNumberFormat="1" applyFont="1" applyFill="1" applyBorder="1" applyAlignment="1">
      <alignment horizontal="left"/>
    </xf>
    <xf numFmtId="0" fontId="19" fillId="23" borderId="176" xfId="0" applyFont="1" applyFill="1" applyBorder="1" applyAlignment="1">
      <alignment horizontal="left"/>
    </xf>
    <xf numFmtId="0" fontId="19" fillId="23" borderId="176" xfId="0" applyFont="1" applyFill="1" applyBorder="1" applyAlignment="1">
      <alignment horizontal="right"/>
    </xf>
    <xf numFmtId="178" fontId="184" fillId="23" borderId="176" xfId="0" applyNumberFormat="1" applyFont="1" applyFill="1" applyBorder="1" applyAlignment="1" applyProtection="1">
      <alignment horizontal="left"/>
      <protection locked="0"/>
    </xf>
    <xf numFmtId="31" fontId="19" fillId="23" borderId="176" xfId="0" applyNumberFormat="1" applyFont="1" applyFill="1" applyBorder="1" applyAlignment="1">
      <alignment horizontal="left"/>
    </xf>
    <xf numFmtId="0" fontId="19" fillId="23" borderId="176" xfId="0" applyFont="1" applyFill="1" applyBorder="1" applyAlignment="1">
      <alignment horizontal="center"/>
    </xf>
    <xf numFmtId="31" fontId="19" fillId="23" borderId="176" xfId="0" applyNumberFormat="1" applyFont="1" applyFill="1" applyBorder="1" applyAlignment="1"/>
    <xf numFmtId="0" fontId="184" fillId="23" borderId="176" xfId="0" applyFont="1" applyFill="1" applyBorder="1" applyAlignment="1">
      <alignment horizontal="left"/>
    </xf>
    <xf numFmtId="31" fontId="184" fillId="23" borderId="176" xfId="0" applyNumberFormat="1" applyFont="1" applyFill="1" applyBorder="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0" fontId="51" fillId="9" borderId="6" xfId="0" applyFont="1" applyFill="1" applyBorder="1" applyAlignment="1" applyProtection="1">
      <alignment horizontal="center" vertical="center" wrapText="1"/>
      <protection locked="0"/>
    </xf>
    <xf numFmtId="188" fontId="44" fillId="9" borderId="24" xfId="0" applyNumberFormat="1" applyFont="1" applyFill="1" applyBorder="1" applyAlignment="1">
      <alignment horizontal="center" vertical="center" wrapText="1"/>
    </xf>
    <xf numFmtId="49" fontId="19" fillId="25" borderId="176" xfId="0" applyNumberFormat="1" applyFont="1" applyFill="1" applyBorder="1" applyAlignment="1">
      <alignment horizontal="left"/>
    </xf>
    <xf numFmtId="0" fontId="19" fillId="25" borderId="176" xfId="0" applyFont="1" applyFill="1" applyBorder="1" applyAlignment="1">
      <alignment horizontal="left"/>
    </xf>
    <xf numFmtId="0" fontId="19" fillId="25" borderId="176" xfId="0" applyFont="1" applyFill="1" applyBorder="1" applyAlignment="1">
      <alignment horizontal="right"/>
    </xf>
    <xf numFmtId="178" fontId="184" fillId="25" borderId="176" xfId="0" applyNumberFormat="1" applyFont="1" applyFill="1" applyBorder="1" applyAlignment="1" applyProtection="1">
      <alignment horizontal="left"/>
      <protection locked="0"/>
    </xf>
    <xf numFmtId="31" fontId="19" fillId="25" borderId="176" xfId="0" applyNumberFormat="1" applyFont="1" applyFill="1" applyBorder="1" applyAlignment="1">
      <alignment horizontal="left"/>
    </xf>
    <xf numFmtId="0" fontId="19" fillId="25" borderId="176" xfId="0" applyFont="1" applyFill="1" applyBorder="1" applyAlignment="1">
      <alignment horizontal="center"/>
    </xf>
    <xf numFmtId="31" fontId="19" fillId="25" borderId="176" xfId="0" applyNumberFormat="1" applyFont="1" applyFill="1" applyBorder="1" applyAlignment="1"/>
    <xf numFmtId="0" fontId="184" fillId="25" borderId="176" xfId="0" applyFont="1" applyFill="1" applyBorder="1" applyAlignment="1">
      <alignment horizontal="left"/>
    </xf>
    <xf numFmtId="31" fontId="184" fillId="25" borderId="176" xfId="0" applyNumberFormat="1" applyFont="1" applyFill="1" applyBorder="1" applyAlignment="1">
      <alignment horizontal="left"/>
    </xf>
    <xf numFmtId="31" fontId="19" fillId="25" borderId="176" xfId="0" applyNumberFormat="1" applyFont="1" applyFill="1" applyBorder="1" applyAlignment="1">
      <alignment horizontal="center"/>
    </xf>
    <xf numFmtId="0" fontId="19" fillId="25" borderId="176" xfId="0" applyFont="1" applyFill="1" applyBorder="1" applyAlignment="1"/>
    <xf numFmtId="9" fontId="19" fillId="25" borderId="176" xfId="0" applyNumberFormat="1" applyFont="1" applyFill="1" applyBorder="1" applyAlignment="1"/>
    <xf numFmtId="31" fontId="19" fillId="25" borderId="176" xfId="0" applyNumberFormat="1" applyFont="1" applyFill="1" applyBorder="1" applyAlignment="1" applyProtection="1">
      <alignment horizontal="center"/>
      <protection locked="0"/>
    </xf>
    <xf numFmtId="0" fontId="275" fillId="6" borderId="48"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177" xfId="0" applyFont="1" applyFill="1" applyBorder="1" applyAlignment="1" applyProtection="1">
      <alignment horizontal="center"/>
      <protection locked="0"/>
    </xf>
    <xf numFmtId="0" fontId="80" fillId="22" borderId="178" xfId="0"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8" fillId="26" borderId="48" xfId="0" applyFont="1" applyFill="1" applyBorder="1" applyAlignment="1">
      <alignment horizontal="center" vertical="center" wrapText="1"/>
    </xf>
    <xf numFmtId="0" fontId="58" fillId="26" borderId="48" xfId="0" applyFont="1" applyFill="1" applyBorder="1" applyAlignment="1" applyProtection="1">
      <alignment horizontal="center" vertical="center" wrapText="1"/>
      <protection locked="0"/>
    </xf>
    <xf numFmtId="0" fontId="44" fillId="26" borderId="8"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40</xdr:row>
      <xdr:rowOff>209550</xdr:rowOff>
    </xdr:from>
    <xdr:to>
      <xdr:col>19</xdr:col>
      <xdr:colOff>409575</xdr:colOff>
      <xdr:row>60</xdr:row>
      <xdr:rowOff>76806</xdr:rowOff>
    </xdr:to>
    <xdr:pic>
      <xdr:nvPicPr>
        <xdr:cNvPr id="7" name="图片 6">
          <a:extLst>
            <a:ext uri="{FF2B5EF4-FFF2-40B4-BE49-F238E27FC236}">
              <a16:creationId xmlns:a16="http://schemas.microsoft.com/office/drawing/2014/main" id="{5B586D78-B659-839F-0E55-6E9876B48FD0}"/>
            </a:ext>
          </a:extLst>
        </xdr:cNvPr>
        <xdr:cNvPicPr>
          <a:picLocks noChangeAspect="1"/>
        </xdr:cNvPicPr>
      </xdr:nvPicPr>
      <xdr:blipFill>
        <a:blip xmlns:r="http://schemas.openxmlformats.org/officeDocument/2006/relationships" r:embed="rId1"/>
        <a:stretch>
          <a:fillRect/>
        </a:stretch>
      </xdr:blipFill>
      <xdr:spPr>
        <a:xfrm>
          <a:off x="47625" y="9163050"/>
          <a:ext cx="18611850" cy="3582006"/>
        </a:xfrm>
        <a:prstGeom prst="rect">
          <a:avLst/>
        </a:prstGeom>
      </xdr:spPr>
    </xdr:pic>
    <xdr:clientData/>
  </xdr:twoCellAnchor>
  <xdr:twoCellAnchor editAs="oneCell">
    <xdr:from>
      <xdr:col>0</xdr:col>
      <xdr:colOff>314325</xdr:colOff>
      <xdr:row>65</xdr:row>
      <xdr:rowOff>114300</xdr:rowOff>
    </xdr:from>
    <xdr:to>
      <xdr:col>8</xdr:col>
      <xdr:colOff>675005</xdr:colOff>
      <xdr:row>84</xdr:row>
      <xdr:rowOff>18655</xdr:rowOff>
    </xdr:to>
    <xdr:pic>
      <xdr:nvPicPr>
        <xdr:cNvPr id="10" name="图片 9">
          <a:extLst>
            <a:ext uri="{FF2B5EF4-FFF2-40B4-BE49-F238E27FC236}">
              <a16:creationId xmlns:a16="http://schemas.microsoft.com/office/drawing/2014/main" id="{57F2E732-CF9D-1738-951D-4E4FD19BABAD}"/>
            </a:ext>
          </a:extLst>
        </xdr:cNvPr>
        <xdr:cNvPicPr>
          <a:picLocks noChangeAspect="1"/>
        </xdr:cNvPicPr>
      </xdr:nvPicPr>
      <xdr:blipFill>
        <a:blip xmlns:r="http://schemas.openxmlformats.org/officeDocument/2006/relationships" r:embed="rId2"/>
        <a:stretch>
          <a:fillRect/>
        </a:stretch>
      </xdr:blipFill>
      <xdr:spPr>
        <a:xfrm>
          <a:off x="314325" y="14544675"/>
          <a:ext cx="10161905" cy="3161905"/>
        </a:xfrm>
        <a:prstGeom prst="rect">
          <a:avLst/>
        </a:prstGeom>
      </xdr:spPr>
    </xdr:pic>
    <xdr:clientData/>
  </xdr:twoCellAnchor>
  <xdr:twoCellAnchor editAs="oneCell">
    <xdr:from>
      <xdr:col>0</xdr:col>
      <xdr:colOff>304800</xdr:colOff>
      <xdr:row>84</xdr:row>
      <xdr:rowOff>57150</xdr:rowOff>
    </xdr:from>
    <xdr:to>
      <xdr:col>8</xdr:col>
      <xdr:colOff>189289</xdr:colOff>
      <xdr:row>116</xdr:row>
      <xdr:rowOff>161226</xdr:rowOff>
    </xdr:to>
    <xdr:pic>
      <xdr:nvPicPr>
        <xdr:cNvPr id="14" name="图片 13">
          <a:extLst>
            <a:ext uri="{FF2B5EF4-FFF2-40B4-BE49-F238E27FC236}">
              <a16:creationId xmlns:a16="http://schemas.microsoft.com/office/drawing/2014/main" id="{33324829-AE51-CCD5-D4CD-3035A6DC660F}"/>
            </a:ext>
          </a:extLst>
        </xdr:cNvPr>
        <xdr:cNvPicPr>
          <a:picLocks noChangeAspect="1"/>
        </xdr:cNvPicPr>
      </xdr:nvPicPr>
      <xdr:blipFill>
        <a:blip xmlns:r="http://schemas.openxmlformats.org/officeDocument/2006/relationships" r:embed="rId3"/>
        <a:stretch>
          <a:fillRect/>
        </a:stretch>
      </xdr:blipFill>
      <xdr:spPr>
        <a:xfrm>
          <a:off x="304800" y="17745075"/>
          <a:ext cx="9685714" cy="5590476"/>
        </a:xfrm>
        <a:prstGeom prst="rect">
          <a:avLst/>
        </a:prstGeom>
      </xdr:spPr>
    </xdr:pic>
    <xdr:clientData/>
  </xdr:twoCellAnchor>
  <xdr:twoCellAnchor editAs="oneCell">
    <xdr:from>
      <xdr:col>12</xdr:col>
      <xdr:colOff>85725</xdr:colOff>
      <xdr:row>62</xdr:row>
      <xdr:rowOff>142875</xdr:rowOff>
    </xdr:from>
    <xdr:to>
      <xdr:col>24</xdr:col>
      <xdr:colOff>284509</xdr:colOff>
      <xdr:row>73</xdr:row>
      <xdr:rowOff>123592</xdr:rowOff>
    </xdr:to>
    <xdr:pic>
      <xdr:nvPicPr>
        <xdr:cNvPr id="17" name="图片 16">
          <a:extLst>
            <a:ext uri="{FF2B5EF4-FFF2-40B4-BE49-F238E27FC236}">
              <a16:creationId xmlns:a16="http://schemas.microsoft.com/office/drawing/2014/main" id="{913BFE42-48F7-2D1B-3E51-412576E4D4A9}"/>
            </a:ext>
          </a:extLst>
        </xdr:cNvPr>
        <xdr:cNvPicPr>
          <a:picLocks noChangeAspect="1"/>
        </xdr:cNvPicPr>
      </xdr:nvPicPr>
      <xdr:blipFill>
        <a:blip xmlns:r="http://schemas.openxmlformats.org/officeDocument/2006/relationships" r:embed="rId4"/>
        <a:stretch>
          <a:fillRect/>
        </a:stretch>
      </xdr:blipFill>
      <xdr:spPr>
        <a:xfrm>
          <a:off x="13068300" y="13154025"/>
          <a:ext cx="9923809" cy="1866667"/>
        </a:xfrm>
        <a:prstGeom prst="rect">
          <a:avLst/>
        </a:prstGeom>
      </xdr:spPr>
    </xdr:pic>
    <xdr:clientData/>
  </xdr:twoCellAnchor>
  <xdr:twoCellAnchor editAs="oneCell">
    <xdr:from>
      <xdr:col>0</xdr:col>
      <xdr:colOff>209550</xdr:colOff>
      <xdr:row>122</xdr:row>
      <xdr:rowOff>142875</xdr:rowOff>
    </xdr:from>
    <xdr:to>
      <xdr:col>23</xdr:col>
      <xdr:colOff>721137</xdr:colOff>
      <xdr:row>128</xdr:row>
      <xdr:rowOff>37985</xdr:rowOff>
    </xdr:to>
    <xdr:pic>
      <xdr:nvPicPr>
        <xdr:cNvPr id="2" name="图片 1">
          <a:extLst>
            <a:ext uri="{FF2B5EF4-FFF2-40B4-BE49-F238E27FC236}">
              <a16:creationId xmlns:a16="http://schemas.microsoft.com/office/drawing/2014/main" id="{89B63787-D8F5-2106-41ED-568C6131F7D7}"/>
            </a:ext>
          </a:extLst>
        </xdr:cNvPr>
        <xdr:cNvPicPr>
          <a:picLocks noChangeAspect="1"/>
        </xdr:cNvPicPr>
      </xdr:nvPicPr>
      <xdr:blipFill>
        <a:blip xmlns:r="http://schemas.openxmlformats.org/officeDocument/2006/relationships" r:embed="rId5"/>
        <a:stretch>
          <a:fillRect/>
        </a:stretch>
      </xdr:blipFill>
      <xdr:spPr>
        <a:xfrm>
          <a:off x="209550" y="26260425"/>
          <a:ext cx="22104762" cy="923810"/>
        </a:xfrm>
        <a:prstGeom prst="rect">
          <a:avLst/>
        </a:prstGeom>
      </xdr:spPr>
    </xdr:pic>
    <xdr:clientData/>
  </xdr:twoCellAnchor>
  <xdr:twoCellAnchor editAs="oneCell">
    <xdr:from>
      <xdr:col>0</xdr:col>
      <xdr:colOff>314325</xdr:colOff>
      <xdr:row>128</xdr:row>
      <xdr:rowOff>38100</xdr:rowOff>
    </xdr:from>
    <xdr:to>
      <xdr:col>8</xdr:col>
      <xdr:colOff>255957</xdr:colOff>
      <xdr:row>143</xdr:row>
      <xdr:rowOff>94921</xdr:rowOff>
    </xdr:to>
    <xdr:pic>
      <xdr:nvPicPr>
        <xdr:cNvPr id="3" name="图片 2">
          <a:extLst>
            <a:ext uri="{FF2B5EF4-FFF2-40B4-BE49-F238E27FC236}">
              <a16:creationId xmlns:a16="http://schemas.microsoft.com/office/drawing/2014/main" id="{5597BF7D-C499-F862-E92D-ADCEAC6DA5BE}"/>
            </a:ext>
          </a:extLst>
        </xdr:cNvPr>
        <xdr:cNvPicPr>
          <a:picLocks noChangeAspect="1"/>
        </xdr:cNvPicPr>
      </xdr:nvPicPr>
      <xdr:blipFill>
        <a:blip xmlns:r="http://schemas.openxmlformats.org/officeDocument/2006/relationships" r:embed="rId6"/>
        <a:stretch>
          <a:fillRect/>
        </a:stretch>
      </xdr:blipFill>
      <xdr:spPr>
        <a:xfrm>
          <a:off x="314325" y="27184350"/>
          <a:ext cx="9742857" cy="2628571"/>
        </a:xfrm>
        <a:prstGeom prst="rect">
          <a:avLst/>
        </a:prstGeom>
      </xdr:spPr>
    </xdr:pic>
    <xdr:clientData/>
  </xdr:twoCellAnchor>
  <xdr:twoCellAnchor editAs="oneCell">
    <xdr:from>
      <xdr:col>0</xdr:col>
      <xdr:colOff>28575</xdr:colOff>
      <xdr:row>165</xdr:row>
      <xdr:rowOff>57150</xdr:rowOff>
    </xdr:from>
    <xdr:to>
      <xdr:col>7</xdr:col>
      <xdr:colOff>713155</xdr:colOff>
      <xdr:row>181</xdr:row>
      <xdr:rowOff>142521</xdr:rowOff>
    </xdr:to>
    <xdr:pic>
      <xdr:nvPicPr>
        <xdr:cNvPr id="4" name="图片 3">
          <a:extLst>
            <a:ext uri="{FF2B5EF4-FFF2-40B4-BE49-F238E27FC236}">
              <a16:creationId xmlns:a16="http://schemas.microsoft.com/office/drawing/2014/main" id="{3C3A0EDF-33F8-4D75-7823-534F988922D1}"/>
            </a:ext>
          </a:extLst>
        </xdr:cNvPr>
        <xdr:cNvPicPr>
          <a:picLocks noChangeAspect="1"/>
        </xdr:cNvPicPr>
      </xdr:nvPicPr>
      <xdr:blipFill>
        <a:blip xmlns:r="http://schemas.openxmlformats.org/officeDocument/2006/relationships" r:embed="rId7"/>
        <a:stretch>
          <a:fillRect/>
        </a:stretch>
      </xdr:blipFill>
      <xdr:spPr>
        <a:xfrm>
          <a:off x="28575" y="31242000"/>
          <a:ext cx="9761905" cy="2828571"/>
        </a:xfrm>
        <a:prstGeom prst="rect">
          <a:avLst/>
        </a:prstGeom>
      </xdr:spPr>
    </xdr:pic>
    <xdr:clientData/>
  </xdr:twoCellAnchor>
  <xdr:twoCellAnchor editAs="oneCell">
    <xdr:from>
      <xdr:col>9</xdr:col>
      <xdr:colOff>485775</xdr:colOff>
      <xdr:row>77</xdr:row>
      <xdr:rowOff>42012</xdr:rowOff>
    </xdr:from>
    <xdr:to>
      <xdr:col>23</xdr:col>
      <xdr:colOff>664875</xdr:colOff>
      <xdr:row>119</xdr:row>
      <xdr:rowOff>74994</xdr:rowOff>
    </xdr:to>
    <xdr:pic>
      <xdr:nvPicPr>
        <xdr:cNvPr id="5" name="图片 4">
          <a:extLst>
            <a:ext uri="{FF2B5EF4-FFF2-40B4-BE49-F238E27FC236}">
              <a16:creationId xmlns:a16="http://schemas.microsoft.com/office/drawing/2014/main" id="{17F01F14-5F5B-0022-31BE-ACDE39122342}"/>
            </a:ext>
          </a:extLst>
        </xdr:cNvPr>
        <xdr:cNvPicPr>
          <a:picLocks noChangeAspect="1"/>
        </xdr:cNvPicPr>
      </xdr:nvPicPr>
      <xdr:blipFill>
        <a:blip xmlns:r="http://schemas.openxmlformats.org/officeDocument/2006/relationships" r:embed="rId8"/>
        <a:stretch>
          <a:fillRect/>
        </a:stretch>
      </xdr:blipFill>
      <xdr:spPr>
        <a:xfrm>
          <a:off x="11010900" y="15624912"/>
          <a:ext cx="11247150" cy="7233882"/>
        </a:xfrm>
        <a:prstGeom prst="rect">
          <a:avLst/>
        </a:prstGeom>
      </xdr:spPr>
    </xdr:pic>
    <xdr:clientData/>
  </xdr:twoCellAnchor>
  <xdr:twoCellAnchor editAs="oneCell">
    <xdr:from>
      <xdr:col>0</xdr:col>
      <xdr:colOff>0</xdr:colOff>
      <xdr:row>144</xdr:row>
      <xdr:rowOff>160869</xdr:rowOff>
    </xdr:from>
    <xdr:to>
      <xdr:col>19</xdr:col>
      <xdr:colOff>387753</xdr:colOff>
      <xdr:row>164</xdr:row>
      <xdr:rowOff>142368</xdr:rowOff>
    </xdr:to>
    <xdr:pic>
      <xdr:nvPicPr>
        <xdr:cNvPr id="6" name="图片 5">
          <a:extLst>
            <a:ext uri="{FF2B5EF4-FFF2-40B4-BE49-F238E27FC236}">
              <a16:creationId xmlns:a16="http://schemas.microsoft.com/office/drawing/2014/main" id="{2F6A0C75-D58C-44CB-C0C3-B830AE18DC26}"/>
            </a:ext>
          </a:extLst>
        </xdr:cNvPr>
        <xdr:cNvPicPr>
          <a:picLocks noChangeAspect="1"/>
        </xdr:cNvPicPr>
      </xdr:nvPicPr>
      <xdr:blipFill>
        <a:blip xmlns:r="http://schemas.openxmlformats.org/officeDocument/2006/relationships" r:embed="rId9"/>
        <a:stretch>
          <a:fillRect/>
        </a:stretch>
      </xdr:blipFill>
      <xdr:spPr>
        <a:xfrm>
          <a:off x="0" y="27745269"/>
          <a:ext cx="18637653" cy="3410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640;&#40527;/&#39033;&#30446;/&#20891;&#38431;-&#30707;&#26223;&#23665;&#21306;&#39321;&#23665;&#21335;&#36335;168&#21495;&#38498;/&#27979;&#31639;/&#27979;&#31639;-02&#24180;&#22522;&#20934;&#22320;&#20215;-&#35199;&#23665;&#26539;&#265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186741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估价对象为北京市房地产，为所有。根据《国有土地使用证》[]，估价对象（分摊）出让国有建设用地使用权面积为0平方米，建筑面积为120.79平方米。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估价对象为北京市房地产,属开发建设的，该项目尚在开发建设中。根据《国有土地使用证》[]，估价对象（分摊）出让国有建设用地使用权面积为0平方米，规划建筑面积为120.79平方米。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2004年1月31日</v>
      </c>
    </row>
    <row r="13" spans="1:2">
      <c r="A13" s="1116" t="s">
        <v>529</v>
      </c>
      <c r="B13" s="1117" t="str">
        <f>'预评函-1'!A18</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120.79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9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96"/>
      <c r="B54" s="1444" t="s">
        <v>385</v>
      </c>
      <c r="C54" s="1442" t="s">
        <v>583</v>
      </c>
    </row>
    <row r="55" spans="1:4">
      <c r="A55" s="3396"/>
      <c r="B55" s="1444" t="s">
        <v>386</v>
      </c>
      <c r="C55" s="1442" t="s">
        <v>584</v>
      </c>
    </row>
    <row r="56" spans="1:4">
      <c r="A56" s="3396"/>
      <c r="B56" s="1444" t="s">
        <v>387</v>
      </c>
      <c r="C56" s="1442" t="s">
        <v>588</v>
      </c>
    </row>
    <row r="57" spans="1:4">
      <c r="A57" s="339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97" t="s">
        <v>2577</v>
      </c>
      <c r="J2" s="3397"/>
      <c r="K2" s="3397"/>
      <c r="L2" s="3397"/>
      <c r="M2" s="3397"/>
      <c r="N2" s="3397"/>
      <c r="O2" s="3397"/>
      <c r="P2" s="3397"/>
      <c r="Q2" s="3397"/>
      <c r="R2" s="3397"/>
    </row>
    <row r="3" spans="1:18">
      <c r="A3" s="2755" t="s">
        <v>2498</v>
      </c>
      <c r="B3" s="2756">
        <f>项目基本情况!D3</f>
        <v>38017</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22.89</v>
      </c>
      <c r="D5" s="2760">
        <f>IF(ISERROR(ROUND(POWER(1+E5,A5-C5)*(POWER(1+E5,C5)-1)/(POWER(1+E5,A5)-1),3)),0,ROUND(POWER(1+E5,A5-C5)*(POWER(1+E5,C5)-1)/(POWER(1+E5,A5)-1),4))</f>
        <v>0.74839999999999995</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32.9</v>
      </c>
      <c r="D6" s="2760">
        <f>IF(ISERROR(ROUND(POWER(1+E6,A6-C6)*(POWER(1+E6,C6)-1)/(POWER(1+E6,A6)-1),3)),0,ROUND(POWER(1+E6,A6-C6)*(POWER(1+E6,C6)-1)/(POWER(1+E6,A6)-1),4))</f>
        <v>0.84350000000000003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52.92</v>
      </c>
      <c r="D7" s="2760">
        <f>IF(ISERROR(ROUND(POWER(1+E7,A7-C7)*(POWER(1+E7,C7)-1)/(POWER(1+E7,A7)-1),3)),0,ROUND(POWER(1+E7,A7-C7)*(POWER(1+E7,C7)-1)/(POWER(1+E7,A7)-1),4))</f>
        <v>0.9345</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C40" sqref="C4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405" t="str">
        <f>IF(B10="北京市","北京市",C10)&amp;F10&amp;IF(结果表!G1="在建","出让国有建设用地使用权及在建建筑物",IF(结果表!G1="土地","出让国有建设用地使用权",))&amp;B9&amp;"预评估"</f>
        <v>北京市预评估</v>
      </c>
      <c r="C1" s="3406"/>
      <c r="D1" s="3406"/>
      <c r="E1" s="3406"/>
      <c r="F1" s="3406"/>
      <c r="G1" s="3406"/>
      <c r="H1" s="3406"/>
      <c r="I1" s="3407"/>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45624</v>
      </c>
      <c r="C3" s="2180" t="s">
        <v>2167</v>
      </c>
      <c r="D3" s="2179">
        <v>38017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3457</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408" t="s">
        <v>2173</v>
      </c>
      <c r="E8" s="2196"/>
      <c r="F8" s="2197"/>
      <c r="G8" s="2435"/>
      <c r="H8" s="2435"/>
      <c r="I8" s="2435"/>
      <c r="J8" s="2239"/>
      <c r="K8" s="2393"/>
      <c r="L8" s="2392"/>
      <c r="M8" s="2392"/>
      <c r="N8" s="2239"/>
      <c r="O8" s="1667"/>
      <c r="P8" s="2239"/>
      <c r="Q8" s="2239"/>
      <c r="R8" s="2239"/>
    </row>
    <row r="9" spans="1:30" ht="13.5" thickBot="1">
      <c r="A9" s="2198" t="s">
        <v>2174</v>
      </c>
      <c r="B9" s="2199"/>
      <c r="C9" s="2200"/>
      <c r="D9" s="3409"/>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63586</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415" t="s">
        <v>3471</v>
      </c>
      <c r="C16" s="3416"/>
      <c r="D16" s="3417"/>
      <c r="E16" s="2216" t="s">
        <v>2190</v>
      </c>
      <c r="F16" s="3418">
        <v>61</v>
      </c>
      <c r="G16" s="3419"/>
      <c r="H16" s="3419"/>
      <c r="I16" s="3420"/>
      <c r="J16" s="2239" t="s">
        <v>3472</v>
      </c>
      <c r="K16" s="2396"/>
      <c r="L16" s="1667"/>
      <c r="M16" s="1667"/>
      <c r="N16" s="2239"/>
      <c r="O16" s="1667"/>
      <c r="P16" s="2239"/>
      <c r="Q16" s="2239"/>
      <c r="R16" s="2239"/>
    </row>
    <row r="17" spans="1:28">
      <c r="A17" s="303" t="s">
        <v>2191</v>
      </c>
      <c r="B17" s="292" t="s">
        <v>2192</v>
      </c>
      <c r="C17" s="8">
        <f>'数据-汇总表'!E3</f>
        <v>120.79</v>
      </c>
      <c r="D17" s="1253" t="s">
        <v>2193</v>
      </c>
      <c r="E17" s="3421" t="s">
        <v>2194</v>
      </c>
      <c r="F17" s="3422"/>
      <c r="G17" s="3422"/>
      <c r="H17" s="3422"/>
      <c r="I17" s="3423"/>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424" t="s">
        <v>2198</v>
      </c>
      <c r="F18" s="3425"/>
      <c r="G18" s="3425"/>
      <c r="H18" s="3425"/>
      <c r="I18" s="3426"/>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411" t="s">
        <v>2202</v>
      </c>
      <c r="C20" s="3412"/>
      <c r="D20" s="3413" t="s">
        <v>2203</v>
      </c>
      <c r="E20" s="3414"/>
      <c r="F20" s="2423" t="s">
        <v>1056</v>
      </c>
      <c r="G20" s="2435"/>
      <c r="H20" s="2435"/>
      <c r="I20" s="2435"/>
      <c r="J20" s="2239"/>
      <c r="K20" s="3410"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41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41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99"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99"/>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99"/>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400"/>
      <c r="B30" s="292" t="s">
        <v>2214</v>
      </c>
      <c r="C30" s="3401"/>
      <c r="D30" s="3402"/>
      <c r="E30" s="2435"/>
      <c r="F30" s="2435"/>
      <c r="G30" s="2435"/>
      <c r="H30" s="2435"/>
      <c r="I30" s="2435"/>
      <c r="J30" s="2239"/>
      <c r="K30" s="2395"/>
      <c r="L30" s="2392"/>
      <c r="M30" s="2392"/>
      <c r="N30" s="2239"/>
      <c r="O30" s="1667"/>
      <c r="P30" s="2239"/>
      <c r="Q30" s="2239"/>
      <c r="R30" s="2239"/>
      <c r="S30" s="2239"/>
      <c r="T30" s="2239"/>
      <c r="U30" s="2239"/>
      <c r="V30" s="2239"/>
    </row>
    <row r="31" spans="1:28">
      <c r="A31" s="3403"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404"/>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404"/>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98" t="s">
        <v>2224</v>
      </c>
      <c r="T34" s="313" t="str">
        <f>NUMBERSTRING(7-K34,1)&amp;"通"</f>
        <v>七通</v>
      </c>
      <c r="U34" s="2239"/>
      <c r="V34" s="2239"/>
    </row>
    <row r="35" spans="1:30">
      <c r="A35" s="2230"/>
      <c r="B35" s="3398" t="s">
        <v>2225</v>
      </c>
      <c r="C35" s="3398"/>
      <c r="D35" s="3398"/>
      <c r="E35" s="3398"/>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98"/>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40"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120.79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120.79</v>
      </c>
      <c r="H5" s="13">
        <f t="shared" ref="H5:AT5" si="0">SUM(H13:H656)</f>
        <v>120.79</v>
      </c>
      <c r="I5" s="13">
        <f t="shared" si="0"/>
        <v>120.79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120.79</v>
      </c>
      <c r="BA5" s="15">
        <f t="shared" si="1"/>
        <v>120.79</v>
      </c>
      <c r="BB5" s="15">
        <f t="shared" si="1"/>
        <v>120.79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3453</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120.79</v>
      </c>
      <c r="H13" s="17">
        <f>SUMIF(I$12:AB$12,"总值",I13:AB13)</f>
        <v>120.79</v>
      </c>
      <c r="I13" s="1511">
        <v>120.79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120.79</v>
      </c>
      <c r="BA13" s="13">
        <f>SUM(BB13:BK13)</f>
        <v>120.79</v>
      </c>
      <c r="BB13" s="13">
        <f>IF($D13="是",I13-J13,0)</f>
        <v>120.79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36" t="s">
        <v>1131</v>
      </c>
      <c r="B2" s="3436"/>
      <c r="C2" s="3436"/>
      <c r="D2" s="746" t="s">
        <v>1107</v>
      </c>
      <c r="E2" s="1520" t="s">
        <v>1108</v>
      </c>
      <c r="F2" s="2432"/>
      <c r="G2" s="2425"/>
      <c r="H2" s="2426"/>
      <c r="I2" s="2140" t="s">
        <v>1132</v>
      </c>
      <c r="J2" s="2432"/>
      <c r="K2" s="2432"/>
      <c r="L2" s="2432"/>
      <c r="M2" s="2432"/>
      <c r="N2" s="2433"/>
      <c r="O2" s="2432"/>
      <c r="P2" s="2432"/>
    </row>
    <row r="3" spans="1:16" ht="15.75" thickBot="1">
      <c r="A3" s="3437" t="s">
        <v>1105</v>
      </c>
      <c r="B3" s="3437"/>
      <c r="C3" s="3437"/>
      <c r="D3" s="41">
        <f>'数据-基础表'!AY6</f>
        <v>0</v>
      </c>
      <c r="E3" s="41">
        <f>'数据-基础表'!AZ5</f>
        <v>120.79</v>
      </c>
      <c r="F3" s="2432"/>
      <c r="G3" s="42"/>
      <c r="H3" s="43" t="s">
        <v>1106</v>
      </c>
      <c r="I3" s="800" t="e">
        <f>ROUND('数据-基础表'!B3/'数据-基础表'!A3,2)</f>
        <v>#DIV/0!</v>
      </c>
      <c r="J3" s="2432"/>
      <c r="K3" s="2432"/>
      <c r="L3" s="2432"/>
      <c r="M3" s="2432"/>
      <c r="N3" s="2433"/>
      <c r="O3" s="2432"/>
      <c r="P3" s="2432"/>
    </row>
    <row r="4" spans="1:16" ht="15">
      <c r="A4" s="3438"/>
      <c r="B4" s="3439"/>
      <c r="C4" s="3440"/>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41" t="s">
        <v>1110</v>
      </c>
      <c r="C5" s="3441"/>
      <c r="D5" s="43">
        <f>ROUND($D$3*E5/$E$3,2)</f>
        <v>0</v>
      </c>
      <c r="E5" s="44">
        <f>SUMIF('数据-基础表'!$11:$11,"住宅",'数据-基础表'!$5:$5)</f>
        <v>120.79</v>
      </c>
      <c r="F5" s="2432"/>
      <c r="G5" s="42"/>
      <c r="H5" s="43" t="s">
        <v>1106</v>
      </c>
      <c r="I5" s="800" t="e">
        <f>ROUND(E31/D31,2)</f>
        <v>#DIV/0!</v>
      </c>
      <c r="J5" s="2432"/>
      <c r="K5" s="2432"/>
      <c r="L5" s="2432"/>
      <c r="M5" s="2432"/>
      <c r="N5" s="2432"/>
      <c r="O5" s="2432"/>
      <c r="P5" s="2432"/>
    </row>
    <row r="6" spans="1:16" ht="15" thickBot="1">
      <c r="A6" s="1524"/>
      <c r="B6" s="3441" t="s">
        <v>1111</v>
      </c>
      <c r="C6" s="3441"/>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433"/>
      <c r="B7" s="3434"/>
      <c r="C7" s="3435"/>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120.79</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120.79</v>
      </c>
      <c r="F16" s="2432"/>
      <c r="G16" s="2432"/>
      <c r="H16" s="1528" t="s">
        <v>1135</v>
      </c>
      <c r="I16" s="1529"/>
      <c r="J16" s="1069"/>
      <c r="K16" s="3430" t="s">
        <v>1135</v>
      </c>
      <c r="L16" s="3431"/>
      <c r="M16" s="3431"/>
      <c r="N16" s="3431"/>
      <c r="O16" s="3431"/>
      <c r="P16" s="3432"/>
    </row>
    <row r="17" spans="1:19" ht="15">
      <c r="A17" s="1530" t="s">
        <v>1136</v>
      </c>
      <c r="B17" s="1531" t="s">
        <v>1137</v>
      </c>
      <c r="C17" s="1532" t="s">
        <v>1138</v>
      </c>
      <c r="D17" s="1533" t="s">
        <v>1126</v>
      </c>
      <c r="E17" s="1534" t="s">
        <v>1127</v>
      </c>
      <c r="F17" s="1535"/>
      <c r="G17" s="1536"/>
      <c r="H17" s="1537" t="s">
        <v>1139</v>
      </c>
      <c r="I17" s="1538" t="s">
        <v>1124</v>
      </c>
      <c r="J17" s="1069"/>
      <c r="K17" s="3427" t="s">
        <v>1140</v>
      </c>
      <c r="L17" s="3428"/>
      <c r="M17" s="3429"/>
      <c r="N17" s="3427" t="s">
        <v>1141</v>
      </c>
      <c r="O17" s="3428"/>
      <c r="P17" s="3429"/>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120.79</v>
      </c>
      <c r="F19" s="2551">
        <f>'数据-基础表'!I13</f>
        <v>120.79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120.79</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120.79</v>
      </c>
      <c r="F27" s="1070">
        <f>IF(SUM(F19:F26)=E8,SUM(F19:F26),"地上面积有误")</f>
        <v>120.79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120.79</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120.79</v>
      </c>
      <c r="F31" s="642">
        <f>F27+F30</f>
        <v>120.79</v>
      </c>
      <c r="G31" s="643">
        <f>G27+G30</f>
        <v>0</v>
      </c>
      <c r="H31" s="2432"/>
      <c r="I31" s="2432"/>
      <c r="J31" s="2432"/>
      <c r="K31" s="2432"/>
      <c r="L31" s="2432"/>
      <c r="M31" s="2432"/>
      <c r="N31" s="2432"/>
      <c r="O31" s="2432"/>
      <c r="P31" s="2432"/>
    </row>
    <row r="32" spans="1:19">
      <c r="A32" s="1523"/>
      <c r="B32" s="1523" t="s">
        <v>1159</v>
      </c>
      <c r="C32" s="1523"/>
      <c r="D32" s="1523"/>
      <c r="E32" s="988">
        <f>SUMIF(C19:C26,"*住宅*",E19:E26)</f>
        <v>120.79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38017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63586</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120.79</v>
      </c>
      <c r="L6" s="3190">
        <v>1800</v>
      </c>
      <c r="M6" s="64">
        <f t="shared" ref="M6:M14" si="1">ROUND(K6*L6/10000,0)</f>
        <v>22</v>
      </c>
      <c r="N6" s="3179">
        <v>1</v>
      </c>
      <c r="O6" s="64" t="str">
        <f>IF($N$5="成新度","——",ROUND(M6*N6,0))</f>
        <v>——</v>
      </c>
      <c r="P6" s="65" t="str">
        <f>IF($N$5="成新度","——",M6-O6)</f>
        <v>——</v>
      </c>
      <c r="Q6" s="333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1</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3473</v>
      </c>
      <c r="AO6" s="50">
        <f ca="1">SUMIF(INDIRECT("'"&amp;AN6&amp;"'"&amp;"!A:A"),"总价",INDIRECT("'"&amp;AN6&amp;"'"&amp;"!B:B"))</f>
        <v>61.889200000000002</v>
      </c>
      <c r="AP6" s="1587">
        <f>IF(C6="住宅",K6*L6,0)</f>
        <v>217422</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120.79</v>
      </c>
      <c r="L16" s="87">
        <f>ROUND(M16*10000/SUM(K6:K14),0)</f>
        <v>1821</v>
      </c>
      <c r="M16" s="87">
        <f>SUM(M6:M14)</f>
        <v>22</v>
      </c>
      <c r="N16" s="88">
        <f>ROUND(SUMPRODUCT(M6:M14,N6:N14)/M16,3)</f>
        <v>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0</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1</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0.93</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19326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1.9799999999999998E-2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3474</v>
      </c>
      <c r="B40" s="1013">
        <f ca="1">IF(A40="利息：取LPR",存贷款利率!G1,存贷款利率!G1+C40)</f>
        <v>5.4900000000000004E-2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42" t="s">
        <v>2280</v>
      </c>
      <c r="B1" s="3443"/>
      <c r="C1" s="3443"/>
      <c r="D1" s="3443"/>
      <c r="E1" s="3443"/>
      <c r="F1" s="3443"/>
      <c r="G1" s="344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3477</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3478</v>
      </c>
      <c r="D6" s="2259"/>
      <c r="E6" s="2263"/>
      <c r="F6" s="313" t="s">
        <v>2259</v>
      </c>
      <c r="G6" s="2264" t="s">
        <v>2260</v>
      </c>
      <c r="H6" s="749"/>
      <c r="I6" s="749"/>
      <c r="J6" s="749"/>
      <c r="K6" s="749"/>
      <c r="L6" s="749"/>
      <c r="M6" s="749"/>
      <c r="N6" s="749"/>
      <c r="O6" s="749"/>
      <c r="P6" s="749"/>
      <c r="Q6" s="749"/>
    </row>
    <row r="7" spans="1:29" ht="120.75" thickBot="1">
      <c r="A7" s="2242"/>
      <c r="B7" s="313" t="s">
        <v>2256</v>
      </c>
      <c r="C7" s="3154" t="s">
        <v>3480</v>
      </c>
      <c r="D7" s="2239"/>
      <c r="E7" s="2265"/>
      <c r="F7" s="2266" t="s">
        <v>2261</v>
      </c>
      <c r="G7" s="2267" t="s">
        <v>2262</v>
      </c>
      <c r="H7" s="749"/>
      <c r="I7" s="749"/>
      <c r="J7" s="749"/>
      <c r="K7" s="749"/>
      <c r="L7" s="749"/>
      <c r="M7" s="749"/>
      <c r="N7" s="749"/>
      <c r="O7" s="749"/>
      <c r="P7" s="749"/>
      <c r="Q7" s="749"/>
    </row>
    <row r="8" spans="1:29">
      <c r="A8" s="2242"/>
      <c r="B8" s="313" t="s">
        <v>2259</v>
      </c>
      <c r="C8" s="3154" t="s">
        <v>3442</v>
      </c>
      <c r="D8" s="2239"/>
      <c r="E8" s="2239"/>
      <c r="F8" s="119"/>
      <c r="G8" s="119"/>
      <c r="H8" s="749"/>
      <c r="I8" s="749"/>
      <c r="J8" s="749"/>
      <c r="K8" s="749"/>
      <c r="L8" s="749"/>
      <c r="M8" s="749"/>
      <c r="N8" s="749"/>
      <c r="O8" s="749"/>
      <c r="P8" s="749"/>
      <c r="Q8" s="749"/>
    </row>
    <row r="9" spans="1:29" ht="36">
      <c r="A9" s="2242"/>
      <c r="B9" s="313" t="s">
        <v>2263</v>
      </c>
      <c r="C9" s="3157" t="s">
        <v>3479</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周边有海特花园、西黄新村北里、八大处路33号院、黄南苑小区等住宅小区，居住社区成熟度较好。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38.25">
      <c r="A18" s="2246"/>
      <c r="B18" s="2286" t="s">
        <v>2258</v>
      </c>
      <c r="C18" s="2287" t="str">
        <f>C6</f>
        <v>周边有399路、965路、985路等多条公交线路，综合评价交通便捷度一般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周边有八大处公园及永定河引水渠等自然及人文景观，
综合评价环境状况较好。</v>
      </c>
      <c r="D20" s="2239"/>
      <c r="E20" s="2247"/>
      <c r="F20" s="313" t="s">
        <v>2259</v>
      </c>
      <c r="G20" s="2287" t="str">
        <f>G6</f>
        <v>估价对象所在区域基础设施水平</v>
      </c>
    </row>
    <row r="21" spans="1:17" ht="127.5">
      <c r="A21" s="2246"/>
      <c r="B21" s="313" t="s">
        <v>2256</v>
      </c>
      <c r="C21" s="2287" t="str">
        <f>C7</f>
        <v>银行：中国工商银行等金融机构；
医院：北京大学首钢医院等医疗机构；
学校：首钢工学院、北方工业大学、八大处中学、西黄村小学等教育机构；
商业：当代商城等商业设施；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120.79</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38017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51.8551</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120.79</v>
      </c>
      <c r="C14" s="2299"/>
      <c r="D14" s="2299">
        <f ca="1">ROUND(E14*B14/10000,4)</f>
        <v>51.8551</v>
      </c>
      <c r="E14" s="2299">
        <f ca="1">结果表!G20</f>
        <v>4293</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H20" sqref="H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78" t="str">
        <f>项目基本情况!S2</f>
        <v>北京市房地产</v>
      </c>
      <c r="B2" s="3479"/>
      <c r="C2" s="3479"/>
      <c r="D2" s="3479"/>
      <c r="E2" s="3479"/>
      <c r="F2" s="3479"/>
      <c r="G2" s="3479"/>
      <c r="H2" s="3479"/>
      <c r="I2" s="3480"/>
    </row>
    <row r="3" spans="1:12" ht="12.75">
      <c r="A3" s="3482" t="s">
        <v>1264</v>
      </c>
      <c r="B3" s="3483"/>
      <c r="C3" s="3483"/>
      <c r="D3" s="3483"/>
      <c r="E3" s="3483"/>
      <c r="F3" s="3483"/>
      <c r="G3" s="3483"/>
      <c r="H3" s="3483"/>
      <c r="I3" s="3483"/>
    </row>
    <row r="4" spans="1:12" ht="14.25">
      <c r="A4" s="1621" t="s">
        <v>1265</v>
      </c>
      <c r="B4" s="1622" t="s">
        <v>1266</v>
      </c>
      <c r="C4" s="1623" t="s">
        <v>3473</v>
      </c>
      <c r="D4" s="1623" t="s">
        <v>3396</v>
      </c>
      <c r="E4" s="3484" t="s">
        <v>1267</v>
      </c>
      <c r="F4" s="3485"/>
      <c r="G4" s="3485"/>
      <c r="H4" s="3485"/>
      <c r="I4" s="348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58" t="s">
        <v>1268</v>
      </c>
      <c r="B5" s="3445">
        <v>25</v>
      </c>
      <c r="C5" s="3461"/>
      <c r="D5" s="3481"/>
      <c r="E5" s="121" t="s">
        <v>1269</v>
      </c>
      <c r="F5" s="1624"/>
      <c r="G5" s="1624"/>
      <c r="H5" s="1624"/>
      <c r="I5" s="1278"/>
    </row>
    <row r="6" spans="1:12" ht="12.75">
      <c r="A6" s="3458"/>
      <c r="B6" s="3445"/>
      <c r="C6" s="3462"/>
      <c r="D6" s="3481"/>
      <c r="E6" s="121" t="s">
        <v>1270</v>
      </c>
      <c r="F6" s="1624"/>
      <c r="G6" s="1624"/>
      <c r="H6" s="1624"/>
      <c r="I6" s="1278"/>
    </row>
    <row r="7" spans="1:12" ht="12.75">
      <c r="A7" s="3458"/>
      <c r="B7" s="3445"/>
      <c r="C7" s="3463"/>
      <c r="D7" s="3481"/>
      <c r="E7" s="121" t="s">
        <v>1271</v>
      </c>
      <c r="F7" s="1624"/>
      <c r="G7" s="1624"/>
      <c r="H7" s="1624"/>
      <c r="I7" s="1278"/>
    </row>
    <row r="8" spans="1:12" ht="12.75">
      <c r="A8" s="3458" t="s">
        <v>1272</v>
      </c>
      <c r="B8" s="3445">
        <v>15</v>
      </c>
      <c r="C8" s="3461"/>
      <c r="D8" s="3481"/>
      <c r="E8" s="121" t="s">
        <v>1273</v>
      </c>
      <c r="F8" s="1624"/>
      <c r="G8" s="1624"/>
      <c r="H8" s="1624"/>
      <c r="I8" s="1278"/>
    </row>
    <row r="9" spans="1:12" ht="12.75">
      <c r="A9" s="3458"/>
      <c r="B9" s="3445"/>
      <c r="C9" s="3463"/>
      <c r="D9" s="3481"/>
      <c r="E9" s="121" t="s">
        <v>1274</v>
      </c>
      <c r="F9" s="1624"/>
      <c r="G9" s="1624"/>
      <c r="H9" s="1624"/>
      <c r="I9" s="1278"/>
    </row>
    <row r="10" spans="1:12" ht="12.75">
      <c r="A10" s="3458" t="s">
        <v>1275</v>
      </c>
      <c r="B10" s="3445">
        <v>15</v>
      </c>
      <c r="C10" s="3461"/>
      <c r="D10" s="3481"/>
      <c r="E10" s="121" t="s">
        <v>1276</v>
      </c>
      <c r="F10" s="1624"/>
      <c r="G10" s="1624"/>
      <c r="H10" s="1624"/>
      <c r="I10" s="1278"/>
    </row>
    <row r="11" spans="1:12" ht="12.75">
      <c r="A11" s="3458"/>
      <c r="B11" s="3445"/>
      <c r="C11" s="3463"/>
      <c r="D11" s="3481"/>
      <c r="E11" s="121" t="s">
        <v>1277</v>
      </c>
      <c r="F11" s="1624"/>
      <c r="G11" s="1624"/>
      <c r="H11" s="1624"/>
      <c r="I11" s="1278"/>
    </row>
    <row r="12" spans="1:12" ht="12.75">
      <c r="A12" s="3458" t="s">
        <v>1278</v>
      </c>
      <c r="B12" s="3445">
        <v>15</v>
      </c>
      <c r="C12" s="3461"/>
      <c r="D12" s="3481"/>
      <c r="E12" s="121" t="s">
        <v>1279</v>
      </c>
      <c r="F12" s="1624"/>
      <c r="G12" s="1624"/>
      <c r="H12" s="1624"/>
      <c r="I12" s="1278"/>
    </row>
    <row r="13" spans="1:12" ht="12.75">
      <c r="A13" s="3458"/>
      <c r="B13" s="3445"/>
      <c r="C13" s="3463"/>
      <c r="D13" s="3481"/>
      <c r="E13" s="121" t="s">
        <v>1280</v>
      </c>
      <c r="F13" s="1624"/>
      <c r="G13" s="1624"/>
      <c r="H13" s="1624"/>
      <c r="I13" s="1278"/>
    </row>
    <row r="14" spans="1:12" ht="12.75">
      <c r="A14" s="3458" t="s">
        <v>1281</v>
      </c>
      <c r="B14" s="3445">
        <v>30</v>
      </c>
      <c r="C14" s="3461">
        <v>0</v>
      </c>
      <c r="D14" s="3481">
        <f>10-C14</f>
        <v>10</v>
      </c>
      <c r="E14" s="121" t="s">
        <v>1282</v>
      </c>
      <c r="F14" s="1624"/>
      <c r="G14" s="1624"/>
      <c r="H14" s="1624"/>
      <c r="I14" s="1278"/>
    </row>
    <row r="15" spans="1:12" ht="12.75">
      <c r="A15" s="3458"/>
      <c r="B15" s="3445"/>
      <c r="C15" s="3462"/>
      <c r="D15" s="3481"/>
      <c r="E15" s="121" t="s">
        <v>1283</v>
      </c>
      <c r="F15" s="1624"/>
      <c r="G15" s="1624"/>
      <c r="H15" s="1624"/>
      <c r="I15" s="1278"/>
    </row>
    <row r="16" spans="1:12" ht="12.75">
      <c r="A16" s="3458"/>
      <c r="B16" s="3445"/>
      <c r="C16" s="3463"/>
      <c r="D16" s="3481"/>
      <c r="E16" s="121" t="s">
        <v>1284</v>
      </c>
      <c r="F16" s="1624"/>
      <c r="G16" s="1624"/>
      <c r="H16" s="1624"/>
      <c r="I16" s="1278"/>
    </row>
    <row r="17" spans="1:36" ht="15">
      <c r="A17" s="1625" t="s">
        <v>1285</v>
      </c>
      <c r="B17" s="54"/>
      <c r="C17" s="122">
        <f>SUM(C5:C16)</f>
        <v>0</v>
      </c>
      <c r="D17" s="122">
        <f>SUM(D5:D16)</f>
        <v>10</v>
      </c>
      <c r="E17" s="119"/>
      <c r="F17" s="119"/>
      <c r="G17" s="119"/>
      <c r="H17" s="119"/>
      <c r="I17" s="119"/>
      <c r="K17" s="292"/>
      <c r="L17" s="292" t="s">
        <v>1286</v>
      </c>
      <c r="M17" s="292" t="s">
        <v>1287</v>
      </c>
    </row>
    <row r="18" spans="1:36" ht="31.9" customHeight="1" thickBot="1">
      <c r="A18" s="1626" t="s">
        <v>1288</v>
      </c>
      <c r="B18" s="1539"/>
      <c r="C18" s="123">
        <f>ROUND(C17/SUM(C17:D17),2)</f>
        <v>0</v>
      </c>
      <c r="D18" s="123">
        <f>1-C18</f>
        <v>1</v>
      </c>
      <c r="E18" s="3468" t="s">
        <v>2127</v>
      </c>
      <c r="F18" s="3469"/>
      <c r="G18" s="3469"/>
      <c r="H18" s="3469"/>
      <c r="I18" s="3469"/>
      <c r="K18" s="292" t="s">
        <v>1289</v>
      </c>
      <c r="L18" s="292">
        <f>IF(C1="",'数据-汇总表'!E3,SUMIF(项目类型,C1,'数据-汇总表'!E17:E26)+SUMIF(项目类型,C1,'数据-汇总表'!I17:I26))</f>
        <v>120.79</v>
      </c>
      <c r="M18" s="292">
        <f>IF(C1="",'数据-汇总表'!E3,SUMIF(项目类型,C1,'数据-汇总表'!E17:E26))</f>
        <v>120.79</v>
      </c>
      <c r="P18" s="682">
        <f>11199-3000</f>
        <v>8199</v>
      </c>
    </row>
    <row r="19" spans="1:36" ht="15">
      <c r="A19" s="1627" t="s">
        <v>1290</v>
      </c>
      <c r="B19" s="1628" t="s">
        <v>1291</v>
      </c>
      <c r="C19" s="124">
        <f ca="1">SUMIF(INDIRECT("'"&amp;C4&amp;"'"&amp;"!A:A"),结果表!B19,INDIRECT("'"&amp;C4&amp;"'"&amp;"!B:B"))</f>
        <v>61.889200000000002</v>
      </c>
      <c r="D19" s="125">
        <f ca="1">SUMIF(INDIRECT("'"&amp;D4&amp;"'"&amp;"!A:A"),结果表!B19,INDIRECT("'"&amp;D4&amp;"'"&amp;"!B:B"))</f>
        <v>51.8551</v>
      </c>
      <c r="E19" s="1627" t="s">
        <v>1292</v>
      </c>
      <c r="F19" s="1628" t="s">
        <v>1291</v>
      </c>
      <c r="G19" s="3161">
        <f ca="1">ROUND((G20*'数据-基础表'!I13)/10000,4)</f>
        <v>51.8551</v>
      </c>
      <c r="H19" s="1629" t="s">
        <v>1293</v>
      </c>
      <c r="I19" s="119"/>
      <c r="J19" s="682" t="str">
        <f>'比较法-住宅'!A50</f>
        <v>经适房单价</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5124</v>
      </c>
      <c r="D20" s="128">
        <f ca="1">SUMIF(INDIRECT("'"&amp;D4&amp;"'"&amp;"!A:A"),结果表!B20,INDIRECT("'"&amp;D4&amp;"'"&amp;"!B:B"))</f>
        <v>4293</v>
      </c>
      <c r="E20" s="1630"/>
      <c r="F20" s="43" t="s">
        <v>1295</v>
      </c>
      <c r="G20" s="129">
        <f ca="1">ROUND(C20*$C$18+D20*$D$18,0)</f>
        <v>4293</v>
      </c>
      <c r="H20" s="3355" t="s">
        <v>1296</v>
      </c>
      <c r="I20" s="3188">
        <f ca="1">G20/J20</f>
        <v>1.1808554531701279</v>
      </c>
      <c r="J20" s="682">
        <f>'比较法-住宅'!B50</f>
        <v>3635.5</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0.19350266415453832</v>
      </c>
      <c r="E22" s="119"/>
      <c r="F22" s="119"/>
      <c r="G22" s="119"/>
      <c r="H22" s="119"/>
      <c r="I22" s="119"/>
      <c r="K22" s="3191"/>
    </row>
    <row r="23" spans="1:36" ht="13.5" thickBot="1">
      <c r="A23" s="644"/>
      <c r="B23" s="644"/>
      <c r="C23" s="644"/>
      <c r="D23" s="644"/>
      <c r="E23" s="119"/>
      <c r="F23" s="119"/>
      <c r="G23" s="119"/>
      <c r="H23" s="119"/>
      <c r="I23" s="119"/>
    </row>
    <row r="24" spans="1:36" ht="14.25">
      <c r="A24" s="3452" t="s">
        <v>1299</v>
      </c>
      <c r="B24" s="1628" t="s">
        <v>1291</v>
      </c>
      <c r="C24" s="126">
        <f>IF(B30=0,0,D30)</f>
        <v>0</v>
      </c>
      <c r="D24" s="1634"/>
      <c r="E24" s="119"/>
      <c r="F24" s="119"/>
      <c r="G24" s="119">
        <f ca="1">系统读取表!D14</f>
        <v>51.8551</v>
      </c>
      <c r="H24" s="119"/>
      <c r="I24" s="119"/>
    </row>
    <row r="25" spans="1:36" ht="14.25">
      <c r="A25" s="3453"/>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3437</v>
      </c>
      <c r="B27" s="132">
        <f>'数据-基础表'!I13</f>
        <v>120.79</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4293</v>
      </c>
      <c r="D30" s="3164">
        <f ca="1">ROUND((G19*10000-D27)/10000,4)</f>
        <v>51.8551</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4293</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72" t="s">
        <v>1312</v>
      </c>
      <c r="B36" s="1649" t="s">
        <v>1313</v>
      </c>
      <c r="C36" s="135"/>
      <c r="D36" s="1650"/>
      <c r="E36" s="1564"/>
      <c r="F36" s="1651"/>
      <c r="G36" s="119"/>
      <c r="H36" s="119"/>
      <c r="I36" s="119"/>
    </row>
    <row r="37" spans="1:15" ht="15.75" thickBot="1">
      <c r="A37" s="3473"/>
      <c r="B37" s="1552" t="s">
        <v>1314</v>
      </c>
      <c r="C37" s="137"/>
      <c r="D37" s="1069"/>
      <c r="E37" s="1069"/>
      <c r="F37" s="1651"/>
      <c r="G37" s="119"/>
      <c r="H37" s="119"/>
      <c r="I37" s="119"/>
    </row>
    <row r="38" spans="1:15" ht="15.75" thickBot="1">
      <c r="A38" s="3474"/>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49" t="s">
        <v>1326</v>
      </c>
      <c r="B45" s="3450"/>
      <c r="C45" s="3451"/>
      <c r="D45" s="145" t="e">
        <f ca="1">ROUND(H101*F45,0)</f>
        <v>#REF!</v>
      </c>
      <c r="E45" s="146" t="s">
        <v>1327</v>
      </c>
      <c r="F45" s="147">
        <v>1</v>
      </c>
      <c r="G45" s="148" t="s">
        <v>1328</v>
      </c>
      <c r="H45" s="119"/>
      <c r="I45" s="119"/>
      <c r="J45" s="3527" t="s">
        <v>1329</v>
      </c>
      <c r="K45" s="3527"/>
      <c r="L45" s="3527"/>
      <c r="M45" s="3527"/>
      <c r="N45" s="3527"/>
      <c r="O45" s="3527"/>
    </row>
    <row r="46" spans="1:15" ht="14.25" customHeight="1">
      <c r="A46" s="3446" t="s">
        <v>1330</v>
      </c>
      <c r="B46" s="3447"/>
      <c r="C46" s="3447"/>
      <c r="D46" s="3447"/>
      <c r="E46" s="3447"/>
      <c r="F46" s="3447"/>
      <c r="G46" s="3448"/>
      <c r="H46" s="1665"/>
      <c r="I46" s="149"/>
      <c r="J46" s="2303">
        <v>1</v>
      </c>
      <c r="K46" s="3508" t="s">
        <v>1331</v>
      </c>
      <c r="L46" s="3508"/>
      <c r="M46" s="3528"/>
      <c r="N46" s="3528"/>
      <c r="O46" s="3528"/>
    </row>
    <row r="47" spans="1:15" ht="12" customHeight="1">
      <c r="A47" s="150" t="s">
        <v>1332</v>
      </c>
      <c r="B47" s="151"/>
      <c r="C47" s="152"/>
      <c r="D47" s="1022" t="s">
        <v>1333</v>
      </c>
      <c r="E47" s="292" t="s">
        <v>1334</v>
      </c>
      <c r="F47" s="153" t="s">
        <v>1335</v>
      </c>
      <c r="G47" s="2326" t="s">
        <v>1336</v>
      </c>
      <c r="H47" s="2327"/>
      <c r="I47" s="149"/>
      <c r="J47" s="2303">
        <v>2</v>
      </c>
      <c r="K47" s="3508" t="s">
        <v>1337</v>
      </c>
      <c r="L47" s="3508"/>
      <c r="M47" s="3529">
        <f>'数据-取费表'!B2</f>
        <v>38017</v>
      </c>
      <c r="N47" s="3529"/>
      <c r="O47" s="3529"/>
    </row>
    <row r="48" spans="1:15" ht="25.5">
      <c r="A48" s="3477" t="s">
        <v>1338</v>
      </c>
      <c r="B48" s="3460"/>
      <c r="C48" s="3460"/>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508" t="s">
        <v>1340</v>
      </c>
      <c r="L48" s="3508"/>
      <c r="M48" s="3530" t="e">
        <f ca="1">H101</f>
        <v>#REF!</v>
      </c>
      <c r="N48" s="3530"/>
      <c r="O48" s="3530"/>
    </row>
    <row r="49" spans="1:35" ht="25.5" customHeight="1">
      <c r="A49" s="2146" t="s">
        <v>1341</v>
      </c>
      <c r="B49" s="3444" t="s">
        <v>1342</v>
      </c>
      <c r="C49" s="3444"/>
      <c r="D49" s="1475">
        <v>0</v>
      </c>
      <c r="E49" s="314" t="s">
        <v>1343</v>
      </c>
      <c r="F49" s="2227" t="s">
        <v>28</v>
      </c>
      <c r="G49" s="3514"/>
      <c r="H49" s="2128" t="s">
        <v>2130</v>
      </c>
      <c r="I49" s="2129"/>
      <c r="J49" s="2303">
        <v>4</v>
      </c>
      <c r="K49" s="3508" t="str">
        <f>IF(项目基本情况!E8="房地产抵押价值","房地产抵押价值","抵押担保权已注销时的房地产抵押价值")</f>
        <v>抵押担保权已注销时的房地产抵押价值</v>
      </c>
      <c r="L49" s="3508"/>
      <c r="M49" s="3530" t="str">
        <f>IF(项目基本情况!E8="房地产抵押价值",H107,H109)</f>
        <v>——</v>
      </c>
      <c r="N49" s="3530"/>
      <c r="O49" s="3530"/>
    </row>
    <row r="50" spans="1:35" ht="25.5" customHeight="1">
      <c r="A50" s="2331"/>
      <c r="B50" s="3444" t="s">
        <v>1344</v>
      </c>
      <c r="C50" s="3444"/>
      <c r="D50" s="2183"/>
      <c r="E50" s="321"/>
      <c r="F50" s="2227"/>
      <c r="G50" s="3515"/>
      <c r="H50" s="2130" t="s">
        <v>2131</v>
      </c>
      <c r="I50" s="2129"/>
      <c r="J50" s="3527" t="s">
        <v>1345</v>
      </c>
      <c r="K50" s="3527"/>
      <c r="L50" s="3527"/>
      <c r="M50" s="3527"/>
      <c r="N50" s="3527"/>
      <c r="O50" s="3527"/>
    </row>
    <row r="51" spans="1:35" ht="20.45" customHeight="1">
      <c r="A51" s="2332"/>
      <c r="B51" s="3444" t="s">
        <v>1346</v>
      </c>
      <c r="C51" s="3444"/>
      <c r="D51" s="1022"/>
      <c r="E51" s="317"/>
      <c r="F51" s="2227"/>
      <c r="G51" s="3516"/>
      <c r="H51" s="2130" t="s">
        <v>2132</v>
      </c>
      <c r="I51" s="2129"/>
      <c r="J51" s="2304" t="s">
        <v>1347</v>
      </c>
      <c r="K51" s="3508" t="s">
        <v>1348</v>
      </c>
      <c r="L51" s="3508"/>
      <c r="M51" s="2304" t="s">
        <v>1349</v>
      </c>
      <c r="N51" s="2304" t="s">
        <v>1350</v>
      </c>
      <c r="O51" s="2304" t="s">
        <v>1351</v>
      </c>
    </row>
    <row r="52" spans="1:35" ht="24" customHeight="1">
      <c r="A52" s="2147" t="s">
        <v>1352</v>
      </c>
      <c r="B52" s="3444" t="s">
        <v>1353</v>
      </c>
      <c r="C52" s="3444"/>
      <c r="D52" s="1022" t="e">
        <f ca="1">ROUND(D45*'数据-取费表'!B41/(1+'数据-取费表'!C42),0)</f>
        <v>#REF!</v>
      </c>
      <c r="E52" s="1253" t="s">
        <v>1354</v>
      </c>
      <c r="F52" s="2333">
        <f>'数据-取费表'!B41</f>
        <v>5.5000000000000007E-2</v>
      </c>
      <c r="G52" s="2334"/>
      <c r="H52" s="2324"/>
      <c r="I52" s="1666"/>
      <c r="J52" s="2303">
        <v>1</v>
      </c>
      <c r="K52" s="3509" t="s">
        <v>1355</v>
      </c>
      <c r="L52" s="3509"/>
      <c r="M52" s="2305" t="b">
        <f>D48</f>
        <v>0</v>
      </c>
      <c r="N52" s="2303" t="str">
        <f>E48</f>
        <v>销售额×税（费）率</v>
      </c>
      <c r="O52" s="2306">
        <f>F48</f>
        <v>5.5000000000000007E-2</v>
      </c>
    </row>
    <row r="53" spans="1:35" ht="12" customHeight="1">
      <c r="A53" s="2147" t="s">
        <v>1356</v>
      </c>
      <c r="B53" s="3470" t="s">
        <v>2285</v>
      </c>
      <c r="C53" s="3471"/>
      <c r="D53" s="1022" t="e">
        <f ca="1">ROUND(D45*'数据-取费表'!B41/(1+'数据-取费表'!C42),0)</f>
        <v>#REF!</v>
      </c>
      <c r="E53" s="1253" t="s">
        <v>1354</v>
      </c>
      <c r="F53" s="2333">
        <f>'数据-取费表'!B41</f>
        <v>5.5000000000000007E-2</v>
      </c>
      <c r="G53" s="2334"/>
      <c r="H53" s="2324"/>
      <c r="I53" s="1666"/>
      <c r="J53" s="2303">
        <v>2</v>
      </c>
      <c r="K53" s="3509" t="s">
        <v>1357</v>
      </c>
      <c r="L53" s="3509"/>
      <c r="M53" s="2305" t="e">
        <f t="shared" ref="M53:O54" ca="1" si="0">D55</f>
        <v>#REF!</v>
      </c>
      <c r="N53" s="2303" t="str">
        <f t="shared" si="0"/>
        <v>销售额×税（费）率</v>
      </c>
      <c r="O53" s="2306" t="str">
        <f t="shared" si="0"/>
        <v>免征</v>
      </c>
    </row>
    <row r="54" spans="1:35" ht="12" customHeight="1">
      <c r="A54" s="2147" t="s">
        <v>1358</v>
      </c>
      <c r="B54" s="3470" t="s">
        <v>2286</v>
      </c>
      <c r="C54" s="3471"/>
      <c r="D54" s="1022" t="e">
        <f ca="1">C68</f>
        <v>#REF!</v>
      </c>
      <c r="E54" s="317" t="s">
        <v>1359</v>
      </c>
      <c r="F54" s="2333">
        <f>'数据-取费表'!B41</f>
        <v>5.5000000000000007E-2</v>
      </c>
      <c r="G54" s="2334"/>
      <c r="H54" s="2335"/>
      <c r="I54" s="1666"/>
      <c r="J54" s="2303">
        <v>3</v>
      </c>
      <c r="K54" s="3509" t="s">
        <v>1360</v>
      </c>
      <c r="L54" s="3509"/>
      <c r="M54" s="2305" t="e">
        <f t="shared" ca="1" si="0"/>
        <v>#REF!</v>
      </c>
      <c r="N54" s="2303" t="str">
        <f t="shared" si="0"/>
        <v>增值额×税（费）率</v>
      </c>
      <c r="O54" s="2307" t="str">
        <f t="shared" si="0"/>
        <v>免征</v>
      </c>
    </row>
    <row r="55" spans="1:35" ht="24" customHeight="1">
      <c r="A55" s="3459" t="s">
        <v>1361</v>
      </c>
      <c r="B55" s="3460"/>
      <c r="C55" s="3460"/>
      <c r="D55" s="12" t="e">
        <f ca="1">IF(H55="个人住宅",0,ROUND(D45*I55,0))</f>
        <v>#REF!</v>
      </c>
      <c r="E55" s="1253" t="s">
        <v>1362</v>
      </c>
      <c r="F55" s="2333" t="str">
        <f>IF(H55="正常",I55,"免征")</f>
        <v>免征</v>
      </c>
      <c r="G55" s="2334"/>
      <c r="H55" s="2330"/>
      <c r="I55" s="155">
        <f>'数据-取费表'!B49</f>
        <v>5.0000000000000001E-4</v>
      </c>
      <c r="J55" s="2303">
        <f>IF(H59="非个人房产","",4)</f>
        <v>4</v>
      </c>
      <c r="K55" s="3509" t="str">
        <f>IF(H59="非个人房产","——","个人所得税")</f>
        <v>个人所得税</v>
      </c>
      <c r="L55" s="3509"/>
      <c r="M55" s="2308" t="e">
        <f ca="1">D59</f>
        <v>#REF!</v>
      </c>
      <c r="N55" s="1877" t="str">
        <f>E59</f>
        <v>差额计税</v>
      </c>
      <c r="O55" s="2309">
        <f>F59</f>
        <v>0.01</v>
      </c>
    </row>
    <row r="56" spans="1:35" ht="24.75">
      <c r="A56" s="3459" t="s">
        <v>1363</v>
      </c>
      <c r="B56" s="3460"/>
      <c r="C56" s="3460"/>
      <c r="D56" s="12" t="e">
        <f ca="1">IF(H56="个人住宅",D57,D58)</f>
        <v>#REF!</v>
      </c>
      <c r="E56" s="1253" t="s">
        <v>1364</v>
      </c>
      <c r="F56" s="2333" t="str">
        <f>IF(H56="正常",F58,"免征")</f>
        <v>免征</v>
      </c>
      <c r="G56" s="2336" t="s">
        <v>1365</v>
      </c>
      <c r="H56" s="2337"/>
      <c r="I56" s="1667"/>
      <c r="J56" s="2303" t="str">
        <f>IF(项目基本情况!K6="上海银行",IF(J55="",4,J55+1),"")</f>
        <v/>
      </c>
      <c r="K56" s="3532" t="str">
        <f>IF(项目基本情况!K6="上海银行","其他处置费用","")</f>
        <v/>
      </c>
      <c r="L56" s="3533"/>
      <c r="M56" s="2305" t="str">
        <f>IF(项目基本情况!K6="上海银行",M69,"")</f>
        <v/>
      </c>
      <c r="N56" s="3532" t="str">
        <f>IF(项目基本情况!K6="上海银行","包含处置中涉及的律师、诉讼、拍卖、评估等费用","")</f>
        <v/>
      </c>
      <c r="O56" s="3535"/>
    </row>
    <row r="57" spans="1:35" ht="12.75">
      <c r="A57" s="2147" t="s">
        <v>1341</v>
      </c>
      <c r="B57" s="3470" t="s">
        <v>1366</v>
      </c>
      <c r="C57" s="3471"/>
      <c r="D57" s="1475">
        <v>0</v>
      </c>
      <c r="E57" s="314" t="s">
        <v>1343</v>
      </c>
      <c r="F57" s="292"/>
      <c r="G57" s="2334"/>
      <c r="H57" s="2338"/>
      <c r="I57" s="1667"/>
      <c r="J57" s="3509">
        <f>IF(AND(J55="",J56=""),4,IF(项目基本情况!K6="上海银行",结果表!J56+1,结果表!J55+1))</f>
        <v>5</v>
      </c>
      <c r="K57" s="3509" t="s">
        <v>1367</v>
      </c>
      <c r="L57" s="2310" t="s">
        <v>1368</v>
      </c>
      <c r="M57" s="2311"/>
      <c r="N57" s="2312">
        <f ca="1">SUMIF(M52:M56,"&lt;9e307")</f>
        <v>0</v>
      </c>
      <c r="O57" s="2313"/>
      <c r="P57" s="2458" t="e">
        <f ca="1">N57/M49</f>
        <v>#VALUE!</v>
      </c>
    </row>
    <row r="58" spans="1:35" ht="24.75">
      <c r="A58" s="2147" t="s">
        <v>1352</v>
      </c>
      <c r="B58" s="3470" t="s">
        <v>1369</v>
      </c>
      <c r="C58" s="3444"/>
      <c r="D58" s="12" t="e">
        <f ca="1">IF(H58="转让取得",C81,C97)</f>
        <v>#REF!</v>
      </c>
      <c r="E58" s="1253" t="s">
        <v>1364</v>
      </c>
      <c r="F58" s="292" t="s">
        <v>28</v>
      </c>
      <c r="G58" s="2334"/>
      <c r="H58" s="2337"/>
      <c r="I58" s="1667"/>
      <c r="J58" s="3509"/>
      <c r="K58" s="3509"/>
      <c r="L58" s="2310" t="s">
        <v>1370</v>
      </c>
      <c r="M58" s="2314"/>
      <c r="N58" s="2315" t="str">
        <f ca="1">NUMBERSTRING(INT(N57*10000),2)&amp;"元整"</f>
        <v>零元整</v>
      </c>
      <c r="O58" s="2316"/>
    </row>
    <row r="59" spans="1:35" ht="24.75" thickBot="1">
      <c r="A59" s="3512" t="s">
        <v>1371</v>
      </c>
      <c r="B59" s="3513"/>
      <c r="C59" s="3513"/>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510">
        <f>J57+1</f>
        <v>6</v>
      </c>
      <c r="K59" s="3509" t="s">
        <v>1372</v>
      </c>
      <c r="L59" s="2303" t="s">
        <v>1368</v>
      </c>
      <c r="M59" s="2317"/>
      <c r="N59" s="2318" t="e">
        <f ca="1">M49-N57</f>
        <v>#VALUE!</v>
      </c>
      <c r="O59" s="2319"/>
    </row>
    <row r="60" spans="1:35" ht="12" customHeight="1">
      <c r="A60" s="1668"/>
      <c r="B60" s="644"/>
      <c r="C60" s="644"/>
      <c r="D60" s="644"/>
      <c r="E60" s="1463"/>
      <c r="F60" s="1667"/>
      <c r="G60" s="1667"/>
      <c r="H60" s="149"/>
      <c r="I60" s="119"/>
      <c r="J60" s="3511"/>
      <c r="K60" s="3509"/>
      <c r="L60" s="2310" t="s">
        <v>1370</v>
      </c>
      <c r="M60" s="2314"/>
      <c r="N60" s="2315" t="e">
        <f ca="1">NUMBERSTRING(INT(N59*10000),2)&amp;"元整"</f>
        <v>#VALUE!</v>
      </c>
      <c r="O60" s="2316"/>
    </row>
    <row r="61" spans="1:35" ht="13.5" thickBot="1">
      <c r="A61" s="3457" t="s">
        <v>1373</v>
      </c>
      <c r="B61" s="3457"/>
      <c r="C61" s="3457"/>
      <c r="D61" s="3457"/>
      <c r="E61" s="3457"/>
      <c r="F61" s="1667"/>
      <c r="G61" s="1667"/>
      <c r="H61" s="149"/>
      <c r="I61" s="119"/>
      <c r="J61" s="2303">
        <f>J59+1</f>
        <v>7</v>
      </c>
      <c r="K61" s="3509" t="s">
        <v>1374</v>
      </c>
      <c r="L61" s="3509"/>
      <c r="M61" s="2320"/>
      <c r="N61" s="2321" t="e">
        <f ca="1">ROUND(N59*10000/'数据-汇总表'!E3,0)</f>
        <v>#VALUE!</v>
      </c>
      <c r="O61" s="2322"/>
    </row>
    <row r="62" spans="1:35" ht="12.75">
      <c r="A62" s="3475" t="s">
        <v>1375</v>
      </c>
      <c r="B62" s="3476"/>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534"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534"/>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534"/>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534"/>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534"/>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534"/>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534"/>
      <c r="K69" s="1242" t="s">
        <v>1393</v>
      </c>
      <c r="L69" s="1242"/>
      <c r="M69" s="292" t="e">
        <f>ROUND(SUM(M63:M68),0)</f>
        <v>#VALUE!</v>
      </c>
      <c r="N69" s="2325" t="e">
        <f>M69/M49</f>
        <v>#VALUE!</v>
      </c>
      <c r="Z69" s="1620"/>
      <c r="AI69" s="1558"/>
    </row>
    <row r="70" spans="1:35" s="640" customFormat="1" ht="15" thickBot="1">
      <c r="A70" s="3496" t="s">
        <v>1394</v>
      </c>
      <c r="B70" s="3497"/>
      <c r="C70" s="3497"/>
      <c r="D70" s="3497"/>
      <c r="E70" s="3497"/>
      <c r="F70" s="3497"/>
      <c r="G70" s="3497"/>
      <c r="H70" s="3497"/>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75" t="s">
        <v>1375</v>
      </c>
      <c r="B71" s="3476"/>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70" t="s">
        <v>1402</v>
      </c>
      <c r="F76" s="3444"/>
      <c r="G76" s="3444"/>
      <c r="H76" s="349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54" t="s">
        <v>1406</v>
      </c>
      <c r="F78" s="3455"/>
      <c r="G78" s="3455"/>
      <c r="H78" s="346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96" t="s">
        <v>1410</v>
      </c>
      <c r="B83" s="3497"/>
      <c r="C83" s="3497"/>
      <c r="D83" s="3497"/>
      <c r="E83" s="3497"/>
      <c r="F83" s="3497"/>
      <c r="G83" s="3497"/>
      <c r="H83" s="349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75" t="s">
        <v>1375</v>
      </c>
      <c r="B84" s="3476"/>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536" t="s">
        <v>2125</v>
      </c>
      <c r="H90" s="3537"/>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54" t="s">
        <v>1419</v>
      </c>
      <c r="F91" s="3455"/>
      <c r="G91" s="3455"/>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54" t="s">
        <v>1422</v>
      </c>
      <c r="F92" s="3455"/>
      <c r="G92" s="3455"/>
      <c r="H92" s="3464"/>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54" t="s">
        <v>1406</v>
      </c>
      <c r="F93" s="3455"/>
      <c r="G93" s="3455"/>
      <c r="H93" s="346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65" t="s">
        <v>1426</v>
      </c>
      <c r="F94" s="3466"/>
      <c r="G94" s="3466"/>
      <c r="H94" s="34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38" t="s">
        <v>1428</v>
      </c>
      <c r="B100" s="3439"/>
      <c r="C100" s="3439"/>
      <c r="D100" s="3456"/>
      <c r="E100" s="3439" t="s">
        <v>1429</v>
      </c>
      <c r="F100" s="3439"/>
      <c r="G100" s="3439"/>
      <c r="H100" s="3456"/>
      <c r="I100" s="119"/>
    </row>
    <row r="101" spans="1:35" ht="18.75" customHeight="1">
      <c r="A101" s="3517" t="s">
        <v>1430</v>
      </c>
      <c r="B101" s="3518"/>
      <c r="C101" s="2364" t="str">
        <f>C4</f>
        <v>成本法 (元)</v>
      </c>
      <c r="D101" s="2365" t="str">
        <f>D4</f>
        <v>比较法-住宅</v>
      </c>
      <c r="E101" s="3531" t="s">
        <v>1431</v>
      </c>
      <c r="F101" s="3488"/>
      <c r="G101" s="1684" t="s">
        <v>1432</v>
      </c>
      <c r="H101" s="2374" t="e">
        <f ca="1">H118</f>
        <v>#REF!</v>
      </c>
      <c r="I101" s="119"/>
    </row>
    <row r="102" spans="1:35" ht="18.75" customHeight="1">
      <c r="A102" s="3490" t="s">
        <v>1433</v>
      </c>
      <c r="B102" s="2363" t="s">
        <v>1432</v>
      </c>
      <c r="C102" s="2364">
        <f ca="1">IF(D32="楼面单价",ROUND(C19,0),C19)</f>
        <v>61.889200000000002</v>
      </c>
      <c r="D102" s="2365">
        <f ca="1">IF(D32="楼面单价",ROUND(D19,0),D19)</f>
        <v>51.8551</v>
      </c>
      <c r="E102" s="3531"/>
      <c r="F102" s="3488"/>
      <c r="G102" s="1684" t="s">
        <v>1434</v>
      </c>
      <c r="H102" s="2334" t="e">
        <f ca="1">I118</f>
        <v>#REF!</v>
      </c>
      <c r="I102" s="119"/>
    </row>
    <row r="103" spans="1:35" ht="42.75" customHeight="1">
      <c r="A103" s="3490"/>
      <c r="B103" s="2363" t="s">
        <v>1434</v>
      </c>
      <c r="C103" s="2366">
        <f ca="1">C20</f>
        <v>5124</v>
      </c>
      <c r="D103" s="2367">
        <f ca="1">D20</f>
        <v>4293</v>
      </c>
      <c r="E103" s="3525" t="s">
        <v>1435</v>
      </c>
      <c r="F103" s="3526"/>
      <c r="G103" s="1685" t="s">
        <v>1436</v>
      </c>
      <c r="H103" s="2374">
        <f>IF(D36="正常操作",H104+H105+H106,H105+H106)</f>
        <v>0</v>
      </c>
      <c r="I103" s="119"/>
    </row>
    <row r="104" spans="1:35" ht="18.75" customHeight="1">
      <c r="A104" s="3490"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91"/>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87" t="str">
        <f>IF(项目基本情况!E8="已注销","——","3.房地产抵押价值")</f>
        <v>3.房地产抵押价值</v>
      </c>
      <c r="F107" s="3488"/>
      <c r="G107" s="1684" t="s">
        <v>1432</v>
      </c>
      <c r="H107" s="2374" t="e">
        <f ca="1">IF(E107="——","——",H101-H103)</f>
        <v>#REF!</v>
      </c>
      <c r="I107" s="119"/>
    </row>
    <row r="108" spans="1:35" ht="18.75" customHeight="1">
      <c r="A108" s="119"/>
      <c r="B108" s="119"/>
      <c r="C108" s="119"/>
      <c r="D108" s="119"/>
      <c r="E108" s="3487"/>
      <c r="F108" s="3488"/>
      <c r="G108" s="1684" t="s">
        <v>1434</v>
      </c>
      <c r="H108" s="2334">
        <f ca="1">IF(H107=H101,H102,ROUND(H107*10000/'数据-汇总表'!E3,0))</f>
        <v>0</v>
      </c>
      <c r="I108" s="119"/>
    </row>
    <row r="109" spans="1:35" ht="18.75" customHeight="1">
      <c r="A109" s="119"/>
      <c r="B109" s="119"/>
      <c r="C109" s="119"/>
      <c r="D109" s="119"/>
      <c r="E109" s="3487" t="str">
        <f>IF(项目基本情况!E8="已注销及未注销","4.抵押担保权已注销时的房地产抵押价值",IF(项目基本情况!E8="已注销","3.抵押担保权已注销时的房地产抵押价值","——"))</f>
        <v>——</v>
      </c>
      <c r="F109" s="3488"/>
      <c r="G109" s="1684" t="s">
        <v>1432</v>
      </c>
      <c r="H109" s="2377" t="str">
        <f>IF(E109="——","——",H101-H105-H106)</f>
        <v>——</v>
      </c>
      <c r="I109" s="119"/>
    </row>
    <row r="110" spans="1:35" ht="18.75" customHeight="1">
      <c r="A110" s="119"/>
      <c r="B110" s="119"/>
      <c r="C110" s="119"/>
      <c r="D110" s="119"/>
      <c r="E110" s="3487"/>
      <c r="F110" s="3488"/>
      <c r="G110" s="1684" t="s">
        <v>1434</v>
      </c>
      <c r="H110" s="2334" t="str">
        <f>IF(H109="——","——",ROUND(H109*10000/'数据-汇总表'!E3,0))</f>
        <v>——</v>
      </c>
      <c r="I110" s="119"/>
    </row>
    <row r="111" spans="1:35" ht="18.75" customHeight="1">
      <c r="A111" s="119"/>
      <c r="B111" s="119"/>
      <c r="C111" s="119"/>
      <c r="D111" s="119"/>
      <c r="E111" s="3519" t="str">
        <f>IF(项目基本情况!E9="抵押净值",IF(OR(项目基本情况!E8="已注销",项目基本情况!E8="房地产抵押价值"),"4.抵押净值","5.抵押净值"),"——")</f>
        <v>——</v>
      </c>
      <c r="F111" s="3489"/>
      <c r="G111" s="1684" t="s">
        <v>1432</v>
      </c>
      <c r="H111" s="2374" t="str">
        <f>IF(E111="——","——",N59)</f>
        <v>——</v>
      </c>
      <c r="I111" s="119"/>
    </row>
    <row r="112" spans="1:35" ht="18.75" customHeight="1" thickBot="1">
      <c r="A112" s="119"/>
      <c r="B112" s="119"/>
      <c r="C112" s="119"/>
      <c r="D112" s="119"/>
      <c r="E112" s="3520"/>
      <c r="F112" s="3521"/>
      <c r="G112" s="1687" t="s">
        <v>1434</v>
      </c>
      <c r="H112" s="2378" t="str">
        <f>IF(E111="——","——",N61)</f>
        <v>——</v>
      </c>
      <c r="I112" s="119"/>
    </row>
    <row r="113" spans="1:27" ht="18.75" customHeight="1">
      <c r="A113" s="119"/>
      <c r="B113" s="119"/>
      <c r="C113" s="119"/>
      <c r="D113" s="119"/>
      <c r="E113" s="3492" t="s">
        <v>1440</v>
      </c>
      <c r="F113" s="3492"/>
      <c r="G113" s="3492"/>
      <c r="H113" s="3492"/>
      <c r="I113" s="119"/>
    </row>
    <row r="114" spans="1:27" ht="3.75" customHeight="1">
      <c r="A114" s="644"/>
      <c r="B114" s="644"/>
      <c r="C114" s="644"/>
      <c r="D114" s="644"/>
      <c r="E114" s="1668"/>
      <c r="F114" s="1668"/>
      <c r="G114" s="1668"/>
      <c r="H114" s="1668"/>
      <c r="I114" s="644"/>
    </row>
    <row r="115" spans="1:27" ht="18.75" customHeight="1">
      <c r="A115" s="3502" t="s">
        <v>1442</v>
      </c>
      <c r="B115" s="3503"/>
      <c r="C115" s="3503"/>
      <c r="D115" s="3503"/>
      <c r="E115" s="3503"/>
      <c r="F115" s="3503"/>
      <c r="G115" s="3503"/>
      <c r="H115" s="3503"/>
      <c r="I115" s="3504"/>
    </row>
    <row r="116" spans="1:27" ht="27" customHeight="1">
      <c r="A116" s="3458" t="s">
        <v>1443</v>
      </c>
      <c r="B116" s="3493" t="s">
        <v>1444</v>
      </c>
      <c r="C116" s="3493" t="s">
        <v>1445</v>
      </c>
      <c r="D116" s="3506" t="s">
        <v>1446</v>
      </c>
      <c r="E116" s="3507"/>
      <c r="F116" s="3501" t="s">
        <v>1447</v>
      </c>
      <c r="G116" s="3501"/>
      <c r="H116" s="3458" t="s">
        <v>1448</v>
      </c>
      <c r="I116" s="3458"/>
    </row>
    <row r="117" spans="1:27" ht="18.75" customHeight="1">
      <c r="A117" s="3458"/>
      <c r="B117" s="3494"/>
      <c r="C117" s="3494"/>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120.79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58" t="s">
        <v>1452</v>
      </c>
      <c r="B119" s="3458"/>
      <c r="C119" s="3458"/>
      <c r="D119" s="3498" t="e">
        <f ca="1">NUMBERSTRING(INT(D118*10000),2)&amp;"元整"</f>
        <v>#REF!</v>
      </c>
      <c r="E119" s="3500"/>
      <c r="F119" s="3498" t="e">
        <f ca="1">NUMBERSTRING(INT(F118*10000),2)&amp;"元整"</f>
        <v>#REF!</v>
      </c>
      <c r="G119" s="3500"/>
      <c r="H119" s="3498" t="e">
        <f ca="1">NUMBERSTRING(INT(H118*10000),2)&amp;"元整"</f>
        <v>#REF!</v>
      </c>
      <c r="I119" s="3500"/>
    </row>
    <row r="120" spans="1:27" ht="18.75" customHeight="1">
      <c r="A120" s="3522" t="str">
        <f>IF(项目基本情况!B9="房地产市场价值","",MID(E103,3,LEN(E103)-2))</f>
        <v>估价师知悉的法定优先受偿款</v>
      </c>
      <c r="B120" s="3523"/>
      <c r="C120" s="3524"/>
      <c r="D120" s="3522">
        <f>H103</f>
        <v>0</v>
      </c>
      <c r="E120" s="3523"/>
      <c r="F120" s="3523"/>
      <c r="G120" s="3523"/>
      <c r="H120" s="3523"/>
      <c r="I120" s="352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98" t="s">
        <v>1452</v>
      </c>
      <c r="B121" s="3499"/>
      <c r="C121" s="3500"/>
      <c r="D121" s="3498" t="str">
        <f>IF(D120=0,"零元整",NUMBERSTRING(INT(D120*10000),2)&amp;"元整")</f>
        <v>零元整</v>
      </c>
      <c r="E121" s="3499"/>
      <c r="F121" s="3499"/>
      <c r="G121" s="3499"/>
      <c r="H121" s="3499"/>
      <c r="I121" s="3500"/>
      <c r="AA121" s="682"/>
    </row>
    <row r="122" spans="1:27" ht="18.75" customHeight="1">
      <c r="A122" s="3489" t="str">
        <f>IF(项目基本情况!B9="房地产市场价值","",MID(E107,3,LEN(E107)-2))</f>
        <v>房地产抵押价值</v>
      </c>
      <c r="B122" s="3489"/>
      <c r="C122" s="3489"/>
      <c r="D122" s="3522" t="e">
        <f ca="1">H107</f>
        <v>#REF!</v>
      </c>
      <c r="E122" s="3523"/>
      <c r="F122" s="3523"/>
      <c r="G122" s="3523"/>
      <c r="H122" s="3523"/>
      <c r="I122" s="3524"/>
      <c r="AA122" s="682"/>
    </row>
    <row r="123" spans="1:27" ht="18.75" customHeight="1">
      <c r="A123" s="3458" t="s">
        <v>1452</v>
      </c>
      <c r="B123" s="3458"/>
      <c r="C123" s="3458"/>
      <c r="D123" s="3498" t="e">
        <f ca="1">NUMBERSTRING(INT(D122*10000),2)&amp;"元整"</f>
        <v>#REF!</v>
      </c>
      <c r="E123" s="3499"/>
      <c r="F123" s="3499"/>
      <c r="G123" s="3499"/>
      <c r="H123" s="3499"/>
      <c r="I123" s="3500"/>
      <c r="AA123" s="682"/>
    </row>
    <row r="124" spans="1:27" ht="18.75" customHeight="1">
      <c r="A124" s="3489" t="str">
        <f>IF(项目基本情况!B9="房地产市场价值","",MID(E109,3,LEN(E109)-2))</f>
        <v/>
      </c>
      <c r="B124" s="3489"/>
      <c r="C124" s="3489"/>
      <c r="D124" s="3522" t="str">
        <f>H109</f>
        <v>——</v>
      </c>
      <c r="E124" s="3523"/>
      <c r="F124" s="3523"/>
      <c r="G124" s="3523"/>
      <c r="H124" s="3523"/>
      <c r="I124" s="3524"/>
      <c r="AA124" s="682"/>
    </row>
    <row r="125" spans="1:27" ht="18.75" customHeight="1">
      <c r="A125" s="3458" t="s">
        <v>1452</v>
      </c>
      <c r="B125" s="3458"/>
      <c r="C125" s="3458"/>
      <c r="D125" s="3498" t="e">
        <f>NUMBERSTRING(INT(D124*10000),2)&amp;"元整"</f>
        <v>#VALUE!</v>
      </c>
      <c r="E125" s="3499"/>
      <c r="F125" s="3499"/>
      <c r="G125" s="3499"/>
      <c r="H125" s="3499"/>
      <c r="I125" s="3500"/>
      <c r="AA125" s="682"/>
    </row>
    <row r="126" spans="1:27" ht="18.75" customHeight="1">
      <c r="A126" s="3489" t="str">
        <f>IF(项目基本情况!B9="房地产市场价值","",MID(E111,3,LEN(E111)-2))</f>
        <v/>
      </c>
      <c r="B126" s="3489"/>
      <c r="C126" s="3489"/>
      <c r="D126" s="3522" t="str">
        <f>H111</f>
        <v>——</v>
      </c>
      <c r="E126" s="3523"/>
      <c r="F126" s="3523"/>
      <c r="G126" s="3523"/>
      <c r="H126" s="3523"/>
      <c r="I126" s="3524"/>
      <c r="AA126" s="682"/>
    </row>
    <row r="127" spans="1:27" ht="18.75" customHeight="1">
      <c r="A127" s="3458" t="s">
        <v>1452</v>
      </c>
      <c r="B127" s="3458"/>
      <c r="C127" s="3458"/>
      <c r="D127" s="3498" t="e">
        <f>NUMBERSTRING(INT(D126*10000),2)&amp;"元整"</f>
        <v>#VALUE!</v>
      </c>
      <c r="E127" s="3499"/>
      <c r="F127" s="3499"/>
      <c r="G127" s="3499"/>
      <c r="H127" s="3499"/>
      <c r="I127" s="3500"/>
      <c r="AA127" s="682"/>
    </row>
    <row r="128" spans="1:27" ht="21.75" customHeight="1">
      <c r="A128" s="3505" t="s">
        <v>1453</v>
      </c>
      <c r="B128" s="3505"/>
      <c r="C128" s="3505"/>
      <c r="D128" s="3505"/>
      <c r="E128" s="3505"/>
      <c r="F128" s="3505"/>
      <c r="G128" s="3505"/>
      <c r="H128" s="3505"/>
      <c r="I128" s="350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27044</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2238927</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19326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19326</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120.79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120.79</v>
      </c>
      <c r="E19" s="201">
        <f>'数据-取费表'!B31</f>
        <v>200</v>
      </c>
      <c r="F19" s="221"/>
      <c r="G19" s="1711"/>
    </row>
    <row r="20" spans="1:7" s="204" customFormat="1" ht="13.5" customHeight="1">
      <c r="A20" s="245" t="s">
        <v>1493</v>
      </c>
      <c r="B20" s="200" t="s">
        <v>1494</v>
      </c>
      <c r="C20" s="222">
        <f ca="1">ROUND((C5+C19)*F20,0)</f>
        <v>387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2201</v>
      </c>
      <c r="D22" s="225">
        <f ca="1">C26</f>
        <v>1.1000000000000001E-3</v>
      </c>
      <c r="E22" s="226" t="s">
        <v>1498</v>
      </c>
      <c r="F22" s="227">
        <f ca="1">'数据-取费表'!B40</f>
        <v>5.4900000000000004E-2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2180</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21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2957</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2957</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27009</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120.79</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38" t="s">
        <v>1544</v>
      </c>
    </row>
    <row r="43" spans="1:7" ht="13.5" customHeight="1">
      <c r="A43" s="732" t="s">
        <v>347</v>
      </c>
      <c r="B43" s="205" t="s">
        <v>1545</v>
      </c>
      <c r="C43" s="228">
        <f ca="1">ROUND(IF('数据-取费表'!B22&lt;=1,C39*F22*'数据-取费表'!B21/2,C39*(POWER((1+F22),'数据-取费表'!B21/2)-1)),0)</f>
        <v>0</v>
      </c>
      <c r="D43" s="228"/>
      <c r="E43" s="228"/>
      <c r="F43" s="229"/>
      <c r="G43" s="3539"/>
    </row>
    <row r="44" spans="1:7" ht="13.5" customHeight="1">
      <c r="A44" s="732" t="s">
        <v>348</v>
      </c>
      <c r="B44" s="205" t="s">
        <v>1546</v>
      </c>
      <c r="C44" s="228">
        <f ca="1">ROUND(IF('数据-取费表'!B22&lt;=1,C40*F22*'数据-取费表'!B21/2,C40*(POWER((1+F22),'数据-取费表'!B21/2)-1)),4)</f>
        <v>1.1000000000000001E-3</v>
      </c>
      <c r="D44" s="228"/>
      <c r="E44" s="228"/>
      <c r="F44" s="229"/>
      <c r="G44" s="3540"/>
    </row>
    <row r="45" spans="1:7" s="204" customFormat="1" ht="13.5" customHeight="1">
      <c r="A45" s="245" t="s">
        <v>1547</v>
      </c>
      <c r="B45" s="234" t="s">
        <v>1513</v>
      </c>
      <c r="C45" s="235">
        <f ca="1">C46</f>
        <v>4</v>
      </c>
      <c r="D45" s="225">
        <f ca="1">C47</f>
        <v>3.0000000000000001E-3</v>
      </c>
      <c r="E45" s="226" t="s">
        <v>1539</v>
      </c>
      <c r="F45" s="236">
        <f ca="1">F27</f>
        <v>0.15</v>
      </c>
      <c r="G45" s="237" t="s">
        <v>1548</v>
      </c>
    </row>
    <row r="46" spans="1:7" s="204" customFormat="1" ht="13.5" customHeight="1">
      <c r="A46" s="732" t="s">
        <v>346</v>
      </c>
      <c r="B46" s="238" t="s">
        <v>1549</v>
      </c>
      <c r="C46" s="239">
        <f ca="1">ROUND((C33+C39)*F27,0)</f>
        <v>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35</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35</v>
      </c>
      <c r="D51" s="222"/>
      <c r="E51" s="222"/>
      <c r="F51" s="254"/>
      <c r="G51" s="224" t="s">
        <v>1560</v>
      </c>
    </row>
    <row r="52" spans="1:7" s="198" customFormat="1" ht="16.5" thickBot="1">
      <c r="A52" s="255" t="s">
        <v>1561</v>
      </c>
      <c r="B52" s="256"/>
      <c r="C52" s="257">
        <f ca="1">C31+C51</f>
        <v>27044</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56" t="str">
        <f>项目基本情况!B1</f>
        <v>北京市预评估</v>
      </c>
      <c r="C37" s="3356"/>
      <c r="D37" s="3356"/>
      <c r="E37" s="3356"/>
      <c r="F37" s="3356"/>
      <c r="G37" s="3356"/>
      <c r="H37" s="3356"/>
      <c r="I37" s="335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21996</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1821012</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120.79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120.79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-19324</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120.79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-19324</v>
      </c>
      <c r="D21" s="765"/>
      <c r="E21" s="271"/>
      <c r="F21" s="271"/>
      <c r="G21" s="121" t="s">
        <v>1629</v>
      </c>
      <c r="H21" s="757"/>
      <c r="I21" s="757"/>
      <c r="J21" s="757"/>
      <c r="K21" s="758"/>
    </row>
    <row r="22" spans="1:33" s="753" customFormat="1" ht="13.5" customHeight="1">
      <c r="A22" s="742" t="s">
        <v>1601</v>
      </c>
      <c r="B22" s="763" t="s">
        <v>1630</v>
      </c>
      <c r="C22" s="764">
        <f ca="1">ROUND(C21*F22,0)</f>
        <v>-386</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5.4900000000000004E-2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-2957</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-2957</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21996</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43" t="s">
        <v>694</v>
      </c>
      <c r="C6" s="1009">
        <f ca="1">ROUND(F6*F8*F7*(1-F9)/10000,0)</f>
        <v>0</v>
      </c>
      <c r="D6" s="145" t="s">
        <v>2105</v>
      </c>
      <c r="E6" s="292" t="s">
        <v>696</v>
      </c>
      <c r="F6" s="293">
        <f ca="1">INDIRECT("'数据-取费表'!u"&amp;$G$1)</f>
        <v>0</v>
      </c>
      <c r="G6" s="1289"/>
      <c r="H6" s="1004" t="s">
        <v>398</v>
      </c>
      <c r="I6" s="3543" t="s">
        <v>694</v>
      </c>
      <c r="J6" s="291">
        <f ca="1">ROUND(M6*M8*M7*(1-M9)/10000,0)</f>
        <v>0</v>
      </c>
      <c r="K6" s="145" t="s">
        <v>2104</v>
      </c>
      <c r="L6" s="292" t="s">
        <v>696</v>
      </c>
      <c r="M6" s="293">
        <f ca="1">INDIRECT("'数据-取费表'!z"&amp;$G$1)</f>
        <v>0</v>
      </c>
    </row>
    <row r="7" spans="1:37" ht="18" customHeight="1">
      <c r="A7" s="1008"/>
      <c r="B7" s="3544"/>
      <c r="C7" s="1010"/>
      <c r="D7" s="297"/>
      <c r="E7" s="1011" t="s">
        <v>697</v>
      </c>
      <c r="F7" s="293">
        <f ca="1">IF(INDIRECT("'数据-取费表'!ah"&amp;$G$1)="",INDIRECT("'数据-取费表'!k"&amp;$G$1),INDIRECT("'数据-取费表'!ah"&amp;$G$1))</f>
        <v>0</v>
      </c>
      <c r="G7" s="1289"/>
      <c r="H7" s="294"/>
      <c r="I7" s="3544"/>
      <c r="J7" s="296"/>
      <c r="K7" s="297"/>
      <c r="L7" s="292" t="s">
        <v>697</v>
      </c>
      <c r="M7" s="293">
        <f ca="1">F7</f>
        <v>0</v>
      </c>
    </row>
    <row r="8" spans="1:37" ht="18" customHeight="1">
      <c r="A8" s="294"/>
      <c r="B8" s="3544"/>
      <c r="C8" s="296"/>
      <c r="D8" s="297"/>
      <c r="E8" s="292" t="s">
        <v>698</v>
      </c>
      <c r="F8" s="293">
        <f ca="1">INDIRECT("'数据-取费表'!ai"&amp;$G$1)</f>
        <v>0</v>
      </c>
      <c r="G8" s="1289"/>
      <c r="H8" s="294"/>
      <c r="I8" s="3544"/>
      <c r="J8" s="296"/>
      <c r="K8" s="297"/>
      <c r="L8" s="292" t="s">
        <v>698</v>
      </c>
      <c r="M8" s="293">
        <f ca="1">INDIRECT("'数据-取费表'!ai"&amp;$G$1)</f>
        <v>0</v>
      </c>
    </row>
    <row r="9" spans="1:37" ht="18" customHeight="1">
      <c r="A9" s="294"/>
      <c r="B9" s="3545"/>
      <c r="C9" s="296"/>
      <c r="D9" s="297"/>
      <c r="E9" s="292" t="s">
        <v>699</v>
      </c>
      <c r="F9" s="302">
        <f ca="1">INDIRECT("'数据-取费表'!w"&amp;$G$1)</f>
        <v>0</v>
      </c>
      <c r="G9" s="1289"/>
      <c r="H9" s="294"/>
      <c r="I9" s="3545"/>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1.9799999999999998E-2</v>
      </c>
      <c r="G11" s="1289"/>
      <c r="H11" s="1012"/>
      <c r="I11" s="1272" t="s">
        <v>679</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41" t="s">
        <v>837</v>
      </c>
      <c r="L53" s="3542"/>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43" t="s">
        <v>694</v>
      </c>
      <c r="C6" s="1009">
        <f ca="1">ROUND(F6*F8*F7*(1-F9),0)</f>
        <v>0</v>
      </c>
      <c r="D6" s="145" t="s">
        <v>2102</v>
      </c>
      <c r="E6" s="292" t="s">
        <v>696</v>
      </c>
      <c r="F6" s="293">
        <f ca="1">INDIRECT("'数据-取费表'!u"&amp;$G$1)</f>
        <v>0</v>
      </c>
      <c r="G6" s="1289"/>
      <c r="H6" s="1004" t="s">
        <v>398</v>
      </c>
      <c r="I6" s="3543" t="s">
        <v>694</v>
      </c>
      <c r="J6" s="291">
        <f ca="1">ROUND(M6*M8*M7*(1-M9),0)</f>
        <v>0</v>
      </c>
      <c r="K6" s="1281" t="s">
        <v>2103</v>
      </c>
      <c r="L6" s="292" t="s">
        <v>696</v>
      </c>
      <c r="M6" s="293">
        <f ca="1">INDIRECT("'数据-取费表'!z"&amp;$G$1)</f>
        <v>0</v>
      </c>
    </row>
    <row r="7" spans="1:37" ht="18" customHeight="1">
      <c r="A7" s="1008"/>
      <c r="B7" s="3544"/>
      <c r="C7" s="1010"/>
      <c r="D7" s="297"/>
      <c r="E7" s="1011" t="s">
        <v>697</v>
      </c>
      <c r="F7" s="293">
        <f ca="1">IF(INDIRECT("'数据-取费表'!ah"&amp;$G$1)="",INDIRECT("'数据-取费表'!k"&amp;$G$1),INDIRECT("'数据-取费表'!ah"&amp;$G$1))</f>
        <v>1</v>
      </c>
      <c r="G7" s="1289"/>
      <c r="H7" s="294"/>
      <c r="I7" s="3544"/>
      <c r="J7" s="296"/>
      <c r="K7" s="297"/>
      <c r="L7" s="292" t="s">
        <v>697</v>
      </c>
      <c r="M7" s="293">
        <f ca="1">F7</f>
        <v>1</v>
      </c>
    </row>
    <row r="8" spans="1:37" ht="18" customHeight="1">
      <c r="A8" s="294"/>
      <c r="B8" s="3544"/>
      <c r="C8" s="296"/>
      <c r="D8" s="297"/>
      <c r="E8" s="292" t="s">
        <v>698</v>
      </c>
      <c r="F8" s="293">
        <f ca="1">INDIRECT("'数据-取费表'!ai"&amp;$G$1)</f>
        <v>12</v>
      </c>
      <c r="G8" s="1289"/>
      <c r="H8" s="294"/>
      <c r="I8" s="3544"/>
      <c r="J8" s="296"/>
      <c r="K8" s="297"/>
      <c r="L8" s="292" t="s">
        <v>698</v>
      </c>
      <c r="M8" s="293">
        <f ca="1">INDIRECT("'数据-取费表'!ai"&amp;$G$1)</f>
        <v>12</v>
      </c>
    </row>
    <row r="9" spans="1:37" ht="18" customHeight="1">
      <c r="A9" s="294"/>
      <c r="B9" s="3545"/>
      <c r="C9" s="296"/>
      <c r="D9" s="297"/>
      <c r="E9" s="292" t="s">
        <v>699</v>
      </c>
      <c r="F9" s="302">
        <f ca="1">INDIRECT("'数据-取费表'!w"&amp;$G$1)</f>
        <v>0.05</v>
      </c>
      <c r="G9" s="1289"/>
      <c r="H9" s="294"/>
      <c r="I9" s="3545"/>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1.9799999999999998E-2</v>
      </c>
      <c r="G11" s="1289"/>
      <c r="H11" s="1012"/>
      <c r="I11" s="1272" t="s">
        <v>891</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349970</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217422</v>
      </c>
      <c r="D14" s="1254" t="s">
        <v>708</v>
      </c>
      <c r="E14" s="1252"/>
      <c r="F14" s="309"/>
      <c r="G14" s="1289"/>
      <c r="H14" s="926" t="s">
        <v>398</v>
      </c>
      <c r="I14" s="292" t="s">
        <v>709</v>
      </c>
      <c r="J14" s="21">
        <f ca="1">C29</f>
        <v>349970</v>
      </c>
      <c r="K14" s="12"/>
      <c r="L14" s="757"/>
      <c r="M14" s="758"/>
    </row>
    <row r="15" spans="1:37" s="1301" customFormat="1" ht="18" customHeight="1" thickBot="1">
      <c r="A15" s="926" t="s">
        <v>399</v>
      </c>
      <c r="B15" s="292" t="s">
        <v>710</v>
      </c>
      <c r="C15" s="21">
        <f ca="1">ROUND(C14*F15,0)</f>
        <v>6523</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10871</v>
      </c>
      <c r="D16" s="292" t="s">
        <v>711</v>
      </c>
      <c r="E16" s="292" t="s">
        <v>712</v>
      </c>
      <c r="F16" s="312">
        <f ca="1">IF(INDIRECT("'数据-取费表'!c"&amp;$G$1)="住宅",'数据-取费表'!B34,0)</f>
        <v>0.05</v>
      </c>
      <c r="G16" s="1289"/>
      <c r="H16" s="1014" t="s">
        <v>393</v>
      </c>
      <c r="I16" s="1015" t="s">
        <v>714</v>
      </c>
      <c r="J16" s="300">
        <f ca="1">ROUND(J17+J22+J23+J24,0)</f>
        <v>3504</v>
      </c>
      <c r="K16" s="1022" t="s">
        <v>715</v>
      </c>
      <c r="L16" s="1023"/>
      <c r="M16" s="1007"/>
    </row>
    <row r="17" spans="1:37" s="1301" customFormat="1" ht="18" customHeight="1">
      <c r="A17" s="926" t="s">
        <v>681</v>
      </c>
      <c r="B17" s="292" t="s">
        <v>716</v>
      </c>
      <c r="C17" s="21">
        <f ca="1">ROUND(F17*(F43+INDIRECT("'数据-取费表'!S"&amp;$G$1)),0)</f>
        <v>24158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3261</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262235</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5245</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3500</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14685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-3122.4876441349943</v>
      </c>
      <c r="K25" s="1030" t="s">
        <v>753</v>
      </c>
      <c r="L25" s="1031"/>
      <c r="M25" s="1032"/>
    </row>
    <row r="26" spans="1:37" ht="18" customHeight="1">
      <c r="A26" s="926" t="s">
        <v>397</v>
      </c>
      <c r="B26" s="292" t="s">
        <v>754</v>
      </c>
      <c r="C26" s="21">
        <f ca="1">ROUND((C19+C20)*F26,0)</f>
        <v>40122</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349970</v>
      </c>
      <c r="D29" s="1027"/>
      <c r="E29" s="1025"/>
      <c r="F29" s="1028"/>
      <c r="G29" s="1300"/>
      <c r="H29" s="323" t="s">
        <v>396</v>
      </c>
      <c r="I29" s="324" t="s">
        <v>768</v>
      </c>
      <c r="J29" s="325">
        <f ca="1">ROUND(J26/(1+F40)^F41,0)</f>
        <v>0</v>
      </c>
      <c r="K29" s="326" t="s">
        <v>769</v>
      </c>
      <c r="L29" s="327"/>
      <c r="M29" s="328">
        <f ca="1">INDIRECT("'数据-取费表'!k"&amp;$G$1)</f>
        <v>120.79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3850</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3500</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350</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-3850</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120.79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349970</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57</v>
      </c>
      <c r="K51" s="1336" t="s">
        <v>830</v>
      </c>
      <c r="L51" s="1337">
        <f ca="1">ROUND(-PV(INDIRECT("'数据-取费表'!h"&amp;$G$1),J51,(C39-C13*C76),0),0)</f>
        <v>-579632</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41" t="s">
        <v>837</v>
      </c>
      <c r="L53" s="3542"/>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349970</v>
      </c>
      <c r="D56" s="1349"/>
      <c r="E56" s="1350"/>
      <c r="F56" s="1342"/>
      <c r="I56" s="1351" t="s">
        <v>842</v>
      </c>
      <c r="J56" s="1352" t="s">
        <v>3395</v>
      </c>
      <c r="K56" s="1325" t="s">
        <v>843</v>
      </c>
      <c r="L56" s="1328">
        <f ca="1">IF(L48&lt;J51,"——",L48-J51)</f>
        <v>4</v>
      </c>
      <c r="O56" s="1322" t="s">
        <v>403</v>
      </c>
      <c r="P56" s="1323" t="s">
        <v>817</v>
      </c>
      <c r="Q56" s="1324">
        <f ca="1">C40+J29</f>
        <v>0</v>
      </c>
      <c r="R56" s="1324" t="s">
        <v>818</v>
      </c>
    </row>
    <row r="57" spans="1:18" s="1289" customFormat="1" ht="24.75" thickBot="1">
      <c r="A57" s="1353"/>
      <c r="B57" s="894" t="s">
        <v>767</v>
      </c>
      <c r="C57" s="228">
        <f ca="1">C29</f>
        <v>349970</v>
      </c>
      <c r="D57" s="1354"/>
      <c r="E57" s="1355"/>
      <c r="F57" s="1356"/>
      <c r="I57" s="1357" t="s">
        <v>844</v>
      </c>
      <c r="J57" s="1358" t="str">
        <f ca="1">IF(OR(M47="住宅",J51&lt;L48,J56="是"),"——",J51-L48)</f>
        <v>——</v>
      </c>
      <c r="K57" s="1325" t="s">
        <v>892</v>
      </c>
      <c r="L57" s="1328">
        <f ca="1">IF(L48&lt;J51,"——",IF(L55="比较法",L49,IF(L55="基准地价",L50,L51)))</f>
        <v>-579632</v>
      </c>
      <c r="O57" s="1322" t="s">
        <v>404</v>
      </c>
      <c r="P57" s="1323" t="s">
        <v>893</v>
      </c>
      <c r="Q57" s="1324">
        <f ca="1">L60</f>
        <v>0</v>
      </c>
      <c r="R57" s="1324" t="s">
        <v>894</v>
      </c>
    </row>
    <row r="58" spans="1:18" s="1289" customFormat="1" ht="24.75" thickBot="1">
      <c r="A58" s="305" t="s">
        <v>393</v>
      </c>
      <c r="B58" s="902" t="s">
        <v>714</v>
      </c>
      <c r="C58" s="306">
        <f ca="1">ROUND(C59+C64+C65+C66,0)</f>
        <v>3850</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3500</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350</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-3850</v>
      </c>
      <c r="D67" s="907" t="s">
        <v>753</v>
      </c>
      <c r="E67" s="912"/>
      <c r="F67" s="913"/>
      <c r="O67" s="1331" t="s">
        <v>405</v>
      </c>
      <c r="P67" s="1323" t="s">
        <v>850</v>
      </c>
      <c r="Q67" s="1367">
        <f ca="1">L51</f>
        <v>-579632</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-21349</v>
      </c>
      <c r="R68" s="1324" t="s">
        <v>414</v>
      </c>
    </row>
    <row r="69" spans="1:18" s="1289" customFormat="1" ht="13.5" thickBot="1">
      <c r="A69" s="895"/>
      <c r="B69" s="896"/>
      <c r="C69" s="296"/>
      <c r="D69" s="914" t="s">
        <v>762</v>
      </c>
      <c r="E69" s="894" t="s">
        <v>763</v>
      </c>
      <c r="F69" s="322">
        <f ca="1">F41</f>
        <v>0</v>
      </c>
      <c r="O69" s="1331" t="s">
        <v>411</v>
      </c>
      <c r="P69" s="1368" t="s">
        <v>872</v>
      </c>
      <c r="Q69" s="1324">
        <f ca="1">C39</f>
        <v>-3850</v>
      </c>
      <c r="R69" s="1324" t="s">
        <v>818</v>
      </c>
    </row>
    <row r="70" spans="1:18" s="1289" customFormat="1" ht="13.5" thickBot="1">
      <c r="A70" s="898"/>
      <c r="B70" s="899"/>
      <c r="C70" s="300"/>
      <c r="D70" s="910"/>
      <c r="E70" s="894" t="s">
        <v>766</v>
      </c>
      <c r="F70" s="989"/>
      <c r="O70" s="1331" t="s">
        <v>412</v>
      </c>
      <c r="P70" s="1368" t="s">
        <v>873</v>
      </c>
      <c r="Q70" s="1324">
        <f ca="1">C13</f>
        <v>349970</v>
      </c>
      <c r="R70" s="1324" t="s">
        <v>818</v>
      </c>
    </row>
    <row r="71" spans="1:18" s="1289" customFormat="1" ht="13.5" thickBot="1">
      <c r="A71" s="915" t="s">
        <v>396</v>
      </c>
      <c r="B71" s="916" t="s">
        <v>776</v>
      </c>
      <c r="C71" s="325">
        <f ca="1">ROUND(C68/F71,0)</f>
        <v>0</v>
      </c>
      <c r="D71" s="917" t="s">
        <v>777</v>
      </c>
      <c r="E71" s="918" t="s">
        <v>778</v>
      </c>
      <c r="F71" s="328">
        <f ca="1">F43</f>
        <v>120.79</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17499</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5.5449999999999999</v>
      </c>
    </row>
    <row r="80" spans="1:18">
      <c r="B80" s="329" t="s">
        <v>800</v>
      </c>
      <c r="C80" s="264">
        <f ca="1">ROUND(C75/C39,3)</f>
        <v>-4.5449999999999999</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52" t="s">
        <v>2314</v>
      </c>
      <c r="K2" s="3553"/>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54" t="s">
        <v>2324</v>
      </c>
      <c r="K3" s="3555"/>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54" t="s">
        <v>2326</v>
      </c>
      <c r="K4" s="3555"/>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60" t="s">
        <v>2330</v>
      </c>
      <c r="B6" s="3561"/>
      <c r="C6" s="3562"/>
      <c r="D6" s="2614"/>
      <c r="E6" s="2615"/>
      <c r="F6" s="2616"/>
      <c r="G6" s="2617"/>
      <c r="H6" s="2592"/>
      <c r="I6" s="2593"/>
      <c r="J6" s="3546">
        <v>1</v>
      </c>
      <c r="K6" s="3547"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46"/>
      <c r="K7" s="3548"/>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63" t="s">
        <v>2344</v>
      </c>
      <c r="C8" s="3564"/>
      <c r="D8" s="2633" t="s">
        <v>2345</v>
      </c>
      <c r="E8" s="2634" t="s">
        <v>2346</v>
      </c>
      <c r="F8" s="2635" t="s">
        <v>2347</v>
      </c>
      <c r="G8" s="2636"/>
      <c r="H8" s="2592"/>
      <c r="I8" s="2593"/>
      <c r="J8" s="3546"/>
      <c r="K8" s="3548"/>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63" t="s">
        <v>2350</v>
      </c>
      <c r="C9" s="3564"/>
      <c r="D9" s="2633">
        <f>ROUND(D6*E9,0)</f>
        <v>0</v>
      </c>
      <c r="E9" s="2637"/>
      <c r="F9" s="2638" t="s">
        <v>2351</v>
      </c>
      <c r="G9" s="2617"/>
      <c r="H9" s="2592"/>
      <c r="I9" s="2593"/>
      <c r="J9" s="3546"/>
      <c r="K9" s="3548"/>
      <c r="L9" s="2627" t="s">
        <v>2352</v>
      </c>
      <c r="M9" s="2628"/>
      <c r="N9" s="2604"/>
      <c r="O9" s="2629"/>
      <c r="P9" s="2629"/>
      <c r="Q9" s="2630">
        <v>365</v>
      </c>
      <c r="R9" s="2631">
        <f t="shared" si="0"/>
        <v>0</v>
      </c>
      <c r="S9" s="2585"/>
      <c r="T9" s="2585"/>
      <c r="U9" s="2585"/>
      <c r="V9" s="2593"/>
    </row>
    <row r="10" spans="1:22" s="2597" customFormat="1" ht="13.15" customHeight="1">
      <c r="A10" s="2632">
        <v>2</v>
      </c>
      <c r="B10" s="3563" t="s">
        <v>2353</v>
      </c>
      <c r="C10" s="3564"/>
      <c r="D10" s="2633">
        <f>ROUND(D6*E10,0)</f>
        <v>0</v>
      </c>
      <c r="E10" s="2637"/>
      <c r="F10" s="2638" t="s">
        <v>2354</v>
      </c>
      <c r="G10" s="2617"/>
      <c r="H10" s="2592"/>
      <c r="I10" s="2593"/>
      <c r="J10" s="3546"/>
      <c r="K10" s="3548"/>
      <c r="L10" s="2627" t="s">
        <v>2355</v>
      </c>
      <c r="M10" s="2628"/>
      <c r="N10" s="2604"/>
      <c r="O10" s="2629"/>
      <c r="P10" s="2629"/>
      <c r="Q10" s="2630">
        <v>365</v>
      </c>
      <c r="R10" s="2631">
        <f t="shared" si="0"/>
        <v>0</v>
      </c>
      <c r="S10" s="2585"/>
      <c r="T10" s="2585"/>
      <c r="U10" s="2585"/>
      <c r="V10" s="2593"/>
    </row>
    <row r="11" spans="1:22" s="2597" customFormat="1" ht="13.15" customHeight="1">
      <c r="A11" s="2632">
        <v>3</v>
      </c>
      <c r="B11" s="3563" t="s">
        <v>2356</v>
      </c>
      <c r="C11" s="3564"/>
      <c r="D11" s="2633">
        <f>D12+D14+D15+D16</f>
        <v>0</v>
      </c>
      <c r="E11" s="2639" t="e">
        <f>D11/D6</f>
        <v>#DIV/0!</v>
      </c>
      <c r="F11" s="2635"/>
      <c r="G11" s="2636"/>
      <c r="H11" s="2592"/>
      <c r="I11" s="2593"/>
      <c r="J11" s="3546"/>
      <c r="K11" s="3548"/>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56" t="s">
        <v>2359</v>
      </c>
      <c r="C12" s="3557"/>
      <c r="D12" s="2641">
        <f>ROUND(D13*1.2%*(1-30%),0)</f>
        <v>0</v>
      </c>
      <c r="E12" s="2642">
        <v>1.2E-2</v>
      </c>
      <c r="F12" s="2635" t="s">
        <v>2360</v>
      </c>
      <c r="G12" s="2636"/>
      <c r="H12" s="2592"/>
      <c r="I12" s="2593"/>
      <c r="J12" s="3546"/>
      <c r="K12" s="3548"/>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46"/>
      <c r="K13" s="3548"/>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56" t="s">
        <v>2365</v>
      </c>
      <c r="C14" s="3557"/>
      <c r="D14" s="2641">
        <f>ROUND(E14*B5/10000,0)</f>
        <v>0</v>
      </c>
      <c r="E14" s="2630"/>
      <c r="F14" s="2635" t="s">
        <v>2366</v>
      </c>
      <c r="G14" s="2636"/>
      <c r="H14" s="2592"/>
      <c r="I14" s="2593"/>
      <c r="J14" s="3546"/>
      <c r="K14" s="3549"/>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56" t="s">
        <v>2369</v>
      </c>
      <c r="C15" s="3557"/>
      <c r="D15" s="2641">
        <f>ROUND(D6*E15,0)</f>
        <v>0</v>
      </c>
      <c r="E15" s="2642">
        <v>5.5E-2</v>
      </c>
      <c r="F15" s="2635" t="s">
        <v>2370</v>
      </c>
      <c r="G15" s="2617"/>
      <c r="H15" s="2592"/>
      <c r="I15" s="2593"/>
      <c r="J15" s="3546">
        <v>2</v>
      </c>
      <c r="K15" s="3547"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56" t="s">
        <v>2378</v>
      </c>
      <c r="C16" s="3557"/>
      <c r="D16" s="2652">
        <f>D6*E16</f>
        <v>0</v>
      </c>
      <c r="E16" s="2653"/>
      <c r="F16" s="2638" t="s">
        <v>2379</v>
      </c>
      <c r="G16" s="2617"/>
      <c r="H16" s="2592"/>
      <c r="I16" s="2593"/>
      <c r="J16" s="3546"/>
      <c r="K16" s="3548"/>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58" t="s">
        <v>2381</v>
      </c>
      <c r="C17" s="3559"/>
      <c r="D17" s="2655">
        <f>ROUND(D6*E17,0)</f>
        <v>0</v>
      </c>
      <c r="E17" s="2656"/>
      <c r="F17" s="2657" t="s">
        <v>2382</v>
      </c>
      <c r="G17" s="2617"/>
      <c r="H17" s="2592"/>
      <c r="I17" s="2593"/>
      <c r="J17" s="3546"/>
      <c r="K17" s="3548"/>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46"/>
      <c r="K18" s="3548"/>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46"/>
      <c r="K19" s="3549"/>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46">
        <v>3</v>
      </c>
      <c r="K20" s="3547"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46"/>
      <c r="K21" s="3548"/>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46"/>
      <c r="K22" s="3548"/>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46"/>
      <c r="K23" s="3548"/>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46"/>
      <c r="K24" s="3549"/>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50">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51"/>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52" t="s">
        <v>2314</v>
      </c>
      <c r="K32" s="3553"/>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54" t="s">
        <v>2324</v>
      </c>
      <c r="K33" s="3555"/>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54" t="s">
        <v>2326</v>
      </c>
      <c r="K34" s="3555"/>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46">
        <v>1</v>
      </c>
      <c r="K36" s="3547"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46"/>
      <c r="K37" s="3548"/>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46"/>
      <c r="K38" s="3548"/>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46"/>
      <c r="K39" s="3548"/>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46"/>
      <c r="K40" s="3549"/>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50">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51"/>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61.889200000000002</v>
      </c>
      <c r="C2" s="1726" t="s">
        <v>1651</v>
      </c>
      <c r="D2" s="1727" t="s">
        <v>1652</v>
      </c>
      <c r="E2" s="2386">
        <f>SUM(E6:E13)</f>
        <v>120.79</v>
      </c>
      <c r="F2" s="2473"/>
      <c r="G2" s="457"/>
      <c r="H2" s="457"/>
      <c r="I2" s="457"/>
      <c r="J2" s="457"/>
      <c r="K2" s="457"/>
      <c r="L2" s="457"/>
      <c r="M2" s="457"/>
      <c r="N2" s="457"/>
      <c r="O2" s="457"/>
      <c r="P2" s="457"/>
      <c r="Q2" s="457"/>
      <c r="R2" s="457"/>
      <c r="S2" s="457"/>
    </row>
    <row r="3" spans="1:22" ht="15.75">
      <c r="A3" s="1725" t="s">
        <v>686</v>
      </c>
      <c r="B3" s="2380">
        <f ca="1">ROUND(B2*10000/E2,0)</f>
        <v>5124</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65" t="s">
        <v>1654</v>
      </c>
      <c r="C5" s="3566"/>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61.889200000000002</v>
      </c>
      <c r="C6" s="1726" t="s">
        <v>1651</v>
      </c>
      <c r="D6" s="2473"/>
      <c r="E6" s="2385">
        <f>IF(OR(A6=0,F6="否"),0,'数据-取费表'!K6+'数据-取费表'!S6)</f>
        <v>120.79</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K33" sqref="K33"/>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51.8551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4293</v>
      </c>
      <c r="C3" s="342" t="s">
        <v>1665</v>
      </c>
      <c r="D3" s="341">
        <f>IF(D1="",'数据-汇总表'!E3,SUMIF('数据-汇总表'!$C19:$C33,D1,'数据-汇总表'!$E19:$E33))</f>
        <v>120.79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85" t="s">
        <v>1667</v>
      </c>
      <c r="D4" s="3586"/>
      <c r="E4" s="3587" t="s">
        <v>1668</v>
      </c>
      <c r="F4" s="3588"/>
      <c r="G4" s="3585" t="s">
        <v>1669</v>
      </c>
      <c r="H4" s="3586"/>
      <c r="I4" s="3585" t="s">
        <v>1670</v>
      </c>
      <c r="J4" s="3586"/>
      <c r="K4" s="1741" t="s">
        <v>1671</v>
      </c>
      <c r="L4" s="2480"/>
      <c r="M4" s="2481"/>
      <c r="N4" s="2481"/>
      <c r="O4" s="2481"/>
      <c r="P4" s="3589" t="s">
        <v>1672</v>
      </c>
      <c r="Q4" s="3590"/>
      <c r="R4" s="3595" t="s">
        <v>1668</v>
      </c>
      <c r="S4" s="3596"/>
      <c r="T4" s="3595" t="s">
        <v>1669</v>
      </c>
      <c r="U4" s="3596"/>
      <c r="V4" s="3571" t="s">
        <v>1670</v>
      </c>
      <c r="W4" s="3571"/>
      <c r="X4" s="1262"/>
      <c r="Y4" s="3595" t="s">
        <v>1672</v>
      </c>
      <c r="Z4" s="3596"/>
      <c r="AA4" s="3582" t="s">
        <v>1668</v>
      </c>
      <c r="AB4" s="3582" t="s">
        <v>1669</v>
      </c>
      <c r="AC4" s="3582" t="s">
        <v>1670</v>
      </c>
    </row>
    <row r="5" spans="1:29" ht="15">
      <c r="A5" s="346"/>
      <c r="B5" s="347"/>
      <c r="C5" s="3608" t="s">
        <v>3475</v>
      </c>
      <c r="D5" s="3609"/>
      <c r="E5" s="3603" t="str">
        <f>案例!C2</f>
        <v>宏鑫家园</v>
      </c>
      <c r="F5" s="3604"/>
      <c r="G5" s="3603" t="str">
        <f>案例!C3</f>
        <v>琳琅庄园</v>
      </c>
      <c r="H5" s="3604"/>
      <c r="I5" s="3603" t="str">
        <f>案例!C4</f>
        <v>海特花园</v>
      </c>
      <c r="J5" s="3604"/>
      <c r="K5" s="1742"/>
      <c r="L5" s="2480"/>
      <c r="M5" s="2481"/>
      <c r="N5" s="2481"/>
      <c r="O5" s="2481"/>
      <c r="P5" s="3591"/>
      <c r="Q5" s="3592"/>
      <c r="R5" s="3597"/>
      <c r="S5" s="3598"/>
      <c r="T5" s="3597"/>
      <c r="U5" s="3598"/>
      <c r="V5" s="3571"/>
      <c r="W5" s="3571"/>
      <c r="X5" s="1262"/>
      <c r="Y5" s="3597"/>
      <c r="Z5" s="3598"/>
      <c r="AA5" s="3583"/>
      <c r="AB5" s="3583"/>
      <c r="AC5" s="3583"/>
    </row>
    <row r="6" spans="1:29" ht="15.75" thickBot="1">
      <c r="A6" s="348"/>
      <c r="B6" s="349"/>
      <c r="C6" s="3601" t="s">
        <v>1677</v>
      </c>
      <c r="D6" s="3602"/>
      <c r="E6" s="3610" t="s">
        <v>1677</v>
      </c>
      <c r="F6" s="3611"/>
      <c r="G6" s="3601" t="s">
        <v>1677</v>
      </c>
      <c r="H6" s="3602"/>
      <c r="I6" s="3601" t="s">
        <v>1677</v>
      </c>
      <c r="J6" s="3602"/>
      <c r="K6" s="1742" t="s">
        <v>1678</v>
      </c>
      <c r="L6" s="2480"/>
      <c r="M6" s="2481"/>
      <c r="N6" s="2481"/>
      <c r="O6" s="2481"/>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f>案例!L2</f>
        <v>37976</v>
      </c>
      <c r="F7" s="355">
        <f>SUMIF(58:58,YEAR(E7)&amp;"-"&amp;MONTH(E7),59:59)</f>
        <v>99</v>
      </c>
      <c r="G7" s="354">
        <f>案例!L3</f>
        <v>37959</v>
      </c>
      <c r="H7" s="353">
        <f>SUMIF(58:58,YEAR(G7)&amp;"-"&amp;MONTH(G7),59:59)</f>
        <v>99</v>
      </c>
      <c r="I7" s="354">
        <f>案例!L4</f>
        <v>37992</v>
      </c>
      <c r="J7" s="353">
        <f>SUMIF(58:58,YEAR(I7)&amp;"-"&amp;MONTH(I7),59:59)</f>
        <v>100</v>
      </c>
      <c r="K7" s="3172"/>
      <c r="L7" s="2482"/>
      <c r="M7" s="2433"/>
      <c r="N7" s="2433"/>
      <c r="O7" s="2433"/>
      <c r="P7" s="3605" t="s">
        <v>1680</v>
      </c>
      <c r="Q7" s="3607"/>
      <c r="R7" s="662" t="s">
        <v>20</v>
      </c>
      <c r="S7" s="663">
        <f t="shared" ref="S7:S15" si="0">F7</f>
        <v>99</v>
      </c>
      <c r="T7" s="662" t="s">
        <v>20</v>
      </c>
      <c r="U7" s="663">
        <f t="shared" ref="U7:U15" si="1">H7</f>
        <v>99</v>
      </c>
      <c r="V7" s="662" t="s">
        <v>20</v>
      </c>
      <c r="W7" s="663">
        <f t="shared" ref="W7:W15" si="2">J7</f>
        <v>100</v>
      </c>
      <c r="X7" s="664"/>
      <c r="Y7" s="3605" t="s">
        <v>1680</v>
      </c>
      <c r="Z7" s="3606"/>
      <c r="AA7" s="50">
        <f>D7/F7</f>
        <v>1.0101010101010102</v>
      </c>
      <c r="AB7" s="50">
        <f>D7/H7</f>
        <v>1.0101010101010102</v>
      </c>
      <c r="AC7" s="50">
        <f>D7/J7</f>
        <v>1</v>
      </c>
    </row>
    <row r="8" spans="1:29" s="101" customFormat="1" ht="15.75" thickBot="1">
      <c r="A8" s="350" t="s">
        <v>1681</v>
      </c>
      <c r="B8" s="351"/>
      <c r="C8" s="356" t="s">
        <v>3414</v>
      </c>
      <c r="D8" s="353">
        <v>100</v>
      </c>
      <c r="E8" s="356" t="s">
        <v>3414</v>
      </c>
      <c r="F8" s="355">
        <f>SUMIF(61:61,E8,62:62)-SUMIF(61:61,C8,62:62)+100</f>
        <v>100</v>
      </c>
      <c r="G8" s="356" t="s">
        <v>3414</v>
      </c>
      <c r="H8" s="353">
        <f>SUMIF(61:61,G8,62:62)-SUMIF(61:61,C8,62:62)+100</f>
        <v>100</v>
      </c>
      <c r="I8" s="356" t="s">
        <v>3414</v>
      </c>
      <c r="J8" s="353">
        <f>SUMIF(61:61,I8,62:62)-SUMIF(61:61,C8,62:62)+100</f>
        <v>100</v>
      </c>
      <c r="K8" s="1743"/>
      <c r="L8" s="2482"/>
      <c r="M8" s="2433"/>
      <c r="N8" s="2433"/>
      <c r="O8" s="2433"/>
      <c r="P8" s="3605" t="s">
        <v>1683</v>
      </c>
      <c r="Q8" s="3606"/>
      <c r="R8" s="662" t="s">
        <v>20</v>
      </c>
      <c r="S8" s="663">
        <f t="shared" si="0"/>
        <v>100</v>
      </c>
      <c r="T8" s="662" t="s">
        <v>20</v>
      </c>
      <c r="U8" s="663">
        <f t="shared" si="1"/>
        <v>100</v>
      </c>
      <c r="V8" s="662" t="s">
        <v>20</v>
      </c>
      <c r="W8" s="663">
        <f t="shared" si="2"/>
        <v>100</v>
      </c>
      <c r="X8" s="664"/>
      <c r="Y8" s="3605" t="s">
        <v>1683</v>
      </c>
      <c r="Z8" s="3606"/>
      <c r="AA8" s="50">
        <f t="shared" ref="AA8:AA19" si="3">D8/F8</f>
        <v>1</v>
      </c>
      <c r="AB8" s="50">
        <f t="shared" ref="AB8:AB19" si="4">D8/H8</f>
        <v>1</v>
      </c>
      <c r="AC8" s="50">
        <f t="shared" ref="AC8:AC19" si="5">D8/J8</f>
        <v>1</v>
      </c>
    </row>
    <row r="9" spans="1:29" s="101" customFormat="1">
      <c r="A9" s="357" t="s">
        <v>1684</v>
      </c>
      <c r="B9" s="60" t="s">
        <v>1685</v>
      </c>
      <c r="C9" s="3152" t="s">
        <v>3417</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81"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50">
        <f t="shared" si="5"/>
        <v>1</v>
      </c>
    </row>
    <row r="10" spans="1:29" s="364" customFormat="1" ht="15.75" thickBot="1">
      <c r="A10" s="361"/>
      <c r="B10" s="3171" t="s">
        <v>3445</v>
      </c>
      <c r="C10" s="3175" t="s">
        <v>3447</v>
      </c>
      <c r="D10" s="117">
        <v>100</v>
      </c>
      <c r="E10" s="3173" t="s">
        <v>3446</v>
      </c>
      <c r="F10" s="362">
        <f>SUMIF(65:65,E10,66:66)-SUMIF(65:65,C10,66:66)+100</f>
        <v>100</v>
      </c>
      <c r="G10" s="3173" t="s">
        <v>3446</v>
      </c>
      <c r="H10" s="117">
        <f>SUMIF(65:65,G10,66:66)-SUMIF(65:65,C10,66:66)+100</f>
        <v>100</v>
      </c>
      <c r="I10" s="3173" t="s">
        <v>3446</v>
      </c>
      <c r="J10" s="117">
        <f>SUMIF(65:65,I10,66:66)-SUMIF(65:65,C10,66:66)+100</f>
        <v>100</v>
      </c>
      <c r="K10" s="1743"/>
      <c r="L10" s="2483"/>
      <c r="M10" s="2484"/>
      <c r="N10" s="2484"/>
      <c r="O10" s="2484"/>
      <c r="P10" s="3581"/>
      <c r="Q10" s="528" t="str">
        <f t="shared" si="6"/>
        <v>房屋性质</v>
      </c>
      <c r="R10" s="662" t="s">
        <v>14</v>
      </c>
      <c r="S10" s="663">
        <f t="shared" si="0"/>
        <v>100</v>
      </c>
      <c r="T10" s="662" t="s">
        <v>14</v>
      </c>
      <c r="U10" s="663">
        <f t="shared" si="1"/>
        <v>100</v>
      </c>
      <c r="V10" s="662" t="s">
        <v>14</v>
      </c>
      <c r="W10" s="663">
        <f t="shared" si="2"/>
        <v>100</v>
      </c>
      <c r="X10" s="664"/>
      <c r="Y10" s="3445"/>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81"/>
      <c r="Q11" s="528" t="str">
        <f t="shared" si="6"/>
        <v>容积率</v>
      </c>
      <c r="R11" s="662" t="s">
        <v>18</v>
      </c>
      <c r="S11" s="663">
        <f t="shared" si="0"/>
        <v>100</v>
      </c>
      <c r="T11" s="662" t="s">
        <v>18</v>
      </c>
      <c r="U11" s="663">
        <f t="shared" si="1"/>
        <v>100</v>
      </c>
      <c r="V11" s="662" t="s">
        <v>18</v>
      </c>
      <c r="W11" s="663">
        <f t="shared" si="2"/>
        <v>100</v>
      </c>
      <c r="X11" s="664"/>
      <c r="Y11" s="3445"/>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81"/>
      <c r="Q12" s="528">
        <f t="shared" si="6"/>
        <v>111</v>
      </c>
      <c r="R12" s="662" t="s">
        <v>18</v>
      </c>
      <c r="S12" s="663">
        <f t="shared" si="0"/>
        <v>100</v>
      </c>
      <c r="T12" s="662" t="s">
        <v>18</v>
      </c>
      <c r="U12" s="663">
        <f t="shared" si="1"/>
        <v>100</v>
      </c>
      <c r="V12" s="662" t="s">
        <v>18</v>
      </c>
      <c r="W12" s="663">
        <f t="shared" si="2"/>
        <v>100</v>
      </c>
      <c r="X12" s="664"/>
      <c r="Y12" s="3445"/>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81"/>
      <c r="Q13" s="528">
        <f t="shared" si="6"/>
        <v>111</v>
      </c>
      <c r="R13" s="662" t="s">
        <v>18</v>
      </c>
      <c r="S13" s="663">
        <f t="shared" si="0"/>
        <v>100</v>
      </c>
      <c r="T13" s="662" t="s">
        <v>18</v>
      </c>
      <c r="U13" s="663">
        <f t="shared" si="1"/>
        <v>100</v>
      </c>
      <c r="V13" s="662" t="s">
        <v>18</v>
      </c>
      <c r="W13" s="663">
        <f t="shared" si="2"/>
        <v>100</v>
      </c>
      <c r="X13" s="664"/>
      <c r="Y13" s="3445"/>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81"/>
      <c r="Q14" s="528">
        <f t="shared" si="6"/>
        <v>111</v>
      </c>
      <c r="R14" s="662" t="s">
        <v>18</v>
      </c>
      <c r="S14" s="663">
        <f t="shared" si="0"/>
        <v>100</v>
      </c>
      <c r="T14" s="662" t="s">
        <v>18</v>
      </c>
      <c r="U14" s="663">
        <f t="shared" si="1"/>
        <v>100</v>
      </c>
      <c r="V14" s="662" t="s">
        <v>18</v>
      </c>
      <c r="W14" s="663">
        <f t="shared" si="2"/>
        <v>100</v>
      </c>
      <c r="X14" s="664"/>
      <c r="Y14" s="3445"/>
      <c r="Z14" s="50">
        <f t="shared" si="7"/>
        <v>111</v>
      </c>
      <c r="AA14" s="50">
        <f t="shared" si="3"/>
        <v>1</v>
      </c>
      <c r="AB14" s="50">
        <f t="shared" si="4"/>
        <v>1</v>
      </c>
      <c r="AC14" s="50">
        <f t="shared" si="5"/>
        <v>1</v>
      </c>
    </row>
    <row r="15" spans="1:29" ht="41.25" customHeight="1">
      <c r="A15" s="377" t="s">
        <v>1690</v>
      </c>
      <c r="B15" s="58" t="s">
        <v>1257</v>
      </c>
      <c r="C15" s="1746" t="str">
        <f>估价对象房地状况!C3</f>
        <v>周边有海特花园、西黄新村北里、八大处路33号院、黄南苑小区等住宅小区，居住社区成熟度较好。</v>
      </c>
      <c r="D15" s="378">
        <v>100</v>
      </c>
      <c r="E15" s="3155" t="s">
        <v>3895</v>
      </c>
      <c r="F15" s="378">
        <f>SUMIF(76:76,E16,77:77)-SUMIF(76:76,C16,77:77)+100</f>
        <v>100</v>
      </c>
      <c r="G15" s="3155" t="s">
        <v>3946</v>
      </c>
      <c r="H15" s="378">
        <f>SUMIF(76:76,G16,77:77)-SUMIF(76:76,C16,77:77)+100</f>
        <v>100</v>
      </c>
      <c r="I15" s="3155" t="str">
        <f>估价对象房地状况!C3</f>
        <v>周边有海特花园、西黄新村北里、八大处路33号院、黄南苑小区等住宅小区，居住社区成熟度较好。</v>
      </c>
      <c r="J15" s="378">
        <f>SUMIF(76:76,I16,77:77)-SUMIF(76:76,C16,77:77)+100</f>
        <v>100</v>
      </c>
      <c r="K15" s="382"/>
      <c r="L15" s="2486"/>
      <c r="M15" s="2481"/>
      <c r="N15" s="2481"/>
      <c r="O15" s="2481"/>
      <c r="P15" s="3579" t="s">
        <v>1691</v>
      </c>
      <c r="Q15" s="1260" t="str">
        <f t="shared" si="6"/>
        <v>居住社区成熟度</v>
      </c>
      <c r="R15" s="665" t="s">
        <v>18</v>
      </c>
      <c r="S15" s="666">
        <f t="shared" si="0"/>
        <v>100</v>
      </c>
      <c r="T15" s="665" t="s">
        <v>18</v>
      </c>
      <c r="U15" s="666">
        <f t="shared" si="1"/>
        <v>100</v>
      </c>
      <c r="V15" s="665" t="s">
        <v>18</v>
      </c>
      <c r="W15" s="666">
        <f t="shared" si="2"/>
        <v>100</v>
      </c>
      <c r="X15" s="1262"/>
      <c r="Y15" s="3572"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80"/>
      <c r="Q16" s="1260"/>
      <c r="R16" s="665"/>
      <c r="S16" s="666"/>
      <c r="T16" s="665"/>
      <c r="U16" s="666"/>
      <c r="V16" s="665"/>
      <c r="W16" s="666"/>
      <c r="X16" s="1262"/>
      <c r="Y16" s="3573"/>
      <c r="Z16" s="1261"/>
      <c r="AA16" s="1261">
        <v>1</v>
      </c>
      <c r="AB16" s="1261">
        <v>1</v>
      </c>
      <c r="AC16" s="1261">
        <v>1</v>
      </c>
    </row>
    <row r="17" spans="1:29" ht="34.5" customHeight="1">
      <c r="A17" s="365"/>
      <c r="B17" s="388" t="s">
        <v>1259</v>
      </c>
      <c r="C17" s="1750" t="str">
        <f>估价对象房地状况!C6</f>
        <v>周边有399路、965路、985路等多条公交线路，综合评价交通便捷度一般</v>
      </c>
      <c r="D17" s="387">
        <v>100</v>
      </c>
      <c r="E17" s="3167" t="s">
        <v>3891</v>
      </c>
      <c r="F17" s="387">
        <f>SUMIF(78:78,E18,79:79)-SUMIF(78:78,C18,79:79)+100</f>
        <v>100</v>
      </c>
      <c r="G17" s="3167" t="s">
        <v>3945</v>
      </c>
      <c r="H17" s="392">
        <f>SUMIF(78:78,G18,79:79)-SUMIF(78:78,C18,79:79)+100</f>
        <v>100</v>
      </c>
      <c r="I17" s="3168" t="str">
        <f>估价对象房地状况!C6</f>
        <v>周边有399路、965路、985路等多条公交线路，综合评价交通便捷度一般</v>
      </c>
      <c r="J17" s="392">
        <f>SUMIF(78:78,I18,79:79)-SUMIF(78:78,C18,79:79)+100</f>
        <v>100</v>
      </c>
      <c r="K17" s="382"/>
      <c r="L17" s="2486"/>
      <c r="M17" s="2481"/>
      <c r="N17" s="2481"/>
      <c r="O17" s="2481"/>
      <c r="P17" s="3580"/>
      <c r="Q17" s="1260" t="str">
        <f>B17</f>
        <v>交通便捷度</v>
      </c>
      <c r="R17" s="665" t="s">
        <v>18</v>
      </c>
      <c r="S17" s="666">
        <f>F17</f>
        <v>100</v>
      </c>
      <c r="T17" s="665" t="s">
        <v>18</v>
      </c>
      <c r="U17" s="666">
        <f>H17</f>
        <v>100</v>
      </c>
      <c r="V17" s="665" t="s">
        <v>18</v>
      </c>
      <c r="W17" s="666">
        <f>J17</f>
        <v>100</v>
      </c>
      <c r="X17" s="1262"/>
      <c r="Y17" s="3573"/>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80"/>
      <c r="Q18" s="1260"/>
      <c r="R18" s="665"/>
      <c r="S18" s="666"/>
      <c r="T18" s="665"/>
      <c r="U18" s="666"/>
      <c r="V18" s="665"/>
      <c r="W18" s="666"/>
      <c r="X18" s="1262"/>
      <c r="Y18" s="3573"/>
      <c r="Z18" s="1261"/>
      <c r="AA18" s="1261">
        <v>1</v>
      </c>
      <c r="AB18" s="1261">
        <v>1</v>
      </c>
      <c r="AC18" s="1261">
        <v>1</v>
      </c>
    </row>
    <row r="19" spans="1:29" ht="299.25" customHeight="1">
      <c r="A19" s="365"/>
      <c r="B19" s="388" t="s">
        <v>1258</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169" t="s">
        <v>3894</v>
      </c>
      <c r="F19" s="392">
        <f>SUMIF(80:80,E20,81:81)-SUMIF(80:80,C20,81:81)+100</f>
        <v>100</v>
      </c>
      <c r="G19" s="3169" t="str">
        <f>I19</f>
        <v>银行：中国工商银行等金融机构；
医院：北京大学首钢医院等医疗机构；
学校：首钢工学院、北方工业大学、苹果园中学、杨庄中学、苹果园第二小学等教育机构；
商业：当代商城等商业设施；
综合评价公共服务设施齐备度较好。</v>
      </c>
      <c r="H19" s="387">
        <f>SUMIF(80:80,G20,81:81)-SUMIF(80:80,C20,81:81)+100</f>
        <v>100</v>
      </c>
      <c r="I19" s="3169" t="str">
        <f>E19</f>
        <v>银行：中国工商银行等金融机构；
医院：北京大学首钢医院等医疗机构；
学校：首钢工学院、北方工业大学、苹果园中学、杨庄中学、苹果园第二小学等教育机构；
商业：当代商城等商业设施；
综合评价公共服务设施齐备度较好。</v>
      </c>
      <c r="J19" s="387">
        <f>SUMIF(80:80,I20,81:81)-SUMIF(80:80,C20,81:81)+100</f>
        <v>100</v>
      </c>
      <c r="K19" s="382"/>
      <c r="L19" s="2486"/>
      <c r="M19" s="2481"/>
      <c r="N19" s="2481"/>
      <c r="O19" s="2481"/>
      <c r="P19" s="3580"/>
      <c r="Q19" s="1260" t="str">
        <f>B19</f>
        <v>公共配套设施</v>
      </c>
      <c r="R19" s="665" t="s">
        <v>18</v>
      </c>
      <c r="S19" s="666">
        <f>F19</f>
        <v>100</v>
      </c>
      <c r="T19" s="665" t="s">
        <v>18</v>
      </c>
      <c r="U19" s="666">
        <f>H19</f>
        <v>100</v>
      </c>
      <c r="V19" s="665" t="s">
        <v>18</v>
      </c>
      <c r="W19" s="666">
        <f>J19</f>
        <v>100</v>
      </c>
      <c r="X19" s="1262"/>
      <c r="Y19" s="3573"/>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80"/>
      <c r="Q20" s="1260"/>
      <c r="R20" s="665"/>
      <c r="S20" s="666"/>
      <c r="T20" s="665"/>
      <c r="U20" s="666"/>
      <c r="V20" s="665"/>
      <c r="W20" s="666"/>
      <c r="X20" s="1262"/>
      <c r="Y20" s="3573"/>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80"/>
      <c r="Q21" s="1260" t="str">
        <f>B21</f>
        <v>基础设施水平</v>
      </c>
      <c r="R21" s="665" t="s">
        <v>14</v>
      </c>
      <c r="S21" s="666">
        <f>F21</f>
        <v>100</v>
      </c>
      <c r="T21" s="665" t="s">
        <v>14</v>
      </c>
      <c r="U21" s="666">
        <f>H21</f>
        <v>100</v>
      </c>
      <c r="V21" s="665" t="s">
        <v>14</v>
      </c>
      <c r="W21" s="666">
        <f>J21</f>
        <v>100</v>
      </c>
      <c r="X21" s="1262"/>
      <c r="Y21" s="3573"/>
      <c r="Z21" s="1261" t="str">
        <f>Q21</f>
        <v>基础设施水平</v>
      </c>
      <c r="AA21" s="1261">
        <f>D21/F21</f>
        <v>1</v>
      </c>
      <c r="AB21" s="1261">
        <f>D21/H21</f>
        <v>1</v>
      </c>
      <c r="AC21" s="1261">
        <f>D21/J21</f>
        <v>1</v>
      </c>
    </row>
    <row r="22" spans="1:29" ht="15">
      <c r="A22" s="365"/>
      <c r="B22" s="584"/>
      <c r="C22" s="1751" t="s">
        <v>3407</v>
      </c>
      <c r="D22" s="385"/>
      <c r="E22" s="3162" t="s">
        <v>3407</v>
      </c>
      <c r="F22" s="385"/>
      <c r="G22" s="1751" t="s">
        <v>3407</v>
      </c>
      <c r="H22" s="385"/>
      <c r="I22" s="1751" t="s">
        <v>3407</v>
      </c>
      <c r="J22" s="385"/>
      <c r="K22" s="1755"/>
      <c r="L22" s="2486"/>
      <c r="M22" s="2481"/>
      <c r="N22" s="2481"/>
      <c r="O22" s="2481"/>
      <c r="P22" s="3580"/>
      <c r="Q22" s="1260"/>
      <c r="R22" s="665"/>
      <c r="S22" s="666"/>
      <c r="T22" s="665"/>
      <c r="U22" s="666"/>
      <c r="V22" s="665"/>
      <c r="W22" s="666"/>
      <c r="X22" s="1262"/>
      <c r="Y22" s="3573"/>
      <c r="Z22" s="1261"/>
      <c r="AA22" s="1261">
        <v>1</v>
      </c>
      <c r="AB22" s="1261">
        <v>1</v>
      </c>
      <c r="AC22" s="1261">
        <v>1</v>
      </c>
    </row>
    <row r="23" spans="1:29" ht="81">
      <c r="A23" s="365"/>
      <c r="B23" s="388" t="s">
        <v>1261</v>
      </c>
      <c r="C23" s="1750" t="str">
        <f>估价对象房地状况!C9</f>
        <v>周边有八大处公园及永定河引水渠等自然及人文景观，
综合评价环境状况较好。</v>
      </c>
      <c r="D23" s="387">
        <v>100</v>
      </c>
      <c r="E23" s="3168" t="s">
        <v>3893</v>
      </c>
      <c r="F23" s="387">
        <f>SUMIF(84:84,E24,85:85)-SUMIF(84:84,C24,85:85)+100</f>
        <v>100</v>
      </c>
      <c r="G23" s="3168" t="str">
        <f>E23</f>
        <v>周边有法海寺森林公园及永定河引水渠等自然及人文景观，
综合评价环境状况较好。</v>
      </c>
      <c r="H23" s="387">
        <f>SUMIF(84:84,G24,85:85)-SUMIF(84:84,C24,85:85)+100</f>
        <v>100</v>
      </c>
      <c r="I23" s="3168" t="str">
        <f>C23</f>
        <v>周边有八大处公园及永定河引水渠等自然及人文景观，
综合评价环境状况较好。</v>
      </c>
      <c r="J23" s="387">
        <f>SUMIF(84:84,I24,85:85)-SUMIF(84:84,C24,85:85)+100</f>
        <v>100</v>
      </c>
      <c r="K23" s="382"/>
      <c r="L23" s="2486"/>
      <c r="M23" s="2481"/>
      <c r="N23" s="2481"/>
      <c r="O23" s="2481"/>
      <c r="P23" s="3580"/>
      <c r="Q23" s="1260" t="str">
        <f>B23</f>
        <v>自然及人文环境</v>
      </c>
      <c r="R23" s="665" t="s">
        <v>18</v>
      </c>
      <c r="S23" s="666">
        <f>F23</f>
        <v>100</v>
      </c>
      <c r="T23" s="665" t="s">
        <v>18</v>
      </c>
      <c r="U23" s="666">
        <f>H23</f>
        <v>100</v>
      </c>
      <c r="V23" s="665" t="s">
        <v>18</v>
      </c>
      <c r="W23" s="666">
        <f>J23</f>
        <v>100</v>
      </c>
      <c r="X23" s="1262"/>
      <c r="Y23" s="3573"/>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80"/>
      <c r="Q24" s="1260"/>
      <c r="R24" s="665"/>
      <c r="S24" s="666"/>
      <c r="T24" s="665"/>
      <c r="U24" s="666"/>
      <c r="V24" s="665"/>
      <c r="W24" s="666"/>
      <c r="X24" s="1262"/>
      <c r="Y24" s="3573"/>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80"/>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73"/>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3460</v>
      </c>
      <c r="D26" s="372">
        <v>100</v>
      </c>
      <c r="E26" s="1756" t="s">
        <v>3460</v>
      </c>
      <c r="F26" s="372">
        <f>SUMIF(88:88,E26,89:89)-SUMIF(88:88,C26,89:89)+100</f>
        <v>100</v>
      </c>
      <c r="G26" s="1756" t="s">
        <v>3460</v>
      </c>
      <c r="H26" s="372">
        <f>SUMIF(88:88,G26,89:89)-SUMIF(88:88,C26,89:89)+100</f>
        <v>100</v>
      </c>
      <c r="I26" s="1757" t="s">
        <v>3827</v>
      </c>
      <c r="J26" s="372">
        <f>SUMIF(88:88,I26,89:89)-SUMIF(88:88,C26,89:89)+100</f>
        <v>99.5</v>
      </c>
      <c r="K26" s="3696">
        <v>0.5</v>
      </c>
      <c r="L26" s="2486"/>
      <c r="M26" s="2481"/>
      <c r="N26" s="2481"/>
      <c r="O26" s="2481"/>
      <c r="P26" s="3580"/>
      <c r="Q26" s="1260" t="str">
        <f t="shared" si="8"/>
        <v>朝向</v>
      </c>
      <c r="R26" s="665" t="s">
        <v>18</v>
      </c>
      <c r="S26" s="666">
        <f t="shared" si="9"/>
        <v>100</v>
      </c>
      <c r="T26" s="665" t="s">
        <v>18</v>
      </c>
      <c r="U26" s="666">
        <f t="shared" si="10"/>
        <v>100</v>
      </c>
      <c r="V26" s="665" t="s">
        <v>18</v>
      </c>
      <c r="W26" s="666">
        <f t="shared" si="11"/>
        <v>99.5</v>
      </c>
      <c r="X26" s="1262"/>
      <c r="Y26" s="3573"/>
      <c r="Z26" s="1261" t="str">
        <f>Q26</f>
        <v>朝向</v>
      </c>
      <c r="AA26" s="1261">
        <f t="shared" si="12"/>
        <v>1</v>
      </c>
      <c r="AB26" s="1261">
        <f t="shared" si="13"/>
        <v>1</v>
      </c>
      <c r="AC26" s="1261">
        <f t="shared" si="14"/>
        <v>1.0050251256281406</v>
      </c>
    </row>
    <row r="27" spans="1:29" s="101" customFormat="1" ht="15">
      <c r="A27" s="368"/>
      <c r="B27" s="3140" t="s">
        <v>3390</v>
      </c>
      <c r="C27" s="3170" t="s">
        <v>3456</v>
      </c>
      <c r="D27" s="399">
        <v>100</v>
      </c>
      <c r="E27" s="3170" t="s">
        <v>3456</v>
      </c>
      <c r="F27" s="399">
        <f>D91</f>
        <v>100</v>
      </c>
      <c r="G27" s="3170" t="s">
        <v>3456</v>
      </c>
      <c r="H27" s="3697">
        <f>F27</f>
        <v>100</v>
      </c>
      <c r="I27" s="3170" t="s">
        <v>3830</v>
      </c>
      <c r="J27" s="399">
        <f>C91</f>
        <v>102</v>
      </c>
      <c r="K27" s="1744">
        <v>2</v>
      </c>
      <c r="L27" s="2482"/>
      <c r="M27" s="2433"/>
      <c r="N27" s="2433"/>
      <c r="O27" s="2433"/>
      <c r="P27" s="3580"/>
      <c r="Q27" s="528" t="str">
        <f t="shared" si="8"/>
        <v>楼层</v>
      </c>
      <c r="R27" s="662" t="s">
        <v>18</v>
      </c>
      <c r="S27" s="663">
        <f t="shared" si="9"/>
        <v>100</v>
      </c>
      <c r="T27" s="662" t="s">
        <v>18</v>
      </c>
      <c r="U27" s="663">
        <f t="shared" si="10"/>
        <v>100</v>
      </c>
      <c r="V27" s="662" t="s">
        <v>18</v>
      </c>
      <c r="W27" s="663">
        <f t="shared" si="11"/>
        <v>102</v>
      </c>
      <c r="X27" s="664"/>
      <c r="Y27" s="3573"/>
      <c r="Z27" s="50" t="str">
        <f>Q27</f>
        <v>楼层</v>
      </c>
      <c r="AA27" s="1261">
        <f t="shared" si="12"/>
        <v>1</v>
      </c>
      <c r="AB27" s="1261">
        <f t="shared" si="13"/>
        <v>1</v>
      </c>
      <c r="AC27" s="1261">
        <f t="shared" si="14"/>
        <v>0.98039215686274506</v>
      </c>
    </row>
    <row r="28" spans="1:29" ht="15" hidden="1">
      <c r="A28" s="365"/>
      <c r="B28" s="3140" t="s">
        <v>3429</v>
      </c>
      <c r="C28" s="3142" t="s">
        <v>3432</v>
      </c>
      <c r="D28" s="372">
        <v>100</v>
      </c>
      <c r="E28" s="3142" t="s">
        <v>3432</v>
      </c>
      <c r="F28" s="372">
        <f>SUMIF(92:92,E28,93:93)-SUMIF(92:92,C28,93:93)+100</f>
        <v>100</v>
      </c>
      <c r="G28" s="3142" t="s">
        <v>3432</v>
      </c>
      <c r="H28" s="372">
        <f>SUMIF(92:92,G28,93:93)-SUMIF(92:92,C28,93:93)+100</f>
        <v>100</v>
      </c>
      <c r="I28" s="3142" t="s">
        <v>3432</v>
      </c>
      <c r="J28" s="372">
        <f>SUMIF(92:92,I28,93:93)-SUMIF(92:92,C28,93:93)+100</f>
        <v>100</v>
      </c>
      <c r="K28" s="1744"/>
      <c r="L28" s="2486"/>
      <c r="M28" s="2481"/>
      <c r="N28" s="2481"/>
      <c r="O28" s="2481"/>
      <c r="P28" s="3580"/>
      <c r="Q28" s="1260" t="str">
        <f t="shared" si="8"/>
        <v>道路级别</v>
      </c>
      <c r="R28" s="665" t="s">
        <v>18</v>
      </c>
      <c r="S28" s="666">
        <f t="shared" si="9"/>
        <v>100</v>
      </c>
      <c r="T28" s="665" t="s">
        <v>18</v>
      </c>
      <c r="U28" s="666">
        <f t="shared" si="10"/>
        <v>100</v>
      </c>
      <c r="V28" s="665" t="s">
        <v>18</v>
      </c>
      <c r="W28" s="666">
        <f t="shared" si="11"/>
        <v>100</v>
      </c>
      <c r="X28" s="1262"/>
      <c r="Y28" s="3573"/>
      <c r="Z28" s="1261" t="str">
        <f t="shared" ref="Z28:Z46" si="15">Q28</f>
        <v>道路级别</v>
      </c>
      <c r="AA28" s="1261">
        <f t="shared" si="12"/>
        <v>1</v>
      </c>
      <c r="AB28" s="1261">
        <f t="shared" si="13"/>
        <v>1</v>
      </c>
      <c r="AC28" s="1261">
        <f t="shared" si="14"/>
        <v>1</v>
      </c>
    </row>
    <row r="29" spans="1:29" ht="15">
      <c r="A29" s="365"/>
      <c r="B29" s="1064">
        <v>111</v>
      </c>
      <c r="C29" s="3170" t="s">
        <v>3828</v>
      </c>
      <c r="D29" s="372">
        <v>100</v>
      </c>
      <c r="E29" s="3170" t="s">
        <v>3892</v>
      </c>
      <c r="F29" s="372">
        <f>SUMIF(94:94,E29,95:95)-SUMIF(94:94,C29,95:95)+100</f>
        <v>100</v>
      </c>
      <c r="G29" s="3170" t="s">
        <v>3943</v>
      </c>
      <c r="H29" s="372">
        <f>SUMIF(94:94,G29,95:95)-SUMIF(94:94,C29,95:95)+100</f>
        <v>100</v>
      </c>
      <c r="I29" s="3170" t="s">
        <v>3829</v>
      </c>
      <c r="J29" s="372">
        <f>SUMIF(94:94,I29,95:95)-SUMIF(94:94,C29,95:95)+100</f>
        <v>100</v>
      </c>
      <c r="K29" s="1744"/>
      <c r="L29" s="2486"/>
      <c r="M29" s="2481"/>
      <c r="N29" s="2481"/>
      <c r="O29" s="2481"/>
      <c r="P29" s="3580"/>
      <c r="Q29" s="1260">
        <f t="shared" si="8"/>
        <v>111</v>
      </c>
      <c r="R29" s="665" t="s">
        <v>18</v>
      </c>
      <c r="S29" s="666">
        <f t="shared" si="9"/>
        <v>100</v>
      </c>
      <c r="T29" s="665" t="s">
        <v>18</v>
      </c>
      <c r="U29" s="666">
        <f t="shared" si="10"/>
        <v>100</v>
      </c>
      <c r="V29" s="665" t="s">
        <v>18</v>
      </c>
      <c r="W29" s="666">
        <f t="shared" si="11"/>
        <v>100</v>
      </c>
      <c r="X29" s="1262"/>
      <c r="Y29" s="3573"/>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80"/>
      <c r="Q30" s="1260">
        <f t="shared" si="8"/>
        <v>111</v>
      </c>
      <c r="R30" s="665" t="s">
        <v>18</v>
      </c>
      <c r="S30" s="666">
        <f t="shared" si="9"/>
        <v>100</v>
      </c>
      <c r="T30" s="665" t="s">
        <v>18</v>
      </c>
      <c r="U30" s="666">
        <f t="shared" si="10"/>
        <v>100</v>
      </c>
      <c r="V30" s="665" t="s">
        <v>18</v>
      </c>
      <c r="W30" s="666">
        <f t="shared" si="11"/>
        <v>100</v>
      </c>
      <c r="X30" s="1262"/>
      <c r="Y30" s="3573"/>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80"/>
      <c r="Q31" s="1260">
        <f t="shared" si="8"/>
        <v>111</v>
      </c>
      <c r="R31" s="665" t="s">
        <v>18</v>
      </c>
      <c r="S31" s="666">
        <f t="shared" si="9"/>
        <v>100</v>
      </c>
      <c r="T31" s="665" t="s">
        <v>18</v>
      </c>
      <c r="U31" s="666">
        <f t="shared" si="10"/>
        <v>100</v>
      </c>
      <c r="V31" s="665" t="s">
        <v>18</v>
      </c>
      <c r="W31" s="666">
        <f t="shared" si="11"/>
        <v>100</v>
      </c>
      <c r="X31" s="1262"/>
      <c r="Y31" s="3573"/>
      <c r="Z31" s="1261">
        <f t="shared" si="15"/>
        <v>111</v>
      </c>
      <c r="AA31" s="1261">
        <f t="shared" si="12"/>
        <v>1</v>
      </c>
      <c r="AB31" s="1261">
        <f t="shared" si="13"/>
        <v>1</v>
      </c>
      <c r="AC31" s="1261">
        <f t="shared" si="14"/>
        <v>1</v>
      </c>
    </row>
    <row r="32" spans="1:29" ht="15.75" thickBot="1">
      <c r="A32" s="377" t="s">
        <v>1694</v>
      </c>
      <c r="B32" s="362" t="s">
        <v>1695</v>
      </c>
      <c r="C32" s="3166" t="s">
        <v>3461</v>
      </c>
      <c r="D32" s="403">
        <v>100</v>
      </c>
      <c r="E32" s="3166" t="s">
        <v>3461</v>
      </c>
      <c r="F32" s="398">
        <f>SUMIF(100:100,E32,101:101)-SUMIF(100:100,C32,101:101)+100</f>
        <v>100</v>
      </c>
      <c r="G32" s="3166" t="s">
        <v>3461</v>
      </c>
      <c r="H32" s="403">
        <f>SUMIF(100:100,G32,101:101)-SUMIF(100:100,C32,101:101)+100</f>
        <v>100</v>
      </c>
      <c r="I32" s="3166" t="s">
        <v>3831</v>
      </c>
      <c r="J32" s="372">
        <f>SUMIF(100:100,I32,101:101)-SUMIF(100:100,C32,101:101)+100</f>
        <v>99</v>
      </c>
      <c r="K32" s="363">
        <v>1</v>
      </c>
      <c r="L32" s="2486"/>
      <c r="M32" s="2481"/>
      <c r="N32" s="2481"/>
      <c r="O32" s="2481"/>
      <c r="P32" s="3574" t="s">
        <v>1696</v>
      </c>
      <c r="Q32" s="1260" t="str">
        <f t="shared" si="8"/>
        <v>建筑类型</v>
      </c>
      <c r="R32" s="665" t="s">
        <v>18</v>
      </c>
      <c r="S32" s="666">
        <f t="shared" si="9"/>
        <v>100</v>
      </c>
      <c r="T32" s="665" t="s">
        <v>18</v>
      </c>
      <c r="U32" s="666">
        <f t="shared" si="10"/>
        <v>100</v>
      </c>
      <c r="V32" s="665" t="s">
        <v>18</v>
      </c>
      <c r="W32" s="666">
        <f t="shared" si="11"/>
        <v>99</v>
      </c>
      <c r="X32" s="1262"/>
      <c r="Y32" s="3577" t="s">
        <v>1696</v>
      </c>
      <c r="Z32" s="1261" t="str">
        <f t="shared" si="15"/>
        <v>建筑类型</v>
      </c>
      <c r="AA32" s="1261">
        <f t="shared" si="12"/>
        <v>1</v>
      </c>
      <c r="AB32" s="1261">
        <f t="shared" si="13"/>
        <v>1</v>
      </c>
      <c r="AC32" s="1261">
        <f t="shared" si="14"/>
        <v>1.0101010101010102</v>
      </c>
    </row>
    <row r="33" spans="1:29" s="406" customFormat="1" ht="15">
      <c r="A33" s="404"/>
      <c r="B33" s="362" t="s">
        <v>1697</v>
      </c>
      <c r="C33" s="3126">
        <f>'数据-取费表'!K6</f>
        <v>120.79</v>
      </c>
      <c r="D33" s="117">
        <v>100</v>
      </c>
      <c r="E33" s="3166">
        <f>案例!$E$2</f>
        <v>130.66</v>
      </c>
      <c r="F33" s="398">
        <f>F104</f>
        <v>99</v>
      </c>
      <c r="G33" s="3166">
        <f>案例!$E$3</f>
        <v>138.94</v>
      </c>
      <c r="H33" s="403">
        <f>F33</f>
        <v>99</v>
      </c>
      <c r="I33" s="3340">
        <f>案例!$E$4</f>
        <v>95.71</v>
      </c>
      <c r="J33" s="3341">
        <f>D104</f>
        <v>101</v>
      </c>
      <c r="K33" s="3695">
        <v>1</v>
      </c>
      <c r="L33" s="2485"/>
      <c r="M33" s="2487"/>
      <c r="N33" s="2487"/>
      <c r="O33" s="2487"/>
      <c r="P33" s="3575"/>
      <c r="Q33" s="529" t="str">
        <f t="shared" si="8"/>
        <v>项目建筑规模</v>
      </c>
      <c r="R33" s="667" t="s">
        <v>18</v>
      </c>
      <c r="S33" s="668">
        <f t="shared" si="9"/>
        <v>99</v>
      </c>
      <c r="T33" s="667" t="s">
        <v>18</v>
      </c>
      <c r="U33" s="668">
        <f t="shared" si="10"/>
        <v>99</v>
      </c>
      <c r="V33" s="667" t="s">
        <v>18</v>
      </c>
      <c r="W33" s="668">
        <f t="shared" si="11"/>
        <v>101</v>
      </c>
      <c r="X33" s="669"/>
      <c r="Y33" s="3577"/>
      <c r="Z33" s="670" t="str">
        <f t="shared" si="15"/>
        <v>项目建筑规模</v>
      </c>
      <c r="AA33" s="1261">
        <f t="shared" si="12"/>
        <v>1.0101010101010102</v>
      </c>
      <c r="AB33" s="1261">
        <f t="shared" si="13"/>
        <v>1.0101010101010102</v>
      </c>
      <c r="AC33" s="1261">
        <f t="shared" si="14"/>
        <v>0.99009900990099009</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75"/>
      <c r="Q34" s="1260" t="str">
        <f t="shared" si="8"/>
        <v>建筑结构</v>
      </c>
      <c r="R34" s="665" t="s">
        <v>18</v>
      </c>
      <c r="S34" s="666">
        <f t="shared" si="9"/>
        <v>100</v>
      </c>
      <c r="T34" s="665" t="s">
        <v>18</v>
      </c>
      <c r="U34" s="666">
        <f t="shared" si="10"/>
        <v>100</v>
      </c>
      <c r="V34" s="665" t="s">
        <v>18</v>
      </c>
      <c r="W34" s="666">
        <f t="shared" si="11"/>
        <v>100</v>
      </c>
      <c r="X34" s="1262"/>
      <c r="Y34" s="3577"/>
      <c r="Z34" s="1261" t="str">
        <f t="shared" si="15"/>
        <v>建筑结构</v>
      </c>
      <c r="AA34" s="1261">
        <f t="shared" si="12"/>
        <v>1</v>
      </c>
      <c r="AB34" s="1261">
        <f t="shared" si="13"/>
        <v>1</v>
      </c>
      <c r="AC34" s="1261">
        <f t="shared" si="14"/>
        <v>1</v>
      </c>
    </row>
    <row r="35" spans="1:29" ht="15" hidden="1">
      <c r="A35" s="407"/>
      <c r="B35" s="362" t="s">
        <v>3441</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75"/>
      <c r="Q35" s="1260" t="str">
        <f t="shared" si="8"/>
        <v>噪音污染</v>
      </c>
      <c r="R35" s="665" t="s">
        <v>18</v>
      </c>
      <c r="S35" s="666">
        <f t="shared" si="9"/>
        <v>100</v>
      </c>
      <c r="T35" s="665" t="s">
        <v>18</v>
      </c>
      <c r="U35" s="666">
        <f t="shared" si="10"/>
        <v>100</v>
      </c>
      <c r="V35" s="665" t="s">
        <v>18</v>
      </c>
      <c r="W35" s="666">
        <f t="shared" si="11"/>
        <v>100</v>
      </c>
      <c r="X35" s="1262"/>
      <c r="Y35" s="3577"/>
      <c r="Z35" s="1261" t="str">
        <f t="shared" si="15"/>
        <v>噪音污染</v>
      </c>
      <c r="AA35" s="1261">
        <f t="shared" si="12"/>
        <v>1</v>
      </c>
      <c r="AB35" s="1261">
        <f t="shared" si="13"/>
        <v>1</v>
      </c>
      <c r="AC35" s="1261">
        <f t="shared" si="14"/>
        <v>1</v>
      </c>
    </row>
    <row r="36" spans="1:29" ht="15">
      <c r="A36" s="407"/>
      <c r="B36" s="362" t="s">
        <v>1699</v>
      </c>
      <c r="C36" s="3180" t="s">
        <v>3454</v>
      </c>
      <c r="D36" s="372">
        <v>100</v>
      </c>
      <c r="E36" s="3180" t="s">
        <v>3454</v>
      </c>
      <c r="F36" s="398">
        <f>SUMIF(109:109,E36,110:110)-SUMIF(109:109,C36,110:110)+100</f>
        <v>100</v>
      </c>
      <c r="G36" s="3180" t="s">
        <v>3454</v>
      </c>
      <c r="H36" s="372">
        <f>SUMIF(109:109,G36,110:110)-SUMIF(109:109,C36,110:110)+100</f>
        <v>100</v>
      </c>
      <c r="I36" s="3180" t="s">
        <v>3454</v>
      </c>
      <c r="J36" s="372">
        <f>SUMIF(109:109,I36,110:110)-SUMIF(109:109,C36,110:110)+100</f>
        <v>100</v>
      </c>
      <c r="K36" s="363"/>
      <c r="L36" s="2486"/>
      <c r="M36" s="2481"/>
      <c r="N36" s="2481"/>
      <c r="O36" s="2481"/>
      <c r="P36" s="3575"/>
      <c r="Q36" s="1260" t="str">
        <f t="shared" si="8"/>
        <v>公共部分装修</v>
      </c>
      <c r="R36" s="665" t="s">
        <v>18</v>
      </c>
      <c r="S36" s="666">
        <f t="shared" si="9"/>
        <v>100</v>
      </c>
      <c r="T36" s="665" t="s">
        <v>18</v>
      </c>
      <c r="U36" s="666">
        <f t="shared" si="10"/>
        <v>100</v>
      </c>
      <c r="V36" s="665" t="s">
        <v>18</v>
      </c>
      <c r="W36" s="666">
        <f t="shared" si="11"/>
        <v>100</v>
      </c>
      <c r="X36" s="1262"/>
      <c r="Y36" s="3577"/>
      <c r="Z36" s="1261" t="str">
        <f t="shared" si="15"/>
        <v>公共部分装修</v>
      </c>
      <c r="AA36" s="1261">
        <f t="shared" si="12"/>
        <v>1</v>
      </c>
      <c r="AB36" s="1261">
        <f t="shared" si="13"/>
        <v>1</v>
      </c>
      <c r="AC36" s="1261">
        <f t="shared" si="14"/>
        <v>1</v>
      </c>
    </row>
    <row r="37" spans="1:29" s="101" customFormat="1" ht="15">
      <c r="A37" s="408"/>
      <c r="B37" s="3171" t="s">
        <v>3832</v>
      </c>
      <c r="C37" s="3336">
        <v>2004</v>
      </c>
      <c r="D37" s="117">
        <v>100</v>
      </c>
      <c r="E37" s="3336">
        <v>2004</v>
      </c>
      <c r="F37" s="117">
        <f>C129</f>
        <v>100</v>
      </c>
      <c r="G37" s="3336">
        <v>2004</v>
      </c>
      <c r="H37" s="117">
        <f>F37</f>
        <v>100</v>
      </c>
      <c r="I37" s="3336">
        <v>2004</v>
      </c>
      <c r="J37" s="117">
        <f>F37</f>
        <v>100</v>
      </c>
      <c r="K37" s="363">
        <v>0</v>
      </c>
      <c r="L37" s="2482"/>
      <c r="M37" s="2433"/>
      <c r="N37" s="2433"/>
      <c r="O37" s="2433"/>
      <c r="P37" s="3575"/>
      <c r="Q37" s="528" t="str">
        <f t="shared" si="8"/>
        <v>建成年代</v>
      </c>
      <c r="R37" s="662" t="s">
        <v>18</v>
      </c>
      <c r="S37" s="663">
        <f t="shared" si="9"/>
        <v>100</v>
      </c>
      <c r="T37" s="662" t="s">
        <v>18</v>
      </c>
      <c r="U37" s="663">
        <f t="shared" si="10"/>
        <v>100</v>
      </c>
      <c r="V37" s="662" t="s">
        <v>18</v>
      </c>
      <c r="W37" s="663">
        <f t="shared" si="11"/>
        <v>100</v>
      </c>
      <c r="X37" s="664"/>
      <c r="Y37" s="3577"/>
      <c r="Z37" s="50" t="str">
        <f t="shared" si="15"/>
        <v>建成年代</v>
      </c>
      <c r="AA37" s="50">
        <f t="shared" si="12"/>
        <v>1</v>
      </c>
      <c r="AB37" s="50">
        <f t="shared" si="13"/>
        <v>1</v>
      </c>
      <c r="AC37" s="50">
        <f t="shared" si="14"/>
        <v>1</v>
      </c>
    </row>
    <row r="38" spans="1:29" ht="15">
      <c r="A38" s="407"/>
      <c r="B38" s="362" t="s">
        <v>1700</v>
      </c>
      <c r="C38" s="1756" t="s">
        <v>3443</v>
      </c>
      <c r="D38" s="372">
        <v>100</v>
      </c>
      <c r="E38" s="1756" t="s">
        <v>3443</v>
      </c>
      <c r="F38" s="398">
        <f>SUMIF(114:114,E38,115:115)-SUMIF(114:114,C38,115:115)+100</f>
        <v>100</v>
      </c>
      <c r="G38" s="1756" t="s">
        <v>3443</v>
      </c>
      <c r="H38" s="372">
        <f>SUMIF(114:114,G38,115:115)-SUMIF(114:114,C38,115:115)+100</f>
        <v>100</v>
      </c>
      <c r="I38" s="1756" t="s">
        <v>3443</v>
      </c>
      <c r="J38" s="372">
        <f>SUMIF(114:114,I38,115:115)-SUMIF(114:114,C38,115:115)+100</f>
        <v>100</v>
      </c>
      <c r="K38" s="363">
        <v>1</v>
      </c>
      <c r="L38" s="2486"/>
      <c r="M38" s="2481"/>
      <c r="N38" s="2481"/>
      <c r="O38" s="2481"/>
      <c r="P38" s="3575" t="s">
        <v>1696</v>
      </c>
      <c r="Q38" s="1260" t="str">
        <f t="shared" si="8"/>
        <v>物业管理</v>
      </c>
      <c r="R38" s="665" t="s">
        <v>18</v>
      </c>
      <c r="S38" s="666">
        <f t="shared" si="9"/>
        <v>100</v>
      </c>
      <c r="T38" s="665" t="s">
        <v>18</v>
      </c>
      <c r="U38" s="666">
        <f t="shared" si="10"/>
        <v>100</v>
      </c>
      <c r="V38" s="665" t="s">
        <v>18</v>
      </c>
      <c r="W38" s="666">
        <f t="shared" si="11"/>
        <v>100</v>
      </c>
      <c r="X38" s="1262"/>
      <c r="Y38" s="3577" t="s">
        <v>1696</v>
      </c>
      <c r="Z38" s="1261" t="str">
        <f t="shared" si="15"/>
        <v>物业管理</v>
      </c>
      <c r="AA38" s="1261">
        <f t="shared" si="12"/>
        <v>1</v>
      </c>
      <c r="AB38" s="1261">
        <f t="shared" si="13"/>
        <v>1</v>
      </c>
      <c r="AC38" s="1261">
        <f t="shared" si="14"/>
        <v>1</v>
      </c>
    </row>
    <row r="39" spans="1:29" ht="15">
      <c r="A39" s="407"/>
      <c r="B39" s="362" t="s">
        <v>1701</v>
      </c>
      <c r="C39" s="1756" t="s">
        <v>3407</v>
      </c>
      <c r="D39" s="372">
        <v>100</v>
      </c>
      <c r="E39" s="1756" t="s">
        <v>3407</v>
      </c>
      <c r="F39" s="398">
        <f>SUMIF(116:116,E39,117:117)-SUMIF(116:116,C39,117:117)+100</f>
        <v>100</v>
      </c>
      <c r="G39" s="1756" t="s">
        <v>3407</v>
      </c>
      <c r="H39" s="372">
        <f>SUMIF(116:116,G39,117:117)-SUMIF(116:116,C39,117:117)+100</f>
        <v>100</v>
      </c>
      <c r="I39" s="1756" t="s">
        <v>3407</v>
      </c>
      <c r="J39" s="372">
        <f>SUMIF(116:116,I39,117:117)-SUMIF(116:116,C39,117:117)+100</f>
        <v>100</v>
      </c>
      <c r="K39" s="363"/>
      <c r="L39" s="2486"/>
      <c r="M39" s="2481"/>
      <c r="N39" s="2481"/>
      <c r="O39" s="2481"/>
      <c r="P39" s="3575"/>
      <c r="Q39" s="1260" t="str">
        <f t="shared" si="8"/>
        <v>市政基础设施</v>
      </c>
      <c r="R39" s="665" t="s">
        <v>18</v>
      </c>
      <c r="S39" s="666">
        <f t="shared" si="9"/>
        <v>100</v>
      </c>
      <c r="T39" s="665" t="s">
        <v>18</v>
      </c>
      <c r="U39" s="666">
        <f t="shared" si="10"/>
        <v>100</v>
      </c>
      <c r="V39" s="665" t="s">
        <v>18</v>
      </c>
      <c r="W39" s="666">
        <f t="shared" si="11"/>
        <v>100</v>
      </c>
      <c r="X39" s="1262"/>
      <c r="Y39" s="3577"/>
      <c r="Z39" s="1261" t="str">
        <f t="shared" si="15"/>
        <v>市政基础设施</v>
      </c>
      <c r="AA39" s="1261">
        <f t="shared" si="12"/>
        <v>1</v>
      </c>
      <c r="AB39" s="1261">
        <f t="shared" si="13"/>
        <v>1</v>
      </c>
      <c r="AC39" s="1261">
        <f t="shared" si="14"/>
        <v>1</v>
      </c>
    </row>
    <row r="40" spans="1:29" ht="15">
      <c r="A40" s="407"/>
      <c r="B40" s="3171" t="s">
        <v>3833</v>
      </c>
      <c r="C40" s="1756" t="s">
        <v>3463</v>
      </c>
      <c r="D40" s="372">
        <v>100</v>
      </c>
      <c r="E40" s="1756" t="s">
        <v>3463</v>
      </c>
      <c r="F40" s="398">
        <f>SUMIF(118:118,E40,119:119)-SUMIF(118:118,C40,119:119)+100</f>
        <v>100</v>
      </c>
      <c r="G40" s="1756" t="s">
        <v>3463</v>
      </c>
      <c r="H40" s="372">
        <f>SUMIF(118:118,G40,119:119)-SUMIF(118:118,C40,119:119)+100</f>
        <v>100</v>
      </c>
      <c r="I40" s="1756" t="s">
        <v>3465</v>
      </c>
      <c r="J40" s="372">
        <f>SUMIF(118:118,I40,119:119)-SUMIF(118:118,C40,119:119)+100</f>
        <v>99</v>
      </c>
      <c r="K40" s="363">
        <v>1</v>
      </c>
      <c r="L40" s="2486"/>
      <c r="M40" s="2481"/>
      <c r="N40" s="2481"/>
      <c r="O40" s="2481"/>
      <c r="P40" s="3575"/>
      <c r="Q40" s="1260" t="str">
        <f t="shared" si="8"/>
        <v>原始户型</v>
      </c>
      <c r="R40" s="665" t="s">
        <v>18</v>
      </c>
      <c r="S40" s="666">
        <f t="shared" si="9"/>
        <v>100</v>
      </c>
      <c r="T40" s="665" t="s">
        <v>18</v>
      </c>
      <c r="U40" s="666">
        <f t="shared" si="10"/>
        <v>100</v>
      </c>
      <c r="V40" s="665" t="s">
        <v>18</v>
      </c>
      <c r="W40" s="666">
        <f t="shared" si="11"/>
        <v>99</v>
      </c>
      <c r="X40" s="1262"/>
      <c r="Y40" s="3577"/>
      <c r="Z40" s="1261" t="str">
        <f t="shared" si="15"/>
        <v>原始户型</v>
      </c>
      <c r="AA40" s="1261">
        <f t="shared" si="12"/>
        <v>1</v>
      </c>
      <c r="AB40" s="1261">
        <f t="shared" si="13"/>
        <v>1</v>
      </c>
      <c r="AC40" s="1261">
        <f t="shared" si="14"/>
        <v>1.0101010101010102</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75"/>
      <c r="Q41" s="529" t="str">
        <f t="shared" si="8"/>
        <v>单套/主力户型建筑面积</v>
      </c>
      <c r="R41" s="667" t="s">
        <v>18</v>
      </c>
      <c r="S41" s="668">
        <f t="shared" si="9"/>
        <v>100</v>
      </c>
      <c r="T41" s="667" t="s">
        <v>18</v>
      </c>
      <c r="U41" s="668">
        <f t="shared" si="10"/>
        <v>100</v>
      </c>
      <c r="V41" s="667" t="s">
        <v>18</v>
      </c>
      <c r="W41" s="668">
        <f t="shared" si="11"/>
        <v>100</v>
      </c>
      <c r="X41" s="669"/>
      <c r="Y41" s="3577"/>
      <c r="Z41" s="670" t="str">
        <f t="shared" si="15"/>
        <v>单套/主力户型建筑面积</v>
      </c>
      <c r="AA41" s="1261">
        <f t="shared" si="12"/>
        <v>1</v>
      </c>
      <c r="AB41" s="1261">
        <f t="shared" si="13"/>
        <v>1</v>
      </c>
      <c r="AC41" s="1261">
        <f t="shared" si="14"/>
        <v>1</v>
      </c>
    </row>
    <row r="42" spans="1:29" ht="15">
      <c r="A42" s="407"/>
      <c r="B42" s="362" t="s">
        <v>1703</v>
      </c>
      <c r="C42" s="1756" t="s">
        <v>3824</v>
      </c>
      <c r="D42" s="372">
        <v>100</v>
      </c>
      <c r="E42" s="1756" t="s">
        <v>3824</v>
      </c>
      <c r="F42" s="398">
        <f>SUMIF(122:122,E42,123:123)-SUMIF(122:122,C42,123:123)+100</f>
        <v>100</v>
      </c>
      <c r="G42" s="1756" t="s">
        <v>3824</v>
      </c>
      <c r="H42" s="372">
        <f>SUMIF(122:122,G42,123:123)-SUMIF(122:122,C42,123:123)+100</f>
        <v>100</v>
      </c>
      <c r="I42" s="1756" t="s">
        <v>3824</v>
      </c>
      <c r="J42" s="372">
        <f>SUMIF(122:122,I42,123:123)-SUMIF(122:122,C42,123:123)+100</f>
        <v>100</v>
      </c>
      <c r="K42" s="363">
        <v>1</v>
      </c>
      <c r="L42" s="2486"/>
      <c r="M42" s="2481"/>
      <c r="N42" s="2481"/>
      <c r="O42" s="2481"/>
      <c r="P42" s="3575"/>
      <c r="Q42" s="1260" t="str">
        <f t="shared" si="8"/>
        <v>内部装修</v>
      </c>
      <c r="R42" s="665" t="s">
        <v>18</v>
      </c>
      <c r="S42" s="666">
        <f t="shared" si="9"/>
        <v>100</v>
      </c>
      <c r="T42" s="665" t="s">
        <v>18</v>
      </c>
      <c r="U42" s="666">
        <f t="shared" si="10"/>
        <v>100</v>
      </c>
      <c r="V42" s="665" t="s">
        <v>18</v>
      </c>
      <c r="W42" s="666">
        <f t="shared" si="11"/>
        <v>100</v>
      </c>
      <c r="X42" s="1262"/>
      <c r="Y42" s="3577"/>
      <c r="Z42" s="1261" t="str">
        <f t="shared" si="15"/>
        <v>内部装修</v>
      </c>
      <c r="AA42" s="1261">
        <f t="shared" si="12"/>
        <v>1</v>
      </c>
      <c r="AB42" s="1261">
        <f t="shared" si="13"/>
        <v>1</v>
      </c>
      <c r="AC42" s="1261">
        <f t="shared" si="14"/>
        <v>1</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75"/>
      <c r="Q43" s="1260" t="str">
        <f t="shared" si="8"/>
        <v>内部装修维护情况</v>
      </c>
      <c r="R43" s="665" t="s">
        <v>18</v>
      </c>
      <c r="S43" s="666">
        <f t="shared" si="9"/>
        <v>100</v>
      </c>
      <c r="T43" s="665" t="s">
        <v>18</v>
      </c>
      <c r="U43" s="666">
        <f t="shared" si="10"/>
        <v>100</v>
      </c>
      <c r="V43" s="665" t="s">
        <v>18</v>
      </c>
      <c r="W43" s="666">
        <f t="shared" si="11"/>
        <v>100</v>
      </c>
      <c r="X43" s="1262"/>
      <c r="Y43" s="3577"/>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75"/>
      <c r="Q44" s="528">
        <f t="shared" si="8"/>
        <v>0</v>
      </c>
      <c r="R44" s="662" t="s">
        <v>18</v>
      </c>
      <c r="S44" s="663">
        <f t="shared" si="9"/>
        <v>100</v>
      </c>
      <c r="T44" s="662" t="s">
        <v>18</v>
      </c>
      <c r="U44" s="663">
        <f t="shared" si="10"/>
        <v>100</v>
      </c>
      <c r="V44" s="662" t="s">
        <v>18</v>
      </c>
      <c r="W44" s="663">
        <f t="shared" si="11"/>
        <v>100</v>
      </c>
      <c r="X44" s="664"/>
      <c r="Y44" s="3577"/>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75"/>
      <c r="Q45" s="1260">
        <f t="shared" si="8"/>
        <v>0</v>
      </c>
      <c r="R45" s="665" t="s">
        <v>18</v>
      </c>
      <c r="S45" s="666">
        <f t="shared" si="9"/>
        <v>100</v>
      </c>
      <c r="T45" s="665" t="s">
        <v>18</v>
      </c>
      <c r="U45" s="666">
        <f t="shared" si="10"/>
        <v>100</v>
      </c>
      <c r="V45" s="665" t="s">
        <v>18</v>
      </c>
      <c r="W45" s="666">
        <f t="shared" si="11"/>
        <v>100</v>
      </c>
      <c r="X45" s="1262"/>
      <c r="Y45" s="3577"/>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76"/>
      <c r="Q46" s="1260">
        <f t="shared" si="8"/>
        <v>111</v>
      </c>
      <c r="R46" s="665" t="s">
        <v>17</v>
      </c>
      <c r="S46" s="666">
        <f t="shared" si="9"/>
        <v>100</v>
      </c>
      <c r="T46" s="665" t="s">
        <v>17</v>
      </c>
      <c r="U46" s="666">
        <f t="shared" si="10"/>
        <v>100</v>
      </c>
      <c r="V46" s="665" t="s">
        <v>17</v>
      </c>
      <c r="W46" s="666">
        <f t="shared" si="11"/>
        <v>100</v>
      </c>
      <c r="X46" s="1262"/>
      <c r="Y46" s="3578"/>
      <c r="Z46" s="1261">
        <f t="shared" si="15"/>
        <v>111</v>
      </c>
      <c r="AA46" s="1261">
        <f t="shared" si="12"/>
        <v>1</v>
      </c>
      <c r="AB46" s="1261">
        <f t="shared" si="13"/>
        <v>1</v>
      </c>
      <c r="AC46" s="1261">
        <f t="shared" si="14"/>
        <v>1</v>
      </c>
    </row>
    <row r="47" spans="1:29" ht="15">
      <c r="A47" s="414" t="s">
        <v>1705</v>
      </c>
      <c r="B47" s="415"/>
      <c r="C47" s="1079" t="s">
        <v>16</v>
      </c>
      <c r="D47" s="416"/>
      <c r="E47" s="417">
        <f>案例!J2</f>
        <v>4240</v>
      </c>
      <c r="F47" s="418"/>
      <c r="G47" s="419">
        <f>案例!$J$3</f>
        <v>4145</v>
      </c>
      <c r="H47" s="420"/>
      <c r="I47" s="417">
        <f>案例!$J$4</f>
        <v>4343</v>
      </c>
      <c r="J47" s="420"/>
      <c r="K47" s="1761"/>
      <c r="L47" s="2488"/>
      <c r="M47" s="2481"/>
      <c r="N47" s="2481"/>
      <c r="O47" s="2481"/>
      <c r="P47" s="3570" t="str">
        <f>A47</f>
        <v>成交单价（元/平方米）</v>
      </c>
      <c r="Q47" s="3570"/>
      <c r="R47" s="3571">
        <f>E47</f>
        <v>4240</v>
      </c>
      <c r="S47" s="3571"/>
      <c r="T47" s="3571">
        <f>G47</f>
        <v>4145</v>
      </c>
      <c r="U47" s="3571"/>
      <c r="V47" s="3571">
        <f>I47</f>
        <v>4343</v>
      </c>
      <c r="W47" s="3571"/>
      <c r="X47" s="383"/>
      <c r="Y47" s="671"/>
      <c r="Z47" s="383"/>
      <c r="AA47" s="383"/>
      <c r="AB47" s="383"/>
      <c r="AC47" s="383"/>
    </row>
    <row r="48" spans="1:29" ht="15.75" thickBot="1">
      <c r="A48" s="421" t="s">
        <v>1706</v>
      </c>
      <c r="B48" s="422"/>
      <c r="C48" s="1080">
        <f>R49</f>
        <v>4293</v>
      </c>
      <c r="D48" s="2135" t="s">
        <v>2134</v>
      </c>
      <c r="E48" s="1081">
        <f>R48</f>
        <v>4326</v>
      </c>
      <c r="F48" s="2136"/>
      <c r="G48" s="1080">
        <f>T48</f>
        <v>4229</v>
      </c>
      <c r="H48" s="2136"/>
      <c r="I48" s="1081">
        <f>V48</f>
        <v>4323</v>
      </c>
      <c r="J48" s="2136"/>
      <c r="K48" s="2137">
        <f>F48+H48+J48</f>
        <v>0</v>
      </c>
      <c r="L48" s="2488"/>
      <c r="M48" s="2481"/>
      <c r="N48" s="2481"/>
      <c r="O48" s="2481"/>
      <c r="P48" s="3570" t="str">
        <f>A48</f>
        <v>比较价值（元/平方米）</v>
      </c>
      <c r="Q48" s="3570"/>
      <c r="R48" s="3571">
        <f>IF(F1="售价",ROUND(PRODUCT(R47,AA7:AA46),0),ROUND(PRODUCT(R47,AA7:AA46),1))</f>
        <v>4326</v>
      </c>
      <c r="S48" s="3571"/>
      <c r="T48" s="3571">
        <f>IF(F1="售价",ROUND(PRODUCT(T47,AB7:AB46),0),ROUND(PRODUCT(T47,AB7:AB46),1))</f>
        <v>4229</v>
      </c>
      <c r="U48" s="3571"/>
      <c r="V48" s="3571">
        <f>IF(F1="售价",ROUND(PRODUCT(V47,AC7:AC46),0),ROUND(PRODUCT(V47,AC7:AC46),1))</f>
        <v>4323</v>
      </c>
      <c r="W48" s="3571"/>
      <c r="X48" s="383"/>
      <c r="Y48" s="383"/>
      <c r="Z48" s="383"/>
      <c r="AA48" s="383"/>
      <c r="AB48" s="383"/>
      <c r="AC48" s="383"/>
    </row>
    <row r="49" spans="1:29" ht="15.75" thickBot="1">
      <c r="A49" s="425" t="s">
        <v>1707</v>
      </c>
      <c r="B49" s="426"/>
      <c r="C49" s="1082">
        <f>R49</f>
        <v>4293</v>
      </c>
      <c r="D49" s="349"/>
      <c r="E49" s="349"/>
      <c r="F49" s="349"/>
      <c r="G49" s="349"/>
      <c r="H49" s="349"/>
      <c r="I49" s="349"/>
      <c r="J49" s="349"/>
      <c r="K49" s="1762"/>
      <c r="L49" s="2488"/>
      <c r="M49" s="2481"/>
      <c r="N49" s="2481"/>
      <c r="O49" s="2481"/>
      <c r="P49" s="3567" t="str">
        <f>A49</f>
        <v>估价对象XX用房的比较价值（楼面单价，元/平方米）</v>
      </c>
      <c r="Q49" s="3568"/>
      <c r="R49" s="3569">
        <f>IF(F1="售价",ROUND(IF(D48="简单平均",AVERAGE(R48:V48),R48*F48+T48*H48+V48*J48),0),ROUND(IF(D48="简单平均",AVERAGE(R48:V48),R48*F48+T48*H48+V48*J48),1))</f>
        <v>4293</v>
      </c>
      <c r="S49" s="3569"/>
      <c r="T49" s="3569"/>
      <c r="U49" s="3569"/>
      <c r="V49" s="3569"/>
      <c r="W49" s="3569"/>
      <c r="X49" s="383"/>
      <c r="Y49" s="383"/>
      <c r="Z49" s="383"/>
      <c r="AA49" s="383"/>
      <c r="AB49" s="383"/>
      <c r="AC49" s="383"/>
    </row>
    <row r="50" spans="1:29">
      <c r="A50" s="3338" t="s">
        <v>3836</v>
      </c>
      <c r="B50" s="2481">
        <v>3635.5</v>
      </c>
      <c r="C50" s="2481"/>
      <c r="D50" s="2481"/>
      <c r="E50" s="2481"/>
      <c r="F50" s="2481"/>
      <c r="G50" s="2492"/>
      <c r="H50" s="2481"/>
      <c r="I50" s="2481"/>
      <c r="J50" s="2481"/>
      <c r="K50" s="2493"/>
      <c r="L50" s="2489"/>
      <c r="M50" s="2481"/>
      <c r="N50" s="2481"/>
      <c r="O50" s="2481"/>
    </row>
    <row r="51" spans="1:29">
      <c r="A51" s="2481"/>
      <c r="B51" s="2481">
        <f>C49/B50</f>
        <v>1.1808554531701279</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2.0283018867924607E-2</v>
      </c>
      <c r="F52" s="433" t="str">
        <f>IF(OR(E52&gt;=0.3,E52&lt;=-0.3),"超过30%","")</f>
        <v/>
      </c>
      <c r="G52" s="432">
        <f>IF(G47&lt;G48,G48/G47-1,G47/G48-1)</f>
        <v>2.026537997587452E-2</v>
      </c>
      <c r="H52" s="433" t="str">
        <f>IF(OR(G52&gt;=0.3,G52&lt;=-0.3),"超过30%","")</f>
        <v/>
      </c>
      <c r="I52" s="432">
        <f>IF(I47&lt;I48,I48/I47-1,I47/I48-1)</f>
        <v>4.6264168401572991E-3</v>
      </c>
      <c r="J52" s="433" t="str">
        <f>IF(OR(I52&gt;=0.3,I52&lt;=-0.3),"超过30%","")</f>
        <v/>
      </c>
      <c r="K52" s="2493"/>
      <c r="L52" s="2489"/>
      <c r="M52" s="2481"/>
      <c r="N52" s="2481"/>
      <c r="O52" s="2481"/>
    </row>
    <row r="53" spans="1:29" ht="13.5" customHeight="1">
      <c r="A53" s="2481"/>
      <c r="B53" s="2481"/>
      <c r="C53" s="430" t="s">
        <v>1709</v>
      </c>
      <c r="D53" s="434"/>
      <c r="E53" s="432">
        <f>IF(E48&lt;G48,G48/E48-1,E48/G48-1)</f>
        <v>2.2936864506975629E-2</v>
      </c>
      <c r="F53" s="433" t="str">
        <f>IF(OR(E53&gt;=0.2,E53&lt;=-0.2),"超过20%","")</f>
        <v/>
      </c>
      <c r="G53" s="432">
        <f>IF(G48&lt;I48,I48/G48-1,G48/I48-1)</f>
        <v>2.2227476944904234E-2</v>
      </c>
      <c r="H53" s="433" t="str">
        <f>IF(OR(G53&gt;=0.2,G53&lt;=-0.2),"超过20%","")</f>
        <v/>
      </c>
      <c r="I53" s="432">
        <f>IF(I48&lt;E48,E48/I48-1,I48/E48-1)</f>
        <v>6.9396252602360597E-4</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2.2919179734619988E-2</v>
      </c>
      <c r="F54" s="433" t="str">
        <f>IF(OR(E54&gt;=0.3,E54&lt;=-0.3),"超过30%","")</f>
        <v/>
      </c>
      <c r="G54" s="432">
        <f>IF(G47&lt;I47,I47/G47-1,G47/I47-1)</f>
        <v>4.7768395657418639E-2</v>
      </c>
      <c r="H54" s="433" t="str">
        <f>IF(OR(G54&gt;=0.3,G54&lt;=-0.3),"超过30%","")</f>
        <v/>
      </c>
      <c r="I54" s="432">
        <f>IF(I47&lt;E47,E47/I47-1,I47/E47-1)</f>
        <v>2.429245283018866E-2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2004-1</v>
      </c>
      <c r="D58" s="1101">
        <f>EDATE(C58,-1)</f>
        <v>37956</v>
      </c>
      <c r="E58" s="1101">
        <f>EDATE(D58,-1)</f>
        <v>37926</v>
      </c>
      <c r="F58" s="1101">
        <f t="shared" ref="F58:O58" si="16">EDATE(E58,-1)</f>
        <v>37895</v>
      </c>
      <c r="G58" s="1101">
        <f t="shared" si="16"/>
        <v>37865</v>
      </c>
      <c r="H58" s="1101">
        <f t="shared" si="16"/>
        <v>37834</v>
      </c>
      <c r="I58" s="1101">
        <f t="shared" si="16"/>
        <v>37803</v>
      </c>
      <c r="J58" s="1101">
        <f t="shared" si="16"/>
        <v>37773</v>
      </c>
      <c r="K58" s="1101">
        <f t="shared" si="16"/>
        <v>37742</v>
      </c>
      <c r="L58" s="1101">
        <f t="shared" si="16"/>
        <v>37712</v>
      </c>
      <c r="M58" s="1101">
        <f t="shared" si="16"/>
        <v>37681</v>
      </c>
      <c r="N58" s="1101">
        <f t="shared" si="16"/>
        <v>37653</v>
      </c>
      <c r="O58" s="1101">
        <f t="shared" si="16"/>
        <v>37622</v>
      </c>
      <c r="P58" s="3143">
        <f t="shared" ref="P58:AB58" si="17">EDATE(O58,-1)</f>
        <v>37591</v>
      </c>
      <c r="Q58" s="3143">
        <f t="shared" si="17"/>
        <v>37561</v>
      </c>
      <c r="R58" s="3143">
        <f t="shared" si="17"/>
        <v>37530</v>
      </c>
      <c r="S58" s="3143">
        <f t="shared" si="17"/>
        <v>37500</v>
      </c>
      <c r="T58" s="3143">
        <f t="shared" si="17"/>
        <v>37469</v>
      </c>
      <c r="U58" s="3143">
        <f t="shared" si="17"/>
        <v>37438</v>
      </c>
      <c r="V58" s="3143">
        <f t="shared" si="17"/>
        <v>37408</v>
      </c>
      <c r="W58" s="3143">
        <f t="shared" si="17"/>
        <v>37377</v>
      </c>
      <c r="X58" s="3143">
        <f t="shared" si="17"/>
        <v>37347</v>
      </c>
      <c r="Y58" s="3143">
        <f t="shared" si="17"/>
        <v>37316</v>
      </c>
      <c r="Z58" s="3143">
        <f t="shared" si="17"/>
        <v>37288</v>
      </c>
      <c r="AA58" s="3143">
        <f t="shared" si="17"/>
        <v>37257</v>
      </c>
      <c r="AB58" s="3143">
        <f t="shared" si="17"/>
        <v>37226</v>
      </c>
    </row>
    <row r="59" spans="1:29" s="101" customFormat="1" ht="15">
      <c r="A59" s="441"/>
      <c r="B59" s="1766"/>
      <c r="C59" s="1099">
        <v>100</v>
      </c>
      <c r="D59" s="444">
        <f>C59-$C$60</f>
        <v>99</v>
      </c>
      <c r="E59" s="444">
        <f>D59</f>
        <v>99</v>
      </c>
      <c r="F59" s="444">
        <f>E59</f>
        <v>99</v>
      </c>
      <c r="G59" s="444">
        <f>F59-$C$60</f>
        <v>98</v>
      </c>
      <c r="H59" s="444">
        <f>G59</f>
        <v>98</v>
      </c>
      <c r="I59" s="444">
        <f>H59</f>
        <v>98</v>
      </c>
      <c r="J59" s="444">
        <f>I59-$C$60</f>
        <v>97</v>
      </c>
      <c r="K59" s="444">
        <f>J59</f>
        <v>97</v>
      </c>
      <c r="L59" s="444">
        <f>K59</f>
        <v>97</v>
      </c>
      <c r="M59" s="444">
        <f t="shared" ref="M59" si="18">L59</f>
        <v>97</v>
      </c>
      <c r="N59" s="444">
        <f t="shared" ref="N59" si="19">M59</f>
        <v>97</v>
      </c>
      <c r="O59" s="444">
        <f t="shared" ref="O59:P59" si="20">N59</f>
        <v>97</v>
      </c>
      <c r="P59" s="444">
        <f t="shared" si="20"/>
        <v>97</v>
      </c>
      <c r="Q59" s="444">
        <f t="shared" ref="Q59" si="21">P59+$C$60</f>
        <v>98</v>
      </c>
      <c r="R59" s="444">
        <f t="shared" ref="R59:S59" si="22">Q59</f>
        <v>98</v>
      </c>
      <c r="S59" s="444">
        <f t="shared" si="22"/>
        <v>98</v>
      </c>
      <c r="T59" s="101">
        <f>S59</f>
        <v>98</v>
      </c>
      <c r="U59" s="101">
        <f>T59</f>
        <v>98</v>
      </c>
      <c r="V59" s="101">
        <f>U59-C60</f>
        <v>97</v>
      </c>
      <c r="W59" s="101">
        <f>V59</f>
        <v>97</v>
      </c>
      <c r="X59" s="101">
        <f>V59</f>
        <v>97</v>
      </c>
      <c r="Y59" s="101">
        <f>X59-C60</f>
        <v>96</v>
      </c>
      <c r="Z59" s="101">
        <f>Y59</f>
        <v>96</v>
      </c>
      <c r="AA59" s="101">
        <f>Y59</f>
        <v>96</v>
      </c>
      <c r="AB59" s="101">
        <f>AA59-C60</f>
        <v>95</v>
      </c>
    </row>
    <row r="60" spans="1:29" s="101" customFormat="1" ht="15.75" thickBot="1">
      <c r="A60" s="447" t="s">
        <v>1713</v>
      </c>
      <c r="B60" s="448"/>
      <c r="C60" s="449">
        <v>1</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3447</v>
      </c>
      <c r="D65" s="3145" t="s">
        <v>3448</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3418</v>
      </c>
      <c r="D88" s="3145" t="s">
        <v>3419</v>
      </c>
      <c r="E88" s="3145" t="s">
        <v>3420</v>
      </c>
      <c r="F88" s="3145" t="s">
        <v>3421</v>
      </c>
      <c r="G88" s="3145" t="s">
        <v>3422</v>
      </c>
      <c r="H88" s="3145" t="s">
        <v>3423</v>
      </c>
      <c r="I88" s="3159" t="s">
        <v>3424</v>
      </c>
      <c r="J88" s="3159" t="s">
        <v>3425</v>
      </c>
      <c r="K88" s="3145" t="s">
        <v>3426</v>
      </c>
      <c r="L88" s="3145" t="s">
        <v>3427</v>
      </c>
      <c r="M88" s="3145"/>
      <c r="N88" s="876"/>
      <c r="O88" s="876"/>
      <c r="P88" s="1769"/>
      <c r="Q88" s="437"/>
    </row>
    <row r="89" spans="1:17" s="101" customFormat="1" ht="15.75" thickBot="1">
      <c r="A89" s="368"/>
      <c r="B89" s="472"/>
      <c r="C89" s="510">
        <v>100</v>
      </c>
      <c r="D89" s="473">
        <f t="shared" ref="D89:M89" si="26">C89-$K26</f>
        <v>99.5</v>
      </c>
      <c r="E89" s="473">
        <f t="shared" si="26"/>
        <v>99</v>
      </c>
      <c r="F89" s="473">
        <f t="shared" si="26"/>
        <v>98.5</v>
      </c>
      <c r="G89" s="473">
        <f t="shared" si="26"/>
        <v>98</v>
      </c>
      <c r="H89" s="473">
        <f t="shared" si="26"/>
        <v>97.5</v>
      </c>
      <c r="I89" s="473">
        <f t="shared" si="26"/>
        <v>97</v>
      </c>
      <c r="J89" s="473">
        <f t="shared" si="26"/>
        <v>96.5</v>
      </c>
      <c r="K89" s="473">
        <f t="shared" si="26"/>
        <v>96</v>
      </c>
      <c r="L89" s="473">
        <f t="shared" si="26"/>
        <v>95.5</v>
      </c>
      <c r="M89" s="473">
        <f t="shared" si="26"/>
        <v>95</v>
      </c>
      <c r="N89" s="878"/>
      <c r="O89" s="878"/>
      <c r="P89" s="1769"/>
      <c r="Q89" s="437"/>
    </row>
    <row r="90" spans="1:17" s="406" customFormat="1" ht="15.75" thickTop="1">
      <c r="A90" s="482"/>
      <c r="B90" s="467" t="str">
        <f>B27</f>
        <v>楼层</v>
      </c>
      <c r="C90" s="3170" t="s">
        <v>3450</v>
      </c>
      <c r="D90" s="3170" t="s">
        <v>3451</v>
      </c>
      <c r="E90" s="3170" t="s">
        <v>3452</v>
      </c>
      <c r="F90" s="3170" t="s">
        <v>3455</v>
      </c>
      <c r="G90" s="3170"/>
      <c r="H90" s="3170"/>
      <c r="I90" s="484"/>
      <c r="J90" s="484"/>
      <c r="K90" s="484"/>
      <c r="L90" s="485"/>
      <c r="M90" s="486"/>
      <c r="N90" s="879"/>
      <c r="O90" s="879"/>
      <c r="P90" s="1770"/>
      <c r="Q90" s="488"/>
    </row>
    <row r="91" spans="1:17" s="406" customFormat="1" ht="15.75" thickBot="1">
      <c r="A91" s="482"/>
      <c r="B91" s="472"/>
      <c r="C91" s="406">
        <f>D91+$J$91</f>
        <v>102</v>
      </c>
      <c r="D91" s="406">
        <v>100</v>
      </c>
      <c r="E91" s="406">
        <f>D91-$J$91</f>
        <v>98</v>
      </c>
      <c r="F91" s="406">
        <f>E91-$J$91</f>
        <v>96</v>
      </c>
      <c r="G91" s="489"/>
      <c r="I91" s="491"/>
      <c r="J91" s="491">
        <f>K27</f>
        <v>2</v>
      </c>
      <c r="K91" s="491"/>
      <c r="L91" s="491"/>
      <c r="M91" s="492"/>
      <c r="N91" s="879"/>
      <c r="O91" s="879"/>
      <c r="P91" s="1770"/>
      <c r="Q91" s="488"/>
    </row>
    <row r="92" spans="1:17" ht="15.75" thickTop="1">
      <c r="A92" s="365"/>
      <c r="B92" s="467" t="str">
        <f>B28</f>
        <v>道路级别</v>
      </c>
      <c r="C92" s="3139" t="s">
        <v>3431</v>
      </c>
      <c r="D92" s="3139" t="s">
        <v>3430</v>
      </c>
      <c r="E92" s="3139" t="s">
        <v>3433</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3438</v>
      </c>
      <c r="D100" s="3144" t="s">
        <v>3439</v>
      </c>
      <c r="E100" s="3144" t="s">
        <v>3428</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0(含)-80</v>
      </c>
      <c r="D102" s="507" t="str">
        <f t="shared" ref="D102:L102" si="28">D103&amp;"(含)"&amp;"-"&amp;E103</f>
        <v>80(含)-100</v>
      </c>
      <c r="E102" s="507" t="str">
        <f t="shared" si="28"/>
        <v>100(含)-120</v>
      </c>
      <c r="F102" s="507" t="str">
        <f t="shared" si="28"/>
        <v>120(含)-140</v>
      </c>
      <c r="G102" s="507" t="str">
        <f t="shared" si="28"/>
        <v>140(含)-160</v>
      </c>
      <c r="H102" s="507" t="str">
        <f t="shared" si="28"/>
        <v>160(含)-180</v>
      </c>
      <c r="I102" s="507" t="str">
        <f t="shared" si="28"/>
        <v>180(含)-</v>
      </c>
      <c r="J102" s="507" t="str">
        <f t="shared" si="28"/>
        <v>(含)-340</v>
      </c>
      <c r="K102" s="507" t="str">
        <f>K103&amp;"(含)"&amp;"-"&amp;L103</f>
        <v>340(含)-1</v>
      </c>
      <c r="L102" s="507" t="str">
        <f t="shared" si="28"/>
        <v>1(含)-</v>
      </c>
      <c r="M102" s="507" t="str">
        <f>M103&amp;"(含)"&amp;"-"&amp;P103</f>
        <v>(含)-</v>
      </c>
      <c r="N102" s="876"/>
      <c r="O102" s="876"/>
      <c r="P102" s="1769"/>
      <c r="Q102" s="437"/>
    </row>
    <row r="103" spans="1:17" s="406" customFormat="1">
      <c r="A103" s="404"/>
      <c r="B103" s="521"/>
      <c r="C103" s="6">
        <v>0</v>
      </c>
      <c r="D103" s="6">
        <v>80</v>
      </c>
      <c r="E103" s="6">
        <v>100</v>
      </c>
      <c r="F103" s="6">
        <v>120</v>
      </c>
      <c r="G103" s="6">
        <v>140</v>
      </c>
      <c r="H103" s="6">
        <v>160</v>
      </c>
      <c r="I103" s="6">
        <v>180</v>
      </c>
      <c r="J103" s="6"/>
      <c r="K103" s="522">
        <v>340</v>
      </c>
      <c r="L103" s="522">
        <f>K33</f>
        <v>1</v>
      </c>
      <c r="M103" s="524"/>
      <c r="N103" s="879"/>
      <c r="O103" s="879"/>
      <c r="P103" s="1770"/>
      <c r="Q103" s="488"/>
    </row>
    <row r="104" spans="1:17" s="406" customFormat="1" ht="15.75" thickBot="1">
      <c r="A104" s="482"/>
      <c r="B104" s="472"/>
      <c r="C104" s="465">
        <f>D104+$L$103</f>
        <v>102</v>
      </c>
      <c r="D104" s="465">
        <f>E104+$L$103</f>
        <v>101</v>
      </c>
      <c r="E104" s="465">
        <v>100</v>
      </c>
      <c r="F104" s="465">
        <f>E104-$L$103</f>
        <v>99</v>
      </c>
      <c r="G104" s="465">
        <f>F104-$L$103</f>
        <v>98</v>
      </c>
      <c r="H104" s="465">
        <f t="shared" ref="H104:J104" si="29">G104-$L$103</f>
        <v>97</v>
      </c>
      <c r="I104" s="465">
        <f t="shared" si="29"/>
        <v>96</v>
      </c>
      <c r="J104" s="465">
        <f t="shared" si="29"/>
        <v>95</v>
      </c>
      <c r="K104" s="465"/>
      <c r="L104" s="465"/>
      <c r="M104" s="465"/>
      <c r="N104" s="878"/>
      <c r="O104" s="878"/>
      <c r="P104" s="1770"/>
      <c r="Q104" s="488"/>
    </row>
    <row r="105" spans="1:17" ht="15" thickTop="1">
      <c r="A105" s="407"/>
      <c r="B105" s="467" t="s">
        <v>1735</v>
      </c>
      <c r="C105" s="3139" t="s">
        <v>3408</v>
      </c>
      <c r="D105" s="3139" t="s">
        <v>3435</v>
      </c>
      <c r="E105" s="3145" t="s">
        <v>3449</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0">C106-$K34</f>
        <v>99.5</v>
      </c>
      <c r="E106" s="473">
        <f t="shared" si="30"/>
        <v>99</v>
      </c>
      <c r="F106" s="473">
        <f t="shared" si="30"/>
        <v>98.5</v>
      </c>
      <c r="G106" s="473">
        <f t="shared" si="30"/>
        <v>98</v>
      </c>
      <c r="H106" s="473">
        <f t="shared" si="30"/>
        <v>97.5</v>
      </c>
      <c r="I106" s="473">
        <f t="shared" si="30"/>
        <v>97</v>
      </c>
      <c r="J106" s="473">
        <f t="shared" si="30"/>
        <v>96.5</v>
      </c>
      <c r="K106" s="473">
        <f t="shared" si="30"/>
        <v>96</v>
      </c>
      <c r="L106" s="473">
        <f t="shared" si="30"/>
        <v>95.5</v>
      </c>
      <c r="M106" s="473">
        <f t="shared" si="30"/>
        <v>95</v>
      </c>
      <c r="N106" s="878"/>
      <c r="O106" s="878"/>
      <c r="P106" s="1769"/>
      <c r="Q106" s="437"/>
    </row>
    <row r="107" spans="1:17" ht="15" thickTop="1">
      <c r="A107" s="407"/>
      <c r="B107" s="3165" t="s">
        <v>3440</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1">C108-$K35</f>
        <v>97</v>
      </c>
      <c r="E108" s="473">
        <f t="shared" si="31"/>
        <v>94</v>
      </c>
      <c r="F108" s="473">
        <f t="shared" si="31"/>
        <v>91</v>
      </c>
      <c r="G108" s="473">
        <f t="shared" si="31"/>
        <v>88</v>
      </c>
      <c r="H108" s="473">
        <f t="shared" si="31"/>
        <v>85</v>
      </c>
      <c r="I108" s="473">
        <f t="shared" si="31"/>
        <v>82</v>
      </c>
      <c r="J108" s="473">
        <f t="shared" si="31"/>
        <v>79</v>
      </c>
      <c r="K108" s="473">
        <f t="shared" si="31"/>
        <v>76</v>
      </c>
      <c r="L108" s="473">
        <f t="shared" si="31"/>
        <v>73</v>
      </c>
      <c r="M108" s="473">
        <f t="shared" si="31"/>
        <v>70</v>
      </c>
      <c r="N108" s="878"/>
      <c r="O108" s="878"/>
      <c r="P108" s="1769"/>
      <c r="Q108" s="437"/>
    </row>
    <row r="109" spans="1:17" ht="15" thickTop="1">
      <c r="A109" s="407"/>
      <c r="B109" s="467" t="s">
        <v>1736</v>
      </c>
      <c r="C109" s="3139" t="s">
        <v>3413</v>
      </c>
      <c r="D109" s="3139" t="s">
        <v>3409</v>
      </c>
      <c r="E109" s="3139" t="s">
        <v>3444</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2">C110-$K36</f>
        <v>100</v>
      </c>
      <c r="E110" s="473">
        <f t="shared" si="32"/>
        <v>100</v>
      </c>
      <c r="F110" s="473">
        <f t="shared" si="32"/>
        <v>100</v>
      </c>
      <c r="G110" s="473">
        <f t="shared" si="32"/>
        <v>100</v>
      </c>
      <c r="H110" s="473">
        <f t="shared" si="32"/>
        <v>100</v>
      </c>
      <c r="I110" s="473">
        <f t="shared" si="32"/>
        <v>100</v>
      </c>
      <c r="J110" s="473">
        <f t="shared" si="32"/>
        <v>100</v>
      </c>
      <c r="K110" s="473">
        <f t="shared" si="32"/>
        <v>100</v>
      </c>
      <c r="L110" s="473">
        <f t="shared" si="32"/>
        <v>100</v>
      </c>
      <c r="M110" s="473">
        <f t="shared" si="32"/>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3410</v>
      </c>
      <c r="D114" s="3139" t="s">
        <v>3434</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3">C115-$K38</f>
        <v>99</v>
      </c>
      <c r="E115" s="473">
        <f t="shared" si="33"/>
        <v>98</v>
      </c>
      <c r="F115" s="473">
        <f t="shared" si="33"/>
        <v>97</v>
      </c>
      <c r="G115" s="473">
        <f t="shared" si="33"/>
        <v>96</v>
      </c>
      <c r="H115" s="473">
        <f t="shared" si="33"/>
        <v>95</v>
      </c>
      <c r="I115" s="473">
        <f t="shared" si="33"/>
        <v>94</v>
      </c>
      <c r="J115" s="473">
        <f t="shared" si="33"/>
        <v>93</v>
      </c>
      <c r="K115" s="473">
        <f t="shared" si="33"/>
        <v>92</v>
      </c>
      <c r="L115" s="473">
        <f t="shared" si="33"/>
        <v>91</v>
      </c>
      <c r="M115" s="473">
        <f t="shared" si="33"/>
        <v>90</v>
      </c>
      <c r="N115" s="878"/>
      <c r="O115" s="878"/>
      <c r="P115" s="1769"/>
      <c r="Q115" s="437"/>
    </row>
    <row r="116" spans="1:17" ht="15" thickTop="1">
      <c r="A116" s="407"/>
      <c r="B116" s="467" t="s">
        <v>1738</v>
      </c>
      <c r="C116" s="3139" t="s">
        <v>3411</v>
      </c>
      <c r="D116" s="3139" t="s">
        <v>3412</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3462</v>
      </c>
      <c r="D118" s="3145" t="s">
        <v>3464</v>
      </c>
      <c r="E118" s="3145" t="s">
        <v>3466</v>
      </c>
      <c r="F118" s="3145" t="s">
        <v>3467</v>
      </c>
      <c r="G118" s="511"/>
      <c r="H118" s="511"/>
      <c r="I118" s="511"/>
      <c r="J118" s="511"/>
      <c r="K118" s="512"/>
      <c r="L118" s="513"/>
      <c r="M118" s="514"/>
      <c r="N118" s="877"/>
      <c r="O118" s="877"/>
      <c r="P118" s="1769"/>
      <c r="Q118" s="437"/>
    </row>
    <row r="119" spans="1:17" ht="15.75" thickBot="1">
      <c r="A119" s="365"/>
      <c r="B119" s="472"/>
      <c r="C119" s="473">
        <v>100</v>
      </c>
      <c r="D119" s="473">
        <f t="shared" ref="D119:M119" si="34">C119-$K40</f>
        <v>99</v>
      </c>
      <c r="E119" s="473">
        <f t="shared" si="34"/>
        <v>98</v>
      </c>
      <c r="F119" s="473">
        <f t="shared" si="34"/>
        <v>97</v>
      </c>
      <c r="G119" s="473">
        <f t="shared" si="34"/>
        <v>96</v>
      </c>
      <c r="H119" s="473">
        <f t="shared" si="34"/>
        <v>95</v>
      </c>
      <c r="I119" s="473">
        <f t="shared" si="34"/>
        <v>94</v>
      </c>
      <c r="J119" s="473">
        <f t="shared" si="34"/>
        <v>93</v>
      </c>
      <c r="K119" s="473">
        <f t="shared" si="34"/>
        <v>92</v>
      </c>
      <c r="L119" s="473">
        <f t="shared" si="34"/>
        <v>91</v>
      </c>
      <c r="M119" s="473">
        <f t="shared" si="34"/>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3413</v>
      </c>
      <c r="D122" s="3139" t="s">
        <v>3409</v>
      </c>
      <c r="E122" s="3139" t="s">
        <v>3444</v>
      </c>
      <c r="F122" s="3145" t="s">
        <v>3834</v>
      </c>
      <c r="G122" s="511"/>
      <c r="H122" s="511"/>
      <c r="I122" s="511"/>
      <c r="J122" s="511"/>
      <c r="K122" s="512"/>
      <c r="L122" s="513"/>
      <c r="M122" s="514"/>
      <c r="N122" s="877"/>
      <c r="O122" s="877"/>
      <c r="P122" s="1769"/>
      <c r="Q122" s="437"/>
    </row>
    <row r="123" spans="1:17" ht="15.75" thickBot="1">
      <c r="A123" s="365"/>
      <c r="B123" s="472"/>
      <c r="C123" s="473">
        <v>100</v>
      </c>
      <c r="D123" s="473">
        <f t="shared" ref="D123:M123" si="35">C123-$K42</f>
        <v>99</v>
      </c>
      <c r="E123" s="473">
        <f t="shared" si="35"/>
        <v>98</v>
      </c>
      <c r="F123" s="473">
        <f t="shared" si="35"/>
        <v>97</v>
      </c>
      <c r="G123" s="473">
        <f t="shared" si="35"/>
        <v>96</v>
      </c>
      <c r="H123" s="473">
        <f t="shared" si="35"/>
        <v>95</v>
      </c>
      <c r="I123" s="473">
        <f t="shared" si="35"/>
        <v>94</v>
      </c>
      <c r="J123" s="473">
        <f t="shared" si="35"/>
        <v>93</v>
      </c>
      <c r="K123" s="473">
        <f t="shared" si="35"/>
        <v>92</v>
      </c>
      <c r="L123" s="473">
        <f t="shared" si="35"/>
        <v>91</v>
      </c>
      <c r="M123" s="473">
        <f t="shared" si="35"/>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3" t="s">
        <v>3468</v>
      </c>
      <c r="D126" s="3183" t="s">
        <v>3469</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0</v>
      </c>
      <c r="J128" s="511"/>
      <c r="K128" s="512"/>
      <c r="L128" s="513"/>
      <c r="M128" s="514"/>
      <c r="N128" s="877"/>
      <c r="O128" s="877"/>
      <c r="P128" s="1769"/>
      <c r="Q128" s="437"/>
    </row>
    <row r="129" spans="1:17" ht="15.75" thickBot="1">
      <c r="A129" s="365"/>
      <c r="B129" s="472"/>
      <c r="C129" s="489">
        <f t="shared" ref="C129:D129" si="36">D129+$I$128</f>
        <v>100</v>
      </c>
      <c r="D129" s="489">
        <f t="shared" si="36"/>
        <v>100</v>
      </c>
      <c r="E129" s="489">
        <f>F129+$I$128</f>
        <v>100</v>
      </c>
      <c r="F129" s="489">
        <v>100</v>
      </c>
      <c r="G129" s="489">
        <f t="shared" ref="G129" si="37">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120.79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589" t="s">
        <v>1771</v>
      </c>
      <c r="Q4" s="3590"/>
      <c r="R4" s="3595" t="s">
        <v>1767</v>
      </c>
      <c r="S4" s="3596"/>
      <c r="T4" s="3595" t="s">
        <v>1768</v>
      </c>
      <c r="U4" s="3596"/>
      <c r="V4" s="3571" t="s">
        <v>1769</v>
      </c>
      <c r="W4" s="3571"/>
      <c r="X4" s="1262"/>
      <c r="Y4" s="3595" t="s">
        <v>1771</v>
      </c>
      <c r="Z4" s="3596"/>
      <c r="AA4" s="3582" t="s">
        <v>1767</v>
      </c>
      <c r="AB4" s="3571" t="s">
        <v>1768</v>
      </c>
      <c r="AC4" s="3582" t="s">
        <v>1769</v>
      </c>
    </row>
    <row r="5" spans="1:29" ht="15">
      <c r="A5" s="346"/>
      <c r="B5" s="347"/>
      <c r="C5" s="3612" t="s">
        <v>1673</v>
      </c>
      <c r="D5" s="3609"/>
      <c r="E5" s="3613" t="s">
        <v>1674</v>
      </c>
      <c r="F5" s="3604"/>
      <c r="G5" s="3612" t="s">
        <v>1675</v>
      </c>
      <c r="H5" s="3609"/>
      <c r="I5" s="3612" t="s">
        <v>1676</v>
      </c>
      <c r="J5" s="3609"/>
      <c r="K5" s="535"/>
      <c r="L5" s="2480"/>
      <c r="M5" s="2481"/>
      <c r="N5" s="2481"/>
      <c r="O5" s="2481"/>
      <c r="P5" s="3591"/>
      <c r="Q5" s="3592"/>
      <c r="R5" s="3597"/>
      <c r="S5" s="3598"/>
      <c r="T5" s="3597"/>
      <c r="U5" s="3598"/>
      <c r="V5" s="3571"/>
      <c r="W5" s="3571"/>
      <c r="X5" s="1262"/>
      <c r="Y5" s="3597"/>
      <c r="Z5" s="3598"/>
      <c r="AA5" s="3583"/>
      <c r="AB5" s="3571"/>
      <c r="AC5" s="3583"/>
    </row>
    <row r="6" spans="1:29" ht="15.75" thickBot="1">
      <c r="A6" s="348"/>
      <c r="B6" s="349"/>
      <c r="C6" s="3601" t="s">
        <v>1677</v>
      </c>
      <c r="D6" s="3602"/>
      <c r="E6" s="3610" t="s">
        <v>1677</v>
      </c>
      <c r="F6" s="3611"/>
      <c r="G6" s="3601" t="s">
        <v>1677</v>
      </c>
      <c r="H6" s="3602"/>
      <c r="I6" s="3601" t="s">
        <v>1677</v>
      </c>
      <c r="J6" s="3602"/>
      <c r="K6" s="535" t="s">
        <v>1678</v>
      </c>
      <c r="L6" s="2480"/>
      <c r="M6" s="2481"/>
      <c r="N6" s="2481"/>
      <c r="O6" s="2481"/>
      <c r="P6" s="3593"/>
      <c r="Q6" s="3594"/>
      <c r="R6" s="3597"/>
      <c r="S6" s="3598"/>
      <c r="T6" s="3599"/>
      <c r="U6" s="3600"/>
      <c r="V6" s="3571"/>
      <c r="W6" s="3571"/>
      <c r="X6" s="1262"/>
      <c r="Y6" s="3599"/>
      <c r="Z6" s="3600"/>
      <c r="AA6" s="3584"/>
      <c r="AB6" s="3571"/>
      <c r="AC6" s="3584"/>
    </row>
    <row r="7" spans="1:29" s="101" customFormat="1" ht="15.75" thickBot="1">
      <c r="A7" s="350" t="s">
        <v>1679</v>
      </c>
      <c r="B7" s="351"/>
      <c r="C7" s="352">
        <f>'数据-取费表'!B2</f>
        <v>38017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605" t="s">
        <v>1680</v>
      </c>
      <c r="Q7" s="3607"/>
      <c r="R7" s="662" t="s">
        <v>14</v>
      </c>
      <c r="S7" s="663">
        <f t="shared" ref="S7:S15" si="0">F7</f>
        <v>0</v>
      </c>
      <c r="T7" s="662" t="s">
        <v>14</v>
      </c>
      <c r="U7" s="663">
        <f t="shared" ref="U7:U15" si="1">H7</f>
        <v>0</v>
      </c>
      <c r="V7" s="662" t="s">
        <v>14</v>
      </c>
      <c r="W7" s="663">
        <f t="shared" ref="W7:W15" si="2">J7</f>
        <v>0</v>
      </c>
      <c r="X7" s="664"/>
      <c r="Y7" s="3605" t="s">
        <v>1680</v>
      </c>
      <c r="Z7" s="3606"/>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605" t="s">
        <v>1683</v>
      </c>
      <c r="Q8" s="3606"/>
      <c r="R8" s="662" t="s">
        <v>14</v>
      </c>
      <c r="S8" s="663">
        <f t="shared" si="0"/>
        <v>100</v>
      </c>
      <c r="T8" s="662" t="s">
        <v>14</v>
      </c>
      <c r="U8" s="663">
        <f t="shared" si="1"/>
        <v>100</v>
      </c>
      <c r="V8" s="662" t="s">
        <v>14</v>
      </c>
      <c r="W8" s="663">
        <f t="shared" si="2"/>
        <v>100</v>
      </c>
      <c r="X8" s="664"/>
      <c r="Y8" s="3605" t="s">
        <v>1683</v>
      </c>
      <c r="Z8" s="3606"/>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81"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81"/>
      <c r="Q10" s="528" t="str">
        <f t="shared" si="6"/>
        <v>土地使用年限（年）</v>
      </c>
      <c r="R10" s="662" t="s">
        <v>14</v>
      </c>
      <c r="S10" s="663">
        <f t="shared" si="0"/>
        <v>100</v>
      </c>
      <c r="T10" s="662" t="s">
        <v>14</v>
      </c>
      <c r="U10" s="663">
        <f t="shared" si="1"/>
        <v>100</v>
      </c>
      <c r="V10" s="662" t="s">
        <v>14</v>
      </c>
      <c r="W10" s="663">
        <f t="shared" si="2"/>
        <v>100</v>
      </c>
      <c r="X10" s="664"/>
      <c r="Y10" s="3445"/>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81"/>
      <c r="Q11" s="528" t="str">
        <f t="shared" si="6"/>
        <v>容积率</v>
      </c>
      <c r="R11" s="662" t="s">
        <v>14</v>
      </c>
      <c r="S11" s="663" t="e">
        <f t="shared" si="0"/>
        <v>#N/A</v>
      </c>
      <c r="T11" s="662" t="s">
        <v>14</v>
      </c>
      <c r="U11" s="663" t="e">
        <f t="shared" si="1"/>
        <v>#N/A</v>
      </c>
      <c r="V11" s="662" t="s">
        <v>14</v>
      </c>
      <c r="W11" s="663" t="e">
        <f t="shared" si="2"/>
        <v>#N/A</v>
      </c>
      <c r="X11" s="664"/>
      <c r="Y11" s="3445"/>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81"/>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81"/>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81"/>
      <c r="Q14" s="528">
        <f t="shared" si="6"/>
        <v>111</v>
      </c>
      <c r="R14" s="662" t="s">
        <v>14</v>
      </c>
      <c r="S14" s="663">
        <f t="shared" si="0"/>
        <v>100</v>
      </c>
      <c r="T14" s="662" t="s">
        <v>14</v>
      </c>
      <c r="U14" s="663">
        <f t="shared" si="1"/>
        <v>100</v>
      </c>
      <c r="V14" s="662" t="s">
        <v>14</v>
      </c>
      <c r="W14" s="663">
        <f t="shared" si="2"/>
        <v>100</v>
      </c>
      <c r="X14" s="664"/>
      <c r="Y14" s="3445"/>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79" t="s">
        <v>1691</v>
      </c>
      <c r="Q15" s="1260" t="str">
        <f t="shared" si="6"/>
        <v>商业繁华度</v>
      </c>
      <c r="R15" s="665" t="s">
        <v>14</v>
      </c>
      <c r="S15" s="666">
        <f t="shared" si="0"/>
        <v>100</v>
      </c>
      <c r="T15" s="665" t="s">
        <v>14</v>
      </c>
      <c r="U15" s="666">
        <f t="shared" si="1"/>
        <v>100</v>
      </c>
      <c r="V15" s="665" t="s">
        <v>14</v>
      </c>
      <c r="W15" s="666">
        <f t="shared" si="2"/>
        <v>100</v>
      </c>
      <c r="X15" s="1262"/>
      <c r="Y15" s="3572"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80"/>
      <c r="Q16" s="1260"/>
      <c r="R16" s="665"/>
      <c r="S16" s="666"/>
      <c r="T16" s="665"/>
      <c r="U16" s="666"/>
      <c r="V16" s="665"/>
      <c r="W16" s="666"/>
      <c r="X16" s="1262"/>
      <c r="Y16" s="3573"/>
      <c r="Z16" s="1261"/>
      <c r="AA16" s="1261">
        <v>1</v>
      </c>
      <c r="AB16" s="1261">
        <v>1</v>
      </c>
      <c r="AC16" s="1261">
        <v>1</v>
      </c>
    </row>
    <row r="17" spans="1:29" ht="71.25">
      <c r="A17" s="365"/>
      <c r="B17" s="388" t="s">
        <v>1259</v>
      </c>
      <c r="C17" s="1750" t="str">
        <f>估价对象房地状况!C6</f>
        <v>周边有399路、965路、985路等多条公交线路，综合评价交通便捷度一般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80"/>
      <c r="Q17" s="1260" t="str">
        <f>B17</f>
        <v>交通便捷度</v>
      </c>
      <c r="R17" s="665" t="s">
        <v>14</v>
      </c>
      <c r="S17" s="666">
        <f>F17</f>
        <v>100</v>
      </c>
      <c r="T17" s="665" t="s">
        <v>14</v>
      </c>
      <c r="U17" s="666">
        <f>H17</f>
        <v>100</v>
      </c>
      <c r="V17" s="665" t="s">
        <v>14</v>
      </c>
      <c r="W17" s="666">
        <f>J17</f>
        <v>100</v>
      </c>
      <c r="X17" s="1262"/>
      <c r="Y17" s="3573"/>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80"/>
      <c r="Q18" s="1260"/>
      <c r="R18" s="665"/>
      <c r="S18" s="666"/>
      <c r="T18" s="665"/>
      <c r="U18" s="666"/>
      <c r="V18" s="665"/>
      <c r="W18" s="666"/>
      <c r="X18" s="1262"/>
      <c r="Y18" s="3573"/>
      <c r="Z18" s="1261"/>
      <c r="AA18" s="1261">
        <v>1</v>
      </c>
      <c r="AB18" s="1261">
        <v>1</v>
      </c>
      <c r="AC18" s="1261">
        <v>1</v>
      </c>
    </row>
    <row r="19" spans="1:29" ht="228">
      <c r="A19" s="365"/>
      <c r="B19" s="388" t="s">
        <v>1774</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80"/>
      <c r="Q19" s="1260" t="str">
        <f>B19</f>
        <v>公共配套设施</v>
      </c>
      <c r="R19" s="665" t="s">
        <v>14</v>
      </c>
      <c r="S19" s="666">
        <f>F19</f>
        <v>100</v>
      </c>
      <c r="T19" s="665" t="s">
        <v>14</v>
      </c>
      <c r="U19" s="666">
        <f>H19</f>
        <v>100</v>
      </c>
      <c r="V19" s="665" t="s">
        <v>14</v>
      </c>
      <c r="W19" s="666">
        <f>J19</f>
        <v>100</v>
      </c>
      <c r="X19" s="1262"/>
      <c r="Y19" s="3573"/>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80"/>
      <c r="Q20" s="1260"/>
      <c r="R20" s="665"/>
      <c r="S20" s="666"/>
      <c r="T20" s="665"/>
      <c r="U20" s="666"/>
      <c r="V20" s="665"/>
      <c r="W20" s="666"/>
      <c r="X20" s="1262"/>
      <c r="Y20" s="3573"/>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80"/>
      <c r="Q21" s="1260" t="str">
        <f>B21</f>
        <v>基础设施水平</v>
      </c>
      <c r="R21" s="665" t="s">
        <v>14</v>
      </c>
      <c r="S21" s="666">
        <f>F21</f>
        <v>100</v>
      </c>
      <c r="T21" s="665" t="s">
        <v>14</v>
      </c>
      <c r="U21" s="666">
        <f>H21</f>
        <v>100</v>
      </c>
      <c r="V21" s="665" t="s">
        <v>14</v>
      </c>
      <c r="W21" s="666">
        <f>J21</f>
        <v>100</v>
      </c>
      <c r="X21" s="1262"/>
      <c r="Y21" s="3573"/>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80"/>
      <c r="Q22" s="1260"/>
      <c r="R22" s="665"/>
      <c r="S22" s="666"/>
      <c r="T22" s="665"/>
      <c r="U22" s="666"/>
      <c r="V22" s="665"/>
      <c r="W22" s="666"/>
      <c r="X22" s="1262"/>
      <c r="Y22" s="3573"/>
      <c r="Z22" s="1261"/>
      <c r="AA22" s="1261">
        <v>1</v>
      </c>
      <c r="AB22" s="1261">
        <v>1</v>
      </c>
      <c r="AC22" s="1261">
        <v>1</v>
      </c>
    </row>
    <row r="23" spans="1:29" ht="85.5">
      <c r="A23" s="365"/>
      <c r="B23" s="388" t="s">
        <v>1261</v>
      </c>
      <c r="C23" s="1800" t="str">
        <f>估价对象房地状况!C9</f>
        <v>周边有八大处公园及永定河引水渠等自然及人文景观，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80"/>
      <c r="Q23" s="1260" t="str">
        <f>B23</f>
        <v>自然及人文环境</v>
      </c>
      <c r="R23" s="665" t="s">
        <v>14</v>
      </c>
      <c r="S23" s="666">
        <f>F23</f>
        <v>100</v>
      </c>
      <c r="T23" s="665" t="s">
        <v>14</v>
      </c>
      <c r="U23" s="666">
        <f>H23</f>
        <v>100</v>
      </c>
      <c r="V23" s="665" t="s">
        <v>14</v>
      </c>
      <c r="W23" s="666">
        <f>J23</f>
        <v>100</v>
      </c>
      <c r="X23" s="1262"/>
      <c r="Y23" s="3573"/>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80"/>
      <c r="Q24" s="1260"/>
      <c r="R24" s="665"/>
      <c r="S24" s="666"/>
      <c r="T24" s="665"/>
      <c r="U24" s="666"/>
      <c r="V24" s="665"/>
      <c r="W24" s="666"/>
      <c r="X24" s="1262"/>
      <c r="Y24" s="3573"/>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80"/>
      <c r="Q25" s="1260" t="str">
        <f t="shared" ref="Q25:Q46" si="8">B25</f>
        <v>临街状况</v>
      </c>
      <c r="R25" s="665" t="s">
        <v>14</v>
      </c>
      <c r="S25" s="666">
        <f>F25</f>
        <v>100</v>
      </c>
      <c r="T25" s="665" t="s">
        <v>14</v>
      </c>
      <c r="U25" s="666">
        <f>H25</f>
        <v>100</v>
      </c>
      <c r="V25" s="665" t="s">
        <v>14</v>
      </c>
      <c r="W25" s="666">
        <f>J25</f>
        <v>100</v>
      </c>
      <c r="X25" s="1262"/>
      <c r="Y25" s="3573"/>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80"/>
      <c r="Q26" s="1260" t="str">
        <f t="shared" si="8"/>
        <v>平面位置/可视性</v>
      </c>
      <c r="R26" s="665" t="s">
        <v>14</v>
      </c>
      <c r="S26" s="666">
        <f>F26</f>
        <v>100</v>
      </c>
      <c r="T26" s="665" t="s">
        <v>14</v>
      </c>
      <c r="U26" s="666">
        <f>H26</f>
        <v>100</v>
      </c>
      <c r="V26" s="665" t="s">
        <v>14</v>
      </c>
      <c r="W26" s="666">
        <f>J26</f>
        <v>100</v>
      </c>
      <c r="X26" s="1262"/>
      <c r="Y26" s="3573"/>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80"/>
      <c r="Q27" s="528" t="str">
        <f t="shared" si="8"/>
        <v>人流量</v>
      </c>
      <c r="R27" s="662" t="s">
        <v>14</v>
      </c>
      <c r="S27" s="663">
        <f>F27</f>
        <v>100</v>
      </c>
      <c r="T27" s="662" t="s">
        <v>14</v>
      </c>
      <c r="U27" s="663">
        <f>H27</f>
        <v>100</v>
      </c>
      <c r="V27" s="662" t="s">
        <v>14</v>
      </c>
      <c r="W27" s="663">
        <f>J27</f>
        <v>100</v>
      </c>
      <c r="X27" s="664"/>
      <c r="Y27" s="3573"/>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80"/>
      <c r="Q28" s="1260" t="str">
        <f t="shared" si="8"/>
        <v>楼层</v>
      </c>
      <c r="R28" s="665" t="s">
        <v>14</v>
      </c>
      <c r="S28" s="666">
        <f t="shared" ref="S28:S46" si="9">F28</f>
        <v>100</v>
      </c>
      <c r="T28" s="665" t="s">
        <v>14</v>
      </c>
      <c r="U28" s="666">
        <f t="shared" ref="U28:U46" si="10">H28</f>
        <v>100</v>
      </c>
      <c r="V28" s="665" t="s">
        <v>14</v>
      </c>
      <c r="W28" s="666">
        <f t="shared" ref="W28:W46" si="11">J28</f>
        <v>100</v>
      </c>
      <c r="X28" s="1262"/>
      <c r="Y28" s="3573"/>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80"/>
      <c r="Q29" s="1260">
        <f t="shared" si="8"/>
        <v>111</v>
      </c>
      <c r="R29" s="665" t="s">
        <v>14</v>
      </c>
      <c r="S29" s="666">
        <f t="shared" si="9"/>
        <v>100</v>
      </c>
      <c r="T29" s="665" t="s">
        <v>14</v>
      </c>
      <c r="U29" s="666">
        <f t="shared" si="10"/>
        <v>100</v>
      </c>
      <c r="V29" s="665" t="s">
        <v>14</v>
      </c>
      <c r="W29" s="666">
        <f t="shared" si="11"/>
        <v>100</v>
      </c>
      <c r="X29" s="1262"/>
      <c r="Y29" s="3573"/>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80"/>
      <c r="Q30" s="1260">
        <f t="shared" si="8"/>
        <v>111</v>
      </c>
      <c r="R30" s="665" t="s">
        <v>14</v>
      </c>
      <c r="S30" s="666">
        <f t="shared" si="9"/>
        <v>100</v>
      </c>
      <c r="T30" s="665" t="s">
        <v>14</v>
      </c>
      <c r="U30" s="666">
        <f t="shared" si="10"/>
        <v>100</v>
      </c>
      <c r="V30" s="665" t="s">
        <v>14</v>
      </c>
      <c r="W30" s="666">
        <f t="shared" si="11"/>
        <v>100</v>
      </c>
      <c r="X30" s="1262"/>
      <c r="Y30" s="3573"/>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80"/>
      <c r="Q31" s="1260">
        <f t="shared" si="8"/>
        <v>111</v>
      </c>
      <c r="R31" s="665" t="s">
        <v>14</v>
      </c>
      <c r="S31" s="666">
        <f t="shared" si="9"/>
        <v>100</v>
      </c>
      <c r="T31" s="665" t="s">
        <v>14</v>
      </c>
      <c r="U31" s="666">
        <f t="shared" si="10"/>
        <v>100</v>
      </c>
      <c r="V31" s="665" t="s">
        <v>14</v>
      </c>
      <c r="W31" s="666">
        <f t="shared" si="11"/>
        <v>100</v>
      </c>
      <c r="X31" s="1262"/>
      <c r="Y31" s="3573"/>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74" t="s">
        <v>1696</v>
      </c>
      <c r="Q32" s="1260" t="str">
        <f t="shared" si="8"/>
        <v>商业类型</v>
      </c>
      <c r="R32" s="665" t="s">
        <v>14</v>
      </c>
      <c r="S32" s="666">
        <f t="shared" si="9"/>
        <v>100</v>
      </c>
      <c r="T32" s="665" t="s">
        <v>14</v>
      </c>
      <c r="U32" s="666">
        <f t="shared" si="10"/>
        <v>100</v>
      </c>
      <c r="V32" s="665" t="s">
        <v>14</v>
      </c>
      <c r="W32" s="666">
        <f t="shared" si="11"/>
        <v>100</v>
      </c>
      <c r="X32" s="1262"/>
      <c r="Y32" s="3577"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75"/>
      <c r="Q33" s="529" t="str">
        <f t="shared" si="8"/>
        <v>项目建筑规模</v>
      </c>
      <c r="R33" s="667" t="s">
        <v>14</v>
      </c>
      <c r="S33" s="668" t="e">
        <f t="shared" si="9"/>
        <v>#N/A</v>
      </c>
      <c r="T33" s="667" t="s">
        <v>14</v>
      </c>
      <c r="U33" s="668" t="e">
        <f t="shared" si="10"/>
        <v>#N/A</v>
      </c>
      <c r="V33" s="667" t="s">
        <v>14</v>
      </c>
      <c r="W33" s="668" t="e">
        <f t="shared" si="11"/>
        <v>#N/A</v>
      </c>
      <c r="X33" s="669"/>
      <c r="Y33" s="3577"/>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75"/>
      <c r="Q34" s="1260" t="str">
        <f t="shared" si="8"/>
        <v>建筑结构</v>
      </c>
      <c r="R34" s="665" t="s">
        <v>14</v>
      </c>
      <c r="S34" s="666">
        <f t="shared" si="9"/>
        <v>100</v>
      </c>
      <c r="T34" s="665" t="s">
        <v>14</v>
      </c>
      <c r="U34" s="666">
        <f t="shared" si="10"/>
        <v>100</v>
      </c>
      <c r="V34" s="665" t="s">
        <v>14</v>
      </c>
      <c r="W34" s="666">
        <f t="shared" si="11"/>
        <v>100</v>
      </c>
      <c r="X34" s="1262"/>
      <c r="Y34" s="3577"/>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75"/>
      <c r="Q35" s="1260" t="str">
        <f t="shared" si="8"/>
        <v>公共部分装修</v>
      </c>
      <c r="R35" s="665" t="s">
        <v>14</v>
      </c>
      <c r="S35" s="666">
        <f t="shared" si="9"/>
        <v>100</v>
      </c>
      <c r="T35" s="665" t="s">
        <v>14</v>
      </c>
      <c r="U35" s="666">
        <f t="shared" si="10"/>
        <v>100</v>
      </c>
      <c r="V35" s="665" t="s">
        <v>14</v>
      </c>
      <c r="W35" s="666">
        <f t="shared" si="11"/>
        <v>100</v>
      </c>
      <c r="X35" s="1262"/>
      <c r="Y35" s="3577"/>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75"/>
      <c r="Q36" s="1260" t="str">
        <f t="shared" si="8"/>
        <v>成新度</v>
      </c>
      <c r="R36" s="665" t="s">
        <v>14</v>
      </c>
      <c r="S36" s="666" t="e">
        <f t="shared" si="9"/>
        <v>#N/A</v>
      </c>
      <c r="T36" s="665" t="s">
        <v>14</v>
      </c>
      <c r="U36" s="666" t="e">
        <f t="shared" si="10"/>
        <v>#N/A</v>
      </c>
      <c r="V36" s="665" t="s">
        <v>14</v>
      </c>
      <c r="W36" s="666" t="e">
        <f t="shared" si="11"/>
        <v>#N/A</v>
      </c>
      <c r="X36" s="1262"/>
      <c r="Y36" s="3577"/>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75"/>
      <c r="Q37" s="528" t="str">
        <f t="shared" si="8"/>
        <v>市政基础设施</v>
      </c>
      <c r="R37" s="662" t="s">
        <v>14</v>
      </c>
      <c r="S37" s="663">
        <f t="shared" si="9"/>
        <v>100</v>
      </c>
      <c r="T37" s="662" t="s">
        <v>14</v>
      </c>
      <c r="U37" s="663">
        <f t="shared" si="10"/>
        <v>100</v>
      </c>
      <c r="V37" s="662" t="s">
        <v>14</v>
      </c>
      <c r="W37" s="663">
        <f t="shared" si="11"/>
        <v>100</v>
      </c>
      <c r="X37" s="664"/>
      <c r="Y37" s="3577"/>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75" t="s">
        <v>1696</v>
      </c>
      <c r="Q38" s="1260" t="str">
        <f t="shared" si="8"/>
        <v>业态</v>
      </c>
      <c r="R38" s="665" t="s">
        <v>14</v>
      </c>
      <c r="S38" s="666">
        <f t="shared" si="9"/>
        <v>100</v>
      </c>
      <c r="T38" s="665" t="s">
        <v>14</v>
      </c>
      <c r="U38" s="666">
        <f t="shared" si="10"/>
        <v>100</v>
      </c>
      <c r="V38" s="665" t="s">
        <v>14</v>
      </c>
      <c r="W38" s="666">
        <f t="shared" si="11"/>
        <v>100</v>
      </c>
      <c r="X38" s="1262"/>
      <c r="Y38" s="3577"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75"/>
      <c r="Q39" s="1260" t="str">
        <f t="shared" si="8"/>
        <v>层高</v>
      </c>
      <c r="R39" s="665" t="s">
        <v>14</v>
      </c>
      <c r="S39" s="666">
        <f t="shared" si="9"/>
        <v>100</v>
      </c>
      <c r="T39" s="665" t="s">
        <v>14</v>
      </c>
      <c r="U39" s="666">
        <f t="shared" si="10"/>
        <v>100</v>
      </c>
      <c r="V39" s="665" t="s">
        <v>14</v>
      </c>
      <c r="W39" s="666">
        <f t="shared" si="11"/>
        <v>100</v>
      </c>
      <c r="X39" s="1262"/>
      <c r="Y39" s="3577"/>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75"/>
      <c r="Q40" s="1260" t="str">
        <f t="shared" si="8"/>
        <v>单套建筑面积</v>
      </c>
      <c r="R40" s="665" t="s">
        <v>14</v>
      </c>
      <c r="S40" s="666">
        <f t="shared" si="9"/>
        <v>100</v>
      </c>
      <c r="T40" s="665" t="s">
        <v>14</v>
      </c>
      <c r="U40" s="666">
        <f t="shared" si="10"/>
        <v>100</v>
      </c>
      <c r="V40" s="665" t="s">
        <v>14</v>
      </c>
      <c r="W40" s="666">
        <f t="shared" si="11"/>
        <v>100</v>
      </c>
      <c r="X40" s="1262"/>
      <c r="Y40" s="3577"/>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75"/>
      <c r="Q41" s="529" t="str">
        <f t="shared" si="8"/>
        <v>进深比</v>
      </c>
      <c r="R41" s="667" t="s">
        <v>14</v>
      </c>
      <c r="S41" s="668">
        <f t="shared" si="9"/>
        <v>100</v>
      </c>
      <c r="T41" s="667" t="s">
        <v>14</v>
      </c>
      <c r="U41" s="668">
        <f t="shared" si="10"/>
        <v>100</v>
      </c>
      <c r="V41" s="667" t="s">
        <v>14</v>
      </c>
      <c r="W41" s="668">
        <f t="shared" si="11"/>
        <v>100</v>
      </c>
      <c r="X41" s="669"/>
      <c r="Y41" s="3577"/>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75"/>
      <c r="Q42" s="1260" t="str">
        <f t="shared" si="8"/>
        <v>内部装修</v>
      </c>
      <c r="R42" s="665" t="s">
        <v>14</v>
      </c>
      <c r="S42" s="666">
        <f t="shared" si="9"/>
        <v>100</v>
      </c>
      <c r="T42" s="665" t="s">
        <v>14</v>
      </c>
      <c r="U42" s="666">
        <f t="shared" si="10"/>
        <v>100</v>
      </c>
      <c r="V42" s="665" t="s">
        <v>14</v>
      </c>
      <c r="W42" s="666">
        <f t="shared" si="11"/>
        <v>100</v>
      </c>
      <c r="X42" s="1262"/>
      <c r="Y42" s="3577"/>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75"/>
      <c r="Q43" s="1260" t="str">
        <f t="shared" si="8"/>
        <v>内部装修维护情况</v>
      </c>
      <c r="R43" s="665" t="s">
        <v>14</v>
      </c>
      <c r="S43" s="666">
        <f t="shared" si="9"/>
        <v>100</v>
      </c>
      <c r="T43" s="665" t="s">
        <v>14</v>
      </c>
      <c r="U43" s="666">
        <f t="shared" si="10"/>
        <v>100</v>
      </c>
      <c r="V43" s="665" t="s">
        <v>14</v>
      </c>
      <c r="W43" s="666">
        <f t="shared" si="11"/>
        <v>100</v>
      </c>
      <c r="X43" s="1262"/>
      <c r="Y43" s="3577"/>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75"/>
      <c r="Q44" s="528">
        <f t="shared" si="8"/>
        <v>111</v>
      </c>
      <c r="R44" s="662" t="s">
        <v>14</v>
      </c>
      <c r="S44" s="663">
        <f t="shared" si="9"/>
        <v>100</v>
      </c>
      <c r="T44" s="662" t="s">
        <v>14</v>
      </c>
      <c r="U44" s="663">
        <f t="shared" si="10"/>
        <v>100</v>
      </c>
      <c r="V44" s="662" t="s">
        <v>14</v>
      </c>
      <c r="W44" s="663">
        <f t="shared" si="11"/>
        <v>100</v>
      </c>
      <c r="X44" s="664"/>
      <c r="Y44" s="3577"/>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75"/>
      <c r="Q45" s="1260">
        <f t="shared" si="8"/>
        <v>111</v>
      </c>
      <c r="R45" s="665" t="s">
        <v>14</v>
      </c>
      <c r="S45" s="666">
        <f t="shared" si="9"/>
        <v>100</v>
      </c>
      <c r="T45" s="665" t="s">
        <v>14</v>
      </c>
      <c r="U45" s="666">
        <f t="shared" si="10"/>
        <v>100</v>
      </c>
      <c r="V45" s="665" t="s">
        <v>14</v>
      </c>
      <c r="W45" s="666">
        <f t="shared" si="11"/>
        <v>100</v>
      </c>
      <c r="X45" s="1262"/>
      <c r="Y45" s="3577"/>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76"/>
      <c r="Q46" s="1260">
        <f t="shared" si="8"/>
        <v>111</v>
      </c>
      <c r="R46" s="665" t="s">
        <v>14</v>
      </c>
      <c r="S46" s="666">
        <f t="shared" si="9"/>
        <v>100</v>
      </c>
      <c r="T46" s="665" t="s">
        <v>14</v>
      </c>
      <c r="U46" s="666">
        <f t="shared" si="10"/>
        <v>100</v>
      </c>
      <c r="V46" s="665" t="s">
        <v>14</v>
      </c>
      <c r="W46" s="666">
        <f t="shared" si="11"/>
        <v>100</v>
      </c>
      <c r="X46" s="1262"/>
      <c r="Y46" s="3578"/>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70" t="str">
        <f>A47</f>
        <v>成交单价（元/平方米）</v>
      </c>
      <c r="Q47" s="3570"/>
      <c r="R47" s="3571">
        <f>E47</f>
        <v>0</v>
      </c>
      <c r="S47" s="3571"/>
      <c r="T47" s="3571">
        <f>G47</f>
        <v>0</v>
      </c>
      <c r="U47" s="3571"/>
      <c r="V47" s="3571">
        <f>I47</f>
        <v>0</v>
      </c>
      <c r="W47" s="3571"/>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70" t="str">
        <f>A48</f>
        <v>比较价值（元/平方米）</v>
      </c>
      <c r="Q48" s="3570"/>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2004-1</v>
      </c>
      <c r="D58" s="1101">
        <f>EDATE(C58,-1)</f>
        <v>37956</v>
      </c>
      <c r="E58" s="1101">
        <f t="shared" ref="E58:N58" si="13">EDATE(D58,-1)</f>
        <v>37926</v>
      </c>
      <c r="F58" s="1101">
        <f t="shared" si="13"/>
        <v>37895</v>
      </c>
      <c r="G58" s="1101">
        <f t="shared" si="13"/>
        <v>37865</v>
      </c>
      <c r="H58" s="1101">
        <f t="shared" si="13"/>
        <v>37834</v>
      </c>
      <c r="I58" s="1101">
        <f t="shared" si="13"/>
        <v>37803</v>
      </c>
      <c r="J58" s="1101">
        <f t="shared" si="13"/>
        <v>37773</v>
      </c>
      <c r="K58" s="1101">
        <f t="shared" si="13"/>
        <v>37742</v>
      </c>
      <c r="L58" s="1101">
        <f t="shared" si="13"/>
        <v>37712</v>
      </c>
      <c r="M58" s="1101">
        <f t="shared" si="13"/>
        <v>37681</v>
      </c>
      <c r="N58" s="1101">
        <f t="shared" si="13"/>
        <v>37653</v>
      </c>
      <c r="O58" s="1101">
        <f>EDATE(N58,-1)</f>
        <v>37622</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120.79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620" t="s">
        <v>1771</v>
      </c>
      <c r="Q4" s="3621"/>
      <c r="R4" s="3624" t="s">
        <v>1767</v>
      </c>
      <c r="S4" s="3625"/>
      <c r="T4" s="3624" t="s">
        <v>1768</v>
      </c>
      <c r="U4" s="3625"/>
      <c r="V4" s="3626" t="s">
        <v>1769</v>
      </c>
      <c r="W4" s="3626"/>
      <c r="X4" s="1803"/>
      <c r="Y4" s="3624" t="s">
        <v>1771</v>
      </c>
      <c r="Z4" s="3625"/>
      <c r="AA4" s="3628" t="s">
        <v>1767</v>
      </c>
      <c r="AB4" s="3628" t="s">
        <v>1768</v>
      </c>
      <c r="AC4" s="3617" t="s">
        <v>1769</v>
      </c>
    </row>
    <row r="5" spans="1:29" ht="15">
      <c r="A5" s="346"/>
      <c r="B5" s="347"/>
      <c r="C5" s="3612" t="s">
        <v>1673</v>
      </c>
      <c r="D5" s="3609"/>
      <c r="E5" s="3613" t="s">
        <v>1674</v>
      </c>
      <c r="F5" s="3604"/>
      <c r="G5" s="3612" t="s">
        <v>1675</v>
      </c>
      <c r="H5" s="3609"/>
      <c r="I5" s="3612" t="s">
        <v>1676</v>
      </c>
      <c r="J5" s="3609"/>
      <c r="K5" s="535"/>
      <c r="L5" s="2480"/>
      <c r="M5" s="2481"/>
      <c r="N5" s="2481"/>
      <c r="O5" s="2481"/>
      <c r="P5" s="3622"/>
      <c r="Q5" s="3592"/>
      <c r="R5" s="3597"/>
      <c r="S5" s="3598"/>
      <c r="T5" s="3597"/>
      <c r="U5" s="3598"/>
      <c r="V5" s="3571"/>
      <c r="W5" s="3571"/>
      <c r="X5" s="1262"/>
      <c r="Y5" s="3597"/>
      <c r="Z5" s="3598"/>
      <c r="AA5" s="3583"/>
      <c r="AB5" s="3583"/>
      <c r="AC5" s="3618"/>
    </row>
    <row r="6" spans="1:29" ht="15.75" thickBot="1">
      <c r="A6" s="348"/>
      <c r="B6" s="349"/>
      <c r="C6" s="3601" t="s">
        <v>1677</v>
      </c>
      <c r="D6" s="3602"/>
      <c r="E6" s="3610" t="s">
        <v>1677</v>
      </c>
      <c r="F6" s="3611"/>
      <c r="G6" s="3601" t="s">
        <v>1677</v>
      </c>
      <c r="H6" s="3602"/>
      <c r="I6" s="3601" t="s">
        <v>1677</v>
      </c>
      <c r="J6" s="3602"/>
      <c r="K6" s="535" t="s">
        <v>1678</v>
      </c>
      <c r="L6" s="2480"/>
      <c r="M6" s="2481"/>
      <c r="N6" s="2481"/>
      <c r="O6" s="2481"/>
      <c r="P6" s="3623"/>
      <c r="Q6" s="3594"/>
      <c r="R6" s="3597"/>
      <c r="S6" s="3598"/>
      <c r="T6" s="3599"/>
      <c r="U6" s="3600"/>
      <c r="V6" s="3571"/>
      <c r="W6" s="3571"/>
      <c r="X6" s="1262"/>
      <c r="Y6" s="3599"/>
      <c r="Z6" s="3600"/>
      <c r="AA6" s="3584"/>
      <c r="AB6" s="3584"/>
      <c r="AC6" s="3619"/>
    </row>
    <row r="7" spans="1:29" s="101" customFormat="1" ht="15.75" thickBot="1">
      <c r="A7" s="350" t="s">
        <v>1679</v>
      </c>
      <c r="B7" s="351"/>
      <c r="C7" s="352">
        <f>'数据-取费表'!B2</f>
        <v>38017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627" t="s">
        <v>1680</v>
      </c>
      <c r="Q7" s="3607"/>
      <c r="R7" s="662" t="s">
        <v>14</v>
      </c>
      <c r="S7" s="663">
        <f t="shared" ref="S7:S15" si="0">F7</f>
        <v>0</v>
      </c>
      <c r="T7" s="662" t="s">
        <v>14</v>
      </c>
      <c r="U7" s="663">
        <f t="shared" ref="U7:U15" si="1">H7</f>
        <v>0</v>
      </c>
      <c r="V7" s="662" t="s">
        <v>14</v>
      </c>
      <c r="W7" s="663">
        <f t="shared" ref="W7:W15" si="2">J7</f>
        <v>0</v>
      </c>
      <c r="X7" s="664"/>
      <c r="Y7" s="3605" t="s">
        <v>1680</v>
      </c>
      <c r="Z7" s="3606"/>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27" t="s">
        <v>1683</v>
      </c>
      <c r="Q8" s="3606"/>
      <c r="R8" s="662" t="s">
        <v>14</v>
      </c>
      <c r="S8" s="663">
        <f t="shared" si="0"/>
        <v>100</v>
      </c>
      <c r="T8" s="662" t="s">
        <v>14</v>
      </c>
      <c r="U8" s="663">
        <f t="shared" si="1"/>
        <v>100</v>
      </c>
      <c r="V8" s="662" t="s">
        <v>14</v>
      </c>
      <c r="W8" s="663">
        <f t="shared" si="2"/>
        <v>100</v>
      </c>
      <c r="X8" s="664"/>
      <c r="Y8" s="3605" t="s">
        <v>1683</v>
      </c>
      <c r="Z8" s="3606"/>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81"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81"/>
      <c r="Q10" s="528" t="str">
        <f t="shared" si="6"/>
        <v>土地使用年限（年）</v>
      </c>
      <c r="R10" s="662" t="s">
        <v>14</v>
      </c>
      <c r="S10" s="663">
        <f t="shared" si="0"/>
        <v>100</v>
      </c>
      <c r="T10" s="662" t="s">
        <v>14</v>
      </c>
      <c r="U10" s="663">
        <f t="shared" si="1"/>
        <v>100</v>
      </c>
      <c r="V10" s="662" t="s">
        <v>14</v>
      </c>
      <c r="W10" s="663">
        <f t="shared" si="2"/>
        <v>100</v>
      </c>
      <c r="X10" s="664"/>
      <c r="Y10" s="3445"/>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81"/>
      <c r="Q11" s="528" t="str">
        <f t="shared" si="6"/>
        <v>容积率</v>
      </c>
      <c r="R11" s="662" t="s">
        <v>14</v>
      </c>
      <c r="S11" s="663">
        <f t="shared" si="0"/>
        <v>100</v>
      </c>
      <c r="T11" s="662" t="s">
        <v>14</v>
      </c>
      <c r="U11" s="663">
        <f t="shared" si="1"/>
        <v>100</v>
      </c>
      <c r="V11" s="662" t="s">
        <v>14</v>
      </c>
      <c r="W11" s="663">
        <f t="shared" si="2"/>
        <v>100</v>
      </c>
      <c r="X11" s="664"/>
      <c r="Y11" s="3445"/>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81"/>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81"/>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81"/>
      <c r="Q14" s="528">
        <f t="shared" si="6"/>
        <v>111</v>
      </c>
      <c r="R14" s="662" t="s">
        <v>14</v>
      </c>
      <c r="S14" s="663">
        <f t="shared" si="0"/>
        <v>100</v>
      </c>
      <c r="T14" s="662" t="s">
        <v>14</v>
      </c>
      <c r="U14" s="663">
        <f t="shared" si="1"/>
        <v>100</v>
      </c>
      <c r="V14" s="662" t="s">
        <v>14</v>
      </c>
      <c r="W14" s="663">
        <f t="shared" si="2"/>
        <v>100</v>
      </c>
      <c r="X14" s="664"/>
      <c r="Y14" s="3445"/>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79" t="s">
        <v>1691</v>
      </c>
      <c r="Q15" s="1260" t="str">
        <f t="shared" si="6"/>
        <v>办公集聚程度</v>
      </c>
      <c r="R15" s="665" t="s">
        <v>14</v>
      </c>
      <c r="S15" s="666">
        <f t="shared" si="0"/>
        <v>100</v>
      </c>
      <c r="T15" s="665" t="s">
        <v>14</v>
      </c>
      <c r="U15" s="666">
        <f t="shared" si="1"/>
        <v>100</v>
      </c>
      <c r="V15" s="665" t="s">
        <v>14</v>
      </c>
      <c r="W15" s="666">
        <f t="shared" si="2"/>
        <v>100</v>
      </c>
      <c r="X15" s="1262"/>
      <c r="Y15" s="3572"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80"/>
      <c r="Q16" s="1260"/>
      <c r="R16" s="665"/>
      <c r="S16" s="666"/>
      <c r="T16" s="665"/>
      <c r="U16" s="666"/>
      <c r="V16" s="665"/>
      <c r="W16" s="666"/>
      <c r="X16" s="1262"/>
      <c r="Y16" s="3573"/>
      <c r="Z16" s="1261"/>
      <c r="AA16" s="1261">
        <v>1</v>
      </c>
      <c r="AB16" s="1261">
        <v>1</v>
      </c>
      <c r="AC16" s="1806">
        <v>1</v>
      </c>
    </row>
    <row r="17" spans="1:29" ht="71.25">
      <c r="A17" s="365"/>
      <c r="B17" s="554" t="s">
        <v>1259</v>
      </c>
      <c r="C17" s="1807" t="str">
        <f>估价对象房地状况!C6</f>
        <v>周边有399路、965路、985路等多条公交线路，综合评价交通便捷度一般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80"/>
      <c r="Q17" s="1260" t="str">
        <f>B17</f>
        <v>交通便捷度</v>
      </c>
      <c r="R17" s="665" t="s">
        <v>14</v>
      </c>
      <c r="S17" s="666">
        <f>F17</f>
        <v>100</v>
      </c>
      <c r="T17" s="665" t="s">
        <v>14</v>
      </c>
      <c r="U17" s="666">
        <f>H17</f>
        <v>100</v>
      </c>
      <c r="V17" s="665" t="s">
        <v>14</v>
      </c>
      <c r="W17" s="666">
        <f>J17</f>
        <v>100</v>
      </c>
      <c r="X17" s="1262"/>
      <c r="Y17" s="3573"/>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80"/>
      <c r="Q18" s="1260"/>
      <c r="R18" s="665"/>
      <c r="S18" s="666"/>
      <c r="T18" s="665"/>
      <c r="U18" s="666"/>
      <c r="V18" s="665"/>
      <c r="W18" s="666"/>
      <c r="X18" s="1262"/>
      <c r="Y18" s="3573"/>
      <c r="Z18" s="1261"/>
      <c r="AA18" s="1261">
        <v>1</v>
      </c>
      <c r="AB18" s="1261">
        <v>1</v>
      </c>
      <c r="AC18" s="1806">
        <v>1</v>
      </c>
    </row>
    <row r="19" spans="1:29" ht="199.5">
      <c r="A19" s="365"/>
      <c r="B19" s="554" t="s">
        <v>1808</v>
      </c>
      <c r="C19" s="1807"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80"/>
      <c r="Q19" s="1260" t="str">
        <f>B19</f>
        <v>公共配套设施</v>
      </c>
      <c r="R19" s="665" t="s">
        <v>14</v>
      </c>
      <c r="S19" s="666">
        <f>F19</f>
        <v>100</v>
      </c>
      <c r="T19" s="665" t="s">
        <v>14</v>
      </c>
      <c r="U19" s="666">
        <f>H19</f>
        <v>100</v>
      </c>
      <c r="V19" s="665" t="s">
        <v>14</v>
      </c>
      <c r="W19" s="666">
        <f>J19</f>
        <v>100</v>
      </c>
      <c r="X19" s="1262"/>
      <c r="Y19" s="3573"/>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80"/>
      <c r="Q20" s="1260"/>
      <c r="R20" s="665"/>
      <c r="S20" s="666"/>
      <c r="T20" s="665"/>
      <c r="U20" s="666"/>
      <c r="V20" s="665"/>
      <c r="W20" s="666"/>
      <c r="X20" s="1262"/>
      <c r="Y20" s="3573"/>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80"/>
      <c r="Q21" s="1260" t="str">
        <f>B21</f>
        <v>基础设施水平</v>
      </c>
      <c r="R21" s="665" t="s">
        <v>14</v>
      </c>
      <c r="S21" s="666">
        <f>F21</f>
        <v>100</v>
      </c>
      <c r="T21" s="665" t="s">
        <v>14</v>
      </c>
      <c r="U21" s="666">
        <f>H21</f>
        <v>100</v>
      </c>
      <c r="V21" s="665" t="s">
        <v>14</v>
      </c>
      <c r="W21" s="666">
        <f>J21</f>
        <v>100</v>
      </c>
      <c r="X21" s="1262"/>
      <c r="Y21" s="3573"/>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80"/>
      <c r="Q22" s="1260"/>
      <c r="R22" s="665"/>
      <c r="S22" s="666"/>
      <c r="T22" s="665"/>
      <c r="U22" s="666"/>
      <c r="V22" s="665"/>
      <c r="W22" s="666"/>
      <c r="X22" s="1262"/>
      <c r="Y22" s="3573"/>
      <c r="Z22" s="1261"/>
      <c r="AA22" s="1261">
        <v>1</v>
      </c>
      <c r="AB22" s="1261">
        <v>1</v>
      </c>
      <c r="AC22" s="1806">
        <v>1</v>
      </c>
    </row>
    <row r="23" spans="1:29" ht="71.25">
      <c r="A23" s="365"/>
      <c r="B23" s="554" t="s">
        <v>1810</v>
      </c>
      <c r="C23" s="1807" t="str">
        <f>估价对象房地状况!C9</f>
        <v>周边有八大处公园及永定河引水渠等自然及人文景观，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80"/>
      <c r="Q23" s="1260" t="str">
        <f>B23</f>
        <v>环境质量</v>
      </c>
      <c r="R23" s="665" t="s">
        <v>14</v>
      </c>
      <c r="S23" s="666">
        <f>F23</f>
        <v>100</v>
      </c>
      <c r="T23" s="665" t="s">
        <v>14</v>
      </c>
      <c r="U23" s="666">
        <f>H23</f>
        <v>100</v>
      </c>
      <c r="V23" s="665" t="s">
        <v>14</v>
      </c>
      <c r="W23" s="666">
        <f>J23</f>
        <v>100</v>
      </c>
      <c r="X23" s="1262"/>
      <c r="Y23" s="3573"/>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80"/>
      <c r="Q24" s="1260"/>
      <c r="R24" s="665"/>
      <c r="S24" s="666"/>
      <c r="T24" s="665"/>
      <c r="U24" s="666"/>
      <c r="V24" s="665"/>
      <c r="W24" s="666"/>
      <c r="X24" s="1262"/>
      <c r="Y24" s="3573"/>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80"/>
      <c r="Q25" s="1260" t="str">
        <f>B25</f>
        <v>毗邻道路的类型与等级</v>
      </c>
      <c r="R25" s="665" t="s">
        <v>14</v>
      </c>
      <c r="S25" s="666">
        <f>F25</f>
        <v>100</v>
      </c>
      <c r="T25" s="665" t="s">
        <v>14</v>
      </c>
      <c r="U25" s="666">
        <f>H25</f>
        <v>100</v>
      </c>
      <c r="V25" s="665" t="s">
        <v>14</v>
      </c>
      <c r="W25" s="666">
        <f>J25</f>
        <v>100</v>
      </c>
      <c r="X25" s="1262"/>
      <c r="Y25" s="3573"/>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80"/>
      <c r="Q26" s="1260"/>
      <c r="R26" s="665"/>
      <c r="S26" s="666"/>
      <c r="T26" s="665"/>
      <c r="U26" s="666"/>
      <c r="V26" s="665"/>
      <c r="W26" s="666"/>
      <c r="X26" s="1262"/>
      <c r="Y26" s="3573"/>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80"/>
      <c r="Q27" s="1260" t="str">
        <f t="shared" ref="Q27:Q47" si="8">B27</f>
        <v>楼层</v>
      </c>
      <c r="R27" s="665" t="s">
        <v>14</v>
      </c>
      <c r="S27" s="666">
        <f>F27</f>
        <v>100</v>
      </c>
      <c r="T27" s="665" t="s">
        <v>14</v>
      </c>
      <c r="U27" s="666">
        <f>H27</f>
        <v>100</v>
      </c>
      <c r="V27" s="665" t="s">
        <v>14</v>
      </c>
      <c r="W27" s="666">
        <f>J27</f>
        <v>100</v>
      </c>
      <c r="X27" s="1262"/>
      <c r="Y27" s="3573"/>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80"/>
      <c r="Q28" s="528" t="str">
        <f t="shared" si="8"/>
        <v>朝向</v>
      </c>
      <c r="R28" s="662" t="s">
        <v>14</v>
      </c>
      <c r="S28" s="663">
        <f>F28</f>
        <v>100</v>
      </c>
      <c r="T28" s="662" t="s">
        <v>14</v>
      </c>
      <c r="U28" s="663">
        <f>H28</f>
        <v>100</v>
      </c>
      <c r="V28" s="662" t="s">
        <v>14</v>
      </c>
      <c r="W28" s="663">
        <f>J28</f>
        <v>100</v>
      </c>
      <c r="X28" s="664"/>
      <c r="Y28" s="3573"/>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80"/>
      <c r="Q29" s="1260">
        <f t="shared" si="8"/>
        <v>111</v>
      </c>
      <c r="R29" s="665" t="s">
        <v>14</v>
      </c>
      <c r="S29" s="666">
        <f t="shared" ref="S29:S47" si="9">F29</f>
        <v>100</v>
      </c>
      <c r="T29" s="665" t="s">
        <v>14</v>
      </c>
      <c r="U29" s="666">
        <f t="shared" ref="U29:U47" si="10">H29</f>
        <v>100</v>
      </c>
      <c r="V29" s="665" t="s">
        <v>14</v>
      </c>
      <c r="W29" s="666">
        <f t="shared" ref="W29:W47" si="11">J29</f>
        <v>100</v>
      </c>
      <c r="X29" s="1262"/>
      <c r="Y29" s="3573"/>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80"/>
      <c r="Q30" s="1260">
        <f t="shared" si="8"/>
        <v>111</v>
      </c>
      <c r="R30" s="665" t="s">
        <v>14</v>
      </c>
      <c r="S30" s="666">
        <f t="shared" si="9"/>
        <v>100</v>
      </c>
      <c r="T30" s="665" t="s">
        <v>14</v>
      </c>
      <c r="U30" s="666">
        <f t="shared" si="10"/>
        <v>100</v>
      </c>
      <c r="V30" s="665" t="s">
        <v>14</v>
      </c>
      <c r="W30" s="666">
        <f t="shared" si="11"/>
        <v>100</v>
      </c>
      <c r="X30" s="1262"/>
      <c r="Y30" s="3573"/>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80"/>
      <c r="Q31" s="1260">
        <f t="shared" si="8"/>
        <v>111</v>
      </c>
      <c r="R31" s="665" t="s">
        <v>14</v>
      </c>
      <c r="S31" s="666">
        <f t="shared" si="9"/>
        <v>100</v>
      </c>
      <c r="T31" s="665" t="s">
        <v>14</v>
      </c>
      <c r="U31" s="666">
        <f t="shared" si="10"/>
        <v>100</v>
      </c>
      <c r="V31" s="665" t="s">
        <v>14</v>
      </c>
      <c r="W31" s="666">
        <f t="shared" si="11"/>
        <v>100</v>
      </c>
      <c r="X31" s="1262"/>
      <c r="Y31" s="3573"/>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80"/>
      <c r="Q32" s="1260">
        <f t="shared" si="8"/>
        <v>111</v>
      </c>
      <c r="R32" s="665" t="s">
        <v>14</v>
      </c>
      <c r="S32" s="666">
        <f t="shared" si="9"/>
        <v>100</v>
      </c>
      <c r="T32" s="665" t="s">
        <v>14</v>
      </c>
      <c r="U32" s="666">
        <f t="shared" si="10"/>
        <v>100</v>
      </c>
      <c r="V32" s="665" t="s">
        <v>14</v>
      </c>
      <c r="W32" s="666">
        <f t="shared" si="11"/>
        <v>100</v>
      </c>
      <c r="X32" s="1262"/>
      <c r="Y32" s="3573"/>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74" t="s">
        <v>1696</v>
      </c>
      <c r="Q33" s="1260" t="str">
        <f t="shared" si="8"/>
        <v>建筑类型</v>
      </c>
      <c r="R33" s="665" t="s">
        <v>14</v>
      </c>
      <c r="S33" s="666">
        <f t="shared" si="9"/>
        <v>100</v>
      </c>
      <c r="T33" s="665" t="s">
        <v>14</v>
      </c>
      <c r="U33" s="666">
        <f t="shared" si="10"/>
        <v>100</v>
      </c>
      <c r="V33" s="665" t="s">
        <v>14</v>
      </c>
      <c r="W33" s="666">
        <f t="shared" si="11"/>
        <v>100</v>
      </c>
      <c r="X33" s="1262"/>
      <c r="Y33" s="3577"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75"/>
      <c r="Q34" s="529" t="str">
        <f t="shared" si="8"/>
        <v>项目建筑规模</v>
      </c>
      <c r="R34" s="667" t="s">
        <v>14</v>
      </c>
      <c r="S34" s="668" t="e">
        <f t="shared" si="9"/>
        <v>#N/A</v>
      </c>
      <c r="T34" s="667" t="s">
        <v>14</v>
      </c>
      <c r="U34" s="668" t="e">
        <f t="shared" si="10"/>
        <v>#N/A</v>
      </c>
      <c r="V34" s="667" t="s">
        <v>14</v>
      </c>
      <c r="W34" s="668" t="e">
        <f t="shared" si="11"/>
        <v>#N/A</v>
      </c>
      <c r="X34" s="669"/>
      <c r="Y34" s="3577"/>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75"/>
      <c r="Q35" s="1260" t="str">
        <f t="shared" si="8"/>
        <v>建筑结构</v>
      </c>
      <c r="R35" s="665" t="s">
        <v>14</v>
      </c>
      <c r="S35" s="666">
        <f t="shared" si="9"/>
        <v>100</v>
      </c>
      <c r="T35" s="665" t="s">
        <v>14</v>
      </c>
      <c r="U35" s="666">
        <f t="shared" si="10"/>
        <v>100</v>
      </c>
      <c r="V35" s="665" t="s">
        <v>14</v>
      </c>
      <c r="W35" s="666">
        <f t="shared" si="11"/>
        <v>100</v>
      </c>
      <c r="X35" s="1262"/>
      <c r="Y35" s="3577"/>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75"/>
      <c r="Q36" s="1260" t="str">
        <f t="shared" si="8"/>
        <v>公共部分装修</v>
      </c>
      <c r="R36" s="665" t="s">
        <v>14</v>
      </c>
      <c r="S36" s="666">
        <f t="shared" si="9"/>
        <v>100</v>
      </c>
      <c r="T36" s="665" t="s">
        <v>14</v>
      </c>
      <c r="U36" s="666">
        <f t="shared" si="10"/>
        <v>100</v>
      </c>
      <c r="V36" s="665" t="s">
        <v>14</v>
      </c>
      <c r="W36" s="666">
        <f t="shared" si="11"/>
        <v>100</v>
      </c>
      <c r="X36" s="1262"/>
      <c r="Y36" s="3577"/>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75"/>
      <c r="Q37" s="1260" t="str">
        <f t="shared" si="8"/>
        <v>成新度</v>
      </c>
      <c r="R37" s="665" t="s">
        <v>14</v>
      </c>
      <c r="S37" s="666" t="e">
        <f t="shared" si="9"/>
        <v>#N/A</v>
      </c>
      <c r="T37" s="665" t="s">
        <v>14</v>
      </c>
      <c r="U37" s="666" t="e">
        <f t="shared" si="10"/>
        <v>#N/A</v>
      </c>
      <c r="V37" s="665" t="s">
        <v>14</v>
      </c>
      <c r="W37" s="666" t="e">
        <f t="shared" si="11"/>
        <v>#N/A</v>
      </c>
      <c r="X37" s="1262"/>
      <c r="Y37" s="3577"/>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75"/>
      <c r="Q38" s="528" t="str">
        <f t="shared" si="8"/>
        <v>写字楼等级</v>
      </c>
      <c r="R38" s="662" t="s">
        <v>14</v>
      </c>
      <c r="S38" s="663">
        <f t="shared" si="9"/>
        <v>100</v>
      </c>
      <c r="T38" s="662" t="s">
        <v>14</v>
      </c>
      <c r="U38" s="663">
        <f t="shared" si="10"/>
        <v>100</v>
      </c>
      <c r="V38" s="662" t="s">
        <v>14</v>
      </c>
      <c r="W38" s="663">
        <f t="shared" si="11"/>
        <v>100</v>
      </c>
      <c r="X38" s="664"/>
      <c r="Y38" s="3577"/>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75" t="s">
        <v>1696</v>
      </c>
      <c r="Q39" s="1260" t="str">
        <f t="shared" si="8"/>
        <v>物业管理</v>
      </c>
      <c r="R39" s="665" t="s">
        <v>14</v>
      </c>
      <c r="S39" s="666">
        <f t="shared" si="9"/>
        <v>100</v>
      </c>
      <c r="T39" s="665" t="s">
        <v>14</v>
      </c>
      <c r="U39" s="666">
        <f t="shared" si="10"/>
        <v>100</v>
      </c>
      <c r="V39" s="665" t="s">
        <v>14</v>
      </c>
      <c r="W39" s="666">
        <f t="shared" si="11"/>
        <v>100</v>
      </c>
      <c r="X39" s="1262"/>
      <c r="Y39" s="3577"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75"/>
      <c r="Q40" s="1260" t="str">
        <f t="shared" si="8"/>
        <v>市政基础设施</v>
      </c>
      <c r="R40" s="665" t="s">
        <v>14</v>
      </c>
      <c r="S40" s="666">
        <f t="shared" si="9"/>
        <v>100</v>
      </c>
      <c r="T40" s="665" t="s">
        <v>14</v>
      </c>
      <c r="U40" s="666">
        <f t="shared" si="10"/>
        <v>100</v>
      </c>
      <c r="V40" s="665" t="s">
        <v>14</v>
      </c>
      <c r="W40" s="666">
        <f t="shared" si="11"/>
        <v>100</v>
      </c>
      <c r="X40" s="1262"/>
      <c r="Y40" s="3577"/>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75"/>
      <c r="Q41" s="1260" t="str">
        <f t="shared" si="8"/>
        <v>层高</v>
      </c>
      <c r="R41" s="665" t="s">
        <v>14</v>
      </c>
      <c r="S41" s="666">
        <f t="shared" si="9"/>
        <v>100</v>
      </c>
      <c r="T41" s="665" t="s">
        <v>14</v>
      </c>
      <c r="U41" s="666">
        <f t="shared" si="10"/>
        <v>100</v>
      </c>
      <c r="V41" s="665" t="s">
        <v>14</v>
      </c>
      <c r="W41" s="666">
        <f t="shared" si="11"/>
        <v>100</v>
      </c>
      <c r="X41" s="1262"/>
      <c r="Y41" s="3577"/>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75"/>
      <c r="Q42" s="529" t="str">
        <f t="shared" si="8"/>
        <v>单套建筑面积</v>
      </c>
      <c r="R42" s="667" t="s">
        <v>14</v>
      </c>
      <c r="S42" s="668">
        <f t="shared" si="9"/>
        <v>100</v>
      </c>
      <c r="T42" s="667" t="s">
        <v>14</v>
      </c>
      <c r="U42" s="668">
        <f t="shared" si="10"/>
        <v>100</v>
      </c>
      <c r="V42" s="667" t="s">
        <v>14</v>
      </c>
      <c r="W42" s="668">
        <f t="shared" si="11"/>
        <v>100</v>
      </c>
      <c r="X42" s="669"/>
      <c r="Y42" s="3577"/>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75"/>
      <c r="Q43" s="1260" t="str">
        <f t="shared" si="8"/>
        <v>内部装修</v>
      </c>
      <c r="R43" s="665" t="s">
        <v>14</v>
      </c>
      <c r="S43" s="666">
        <f t="shared" si="9"/>
        <v>100</v>
      </c>
      <c r="T43" s="665" t="s">
        <v>14</v>
      </c>
      <c r="U43" s="666">
        <f t="shared" si="10"/>
        <v>100</v>
      </c>
      <c r="V43" s="665" t="s">
        <v>14</v>
      </c>
      <c r="W43" s="666">
        <f t="shared" si="11"/>
        <v>100</v>
      </c>
      <c r="X43" s="1262"/>
      <c r="Y43" s="3577"/>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75"/>
      <c r="Q44" s="1260" t="str">
        <f t="shared" si="8"/>
        <v>内部装修维护情况</v>
      </c>
      <c r="R44" s="665" t="s">
        <v>14</v>
      </c>
      <c r="S44" s="666">
        <f t="shared" si="9"/>
        <v>100</v>
      </c>
      <c r="T44" s="665" t="s">
        <v>14</v>
      </c>
      <c r="U44" s="666">
        <f t="shared" si="10"/>
        <v>100</v>
      </c>
      <c r="V44" s="665" t="s">
        <v>14</v>
      </c>
      <c r="W44" s="666">
        <f t="shared" si="11"/>
        <v>100</v>
      </c>
      <c r="X44" s="1262"/>
      <c r="Y44" s="3577"/>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75"/>
      <c r="Q45" s="528">
        <f t="shared" si="8"/>
        <v>111</v>
      </c>
      <c r="R45" s="662" t="s">
        <v>14</v>
      </c>
      <c r="S45" s="663">
        <f t="shared" si="9"/>
        <v>100</v>
      </c>
      <c r="T45" s="662" t="s">
        <v>14</v>
      </c>
      <c r="U45" s="663">
        <f t="shared" si="10"/>
        <v>100</v>
      </c>
      <c r="V45" s="662" t="s">
        <v>14</v>
      </c>
      <c r="W45" s="663">
        <f t="shared" si="11"/>
        <v>100</v>
      </c>
      <c r="X45" s="664"/>
      <c r="Y45" s="3577"/>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75"/>
      <c r="Q46" s="1260">
        <f t="shared" si="8"/>
        <v>111</v>
      </c>
      <c r="R46" s="665" t="s">
        <v>14</v>
      </c>
      <c r="S46" s="666">
        <f t="shared" si="9"/>
        <v>100</v>
      </c>
      <c r="T46" s="665" t="s">
        <v>14</v>
      </c>
      <c r="U46" s="666">
        <f t="shared" si="10"/>
        <v>100</v>
      </c>
      <c r="V46" s="665" t="s">
        <v>14</v>
      </c>
      <c r="W46" s="666">
        <f t="shared" si="11"/>
        <v>100</v>
      </c>
      <c r="X46" s="1262"/>
      <c r="Y46" s="3577"/>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76"/>
      <c r="Q47" s="1260">
        <f t="shared" si="8"/>
        <v>111</v>
      </c>
      <c r="R47" s="665" t="s">
        <v>14</v>
      </c>
      <c r="S47" s="666">
        <f t="shared" si="9"/>
        <v>100</v>
      </c>
      <c r="T47" s="665" t="s">
        <v>14</v>
      </c>
      <c r="U47" s="666">
        <f t="shared" si="10"/>
        <v>100</v>
      </c>
      <c r="V47" s="665" t="s">
        <v>14</v>
      </c>
      <c r="W47" s="666">
        <f t="shared" si="11"/>
        <v>100</v>
      </c>
      <c r="X47" s="1262"/>
      <c r="Y47" s="3578"/>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81" t="str">
        <f>A48</f>
        <v>成交单价（元/平方米）</v>
      </c>
      <c r="Q48" s="3570"/>
      <c r="R48" s="3571">
        <f>E48</f>
        <v>0</v>
      </c>
      <c r="S48" s="3571"/>
      <c r="T48" s="3571">
        <f>G48</f>
        <v>0</v>
      </c>
      <c r="U48" s="3571"/>
      <c r="V48" s="3571">
        <f>I48</f>
        <v>0</v>
      </c>
      <c r="W48" s="3571"/>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81" t="str">
        <f>A49</f>
        <v>比较价值（元/平方米）</v>
      </c>
      <c r="Q49" s="3570"/>
      <c r="R49" s="3571" t="e">
        <f>IF(F1="售价",ROUND(PRODUCT(R48,AA7:AA47),0),ROUND(PRODUCT(R48,AA7:AA47),1))</f>
        <v>#DIV/0!</v>
      </c>
      <c r="S49" s="3571"/>
      <c r="T49" s="3571" t="e">
        <f>IF(F1="售价",ROUND(PRODUCT(T48,AB7:AB47),0),ROUND(PRODUCT(T48,AB7:AB47),1))</f>
        <v>#DIV/0!</v>
      </c>
      <c r="U49" s="3571"/>
      <c r="V49" s="3571" t="e">
        <f>IF(F1="售价",ROUND(PRODUCT(V48,AC7:AC47),0),ROUND(PRODUCT(V48,AC7:AC47),1))</f>
        <v>#DIV/0!</v>
      </c>
      <c r="W49" s="3571"/>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614" t="str">
        <f>A50</f>
        <v>估价对象XX用房的比较价值（楼面单价，元/平方米）</v>
      </c>
      <c r="Q50" s="3615"/>
      <c r="R50" s="3616" t="e">
        <f>IF(F1="售价",ROUND(IF(D49="简单平均",AVERAGE(R49:V49),R49*F49+T49*H49+V49*J49),0),ROUND(IF(D49="简单平均",AVERAGE(R49:V49),R49*F49+T49*H49+V49*J49),1))</f>
        <v>#DIV/0!</v>
      </c>
      <c r="S50" s="3616"/>
      <c r="T50" s="3616"/>
      <c r="U50" s="3616"/>
      <c r="V50" s="3616"/>
      <c r="W50" s="3616"/>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2004-1</v>
      </c>
      <c r="D59" s="1101">
        <f>EDATE(C59,-1)</f>
        <v>37956</v>
      </c>
      <c r="E59" s="1101">
        <f>EDATE(D59,-1)</f>
        <v>37926</v>
      </c>
      <c r="F59" s="1101">
        <f t="shared" ref="F59:O59" si="13">EDATE(E59,-1)</f>
        <v>37895</v>
      </c>
      <c r="G59" s="1101">
        <f t="shared" si="13"/>
        <v>37865</v>
      </c>
      <c r="H59" s="1101">
        <f t="shared" si="13"/>
        <v>37834</v>
      </c>
      <c r="I59" s="1101">
        <f t="shared" si="13"/>
        <v>37803</v>
      </c>
      <c r="J59" s="1101">
        <f t="shared" si="13"/>
        <v>37773</v>
      </c>
      <c r="K59" s="1101">
        <f t="shared" si="13"/>
        <v>37742</v>
      </c>
      <c r="L59" s="1101">
        <f t="shared" si="13"/>
        <v>37712</v>
      </c>
      <c r="M59" s="1101">
        <f t="shared" si="13"/>
        <v>37681</v>
      </c>
      <c r="N59" s="1101">
        <f t="shared" si="13"/>
        <v>37653</v>
      </c>
      <c r="O59" s="1101">
        <f t="shared" si="13"/>
        <v>37622</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120.79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85" t="s">
        <v>1766</v>
      </c>
      <c r="D4" s="3586"/>
      <c r="E4" s="3587" t="s">
        <v>1767</v>
      </c>
      <c r="F4" s="3588"/>
      <c r="G4" s="3585" t="s">
        <v>1768</v>
      </c>
      <c r="H4" s="3586"/>
      <c r="I4" s="3585" t="s">
        <v>1769</v>
      </c>
      <c r="J4" s="3586"/>
      <c r="K4" s="535" t="s">
        <v>1770</v>
      </c>
      <c r="L4" s="858"/>
      <c r="M4" s="859"/>
      <c r="N4" s="859"/>
      <c r="O4" s="859"/>
      <c r="P4" s="3589" t="s">
        <v>1771</v>
      </c>
      <c r="Q4" s="3590"/>
      <c r="R4" s="3595" t="s">
        <v>1767</v>
      </c>
      <c r="S4" s="3596"/>
      <c r="T4" s="3595" t="s">
        <v>1768</v>
      </c>
      <c r="U4" s="3596"/>
      <c r="V4" s="3571" t="s">
        <v>1769</v>
      </c>
      <c r="W4" s="3571"/>
      <c r="X4" s="1262"/>
      <c r="Y4" s="3595" t="s">
        <v>1771</v>
      </c>
      <c r="Z4" s="3596"/>
      <c r="AA4" s="3582" t="s">
        <v>1767</v>
      </c>
      <c r="AB4" s="3583" t="s">
        <v>1768</v>
      </c>
      <c r="AC4" s="3582" t="s">
        <v>1769</v>
      </c>
    </row>
    <row r="5" spans="1:29" ht="15">
      <c r="A5" s="346"/>
      <c r="B5" s="347"/>
      <c r="C5" s="3612" t="s">
        <v>1673</v>
      </c>
      <c r="D5" s="3609"/>
      <c r="E5" s="3613" t="s">
        <v>1674</v>
      </c>
      <c r="F5" s="3604"/>
      <c r="G5" s="3612" t="s">
        <v>1675</v>
      </c>
      <c r="H5" s="3609"/>
      <c r="I5" s="3612" t="s">
        <v>1676</v>
      </c>
      <c r="J5" s="3609"/>
      <c r="K5" s="535"/>
      <c r="L5" s="858"/>
      <c r="M5" s="859"/>
      <c r="N5" s="859"/>
      <c r="O5" s="859"/>
      <c r="P5" s="3591"/>
      <c r="Q5" s="3592"/>
      <c r="R5" s="3597"/>
      <c r="S5" s="3598"/>
      <c r="T5" s="3597"/>
      <c r="U5" s="3598"/>
      <c r="V5" s="3571"/>
      <c r="W5" s="3571"/>
      <c r="X5" s="1262"/>
      <c r="Y5" s="3597"/>
      <c r="Z5" s="3598"/>
      <c r="AA5" s="3583"/>
      <c r="AB5" s="3583"/>
      <c r="AC5" s="3583"/>
    </row>
    <row r="6" spans="1:29" ht="15.75" thickBot="1">
      <c r="A6" s="348"/>
      <c r="B6" s="349"/>
      <c r="C6" s="3601" t="s">
        <v>1677</v>
      </c>
      <c r="D6" s="3602"/>
      <c r="E6" s="3610" t="s">
        <v>1677</v>
      </c>
      <c r="F6" s="3611"/>
      <c r="G6" s="3601" t="s">
        <v>1677</v>
      </c>
      <c r="H6" s="3602"/>
      <c r="I6" s="3601" t="s">
        <v>1677</v>
      </c>
      <c r="J6" s="3602"/>
      <c r="K6" s="535" t="s">
        <v>1678</v>
      </c>
      <c r="L6" s="858"/>
      <c r="M6" s="859"/>
      <c r="N6" s="859"/>
      <c r="O6" s="859"/>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c r="F7" s="355">
        <f>SUMIF(52:52,YEAR(E7)&amp;"-"&amp;MONTH(E7),53:53)</f>
        <v>0</v>
      </c>
      <c r="G7" s="354"/>
      <c r="H7" s="353">
        <f>SUMIF(52:52,YEAR(G7)&amp;"-"&amp;MONTH(G7),53:53)</f>
        <v>0</v>
      </c>
      <c r="I7" s="354"/>
      <c r="J7" s="353">
        <f>SUMIF(52:52,YEAR(I7)&amp;"-"&amp;MONTH(I7),53:53)</f>
        <v>0</v>
      </c>
      <c r="K7" s="38"/>
      <c r="L7" s="860"/>
      <c r="M7" s="861"/>
      <c r="N7" s="861"/>
      <c r="O7" s="861"/>
      <c r="P7" s="3605" t="s">
        <v>1680</v>
      </c>
      <c r="Q7" s="3607"/>
      <c r="R7" s="662" t="s">
        <v>14</v>
      </c>
      <c r="S7" s="663">
        <f t="shared" ref="S7:S15" si="0">F7</f>
        <v>0</v>
      </c>
      <c r="T7" s="662" t="s">
        <v>14</v>
      </c>
      <c r="U7" s="663">
        <f t="shared" ref="U7:U15" si="1">H7</f>
        <v>0</v>
      </c>
      <c r="V7" s="662" t="s">
        <v>14</v>
      </c>
      <c r="W7" s="663">
        <f t="shared" ref="W7:W15" si="2">J7</f>
        <v>0</v>
      </c>
      <c r="X7" s="664"/>
      <c r="Y7" s="3605" t="s">
        <v>1680</v>
      </c>
      <c r="Z7" s="3606"/>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605" t="s">
        <v>1683</v>
      </c>
      <c r="Q8" s="3606"/>
      <c r="R8" s="662" t="s">
        <v>14</v>
      </c>
      <c r="S8" s="663">
        <f t="shared" si="0"/>
        <v>100</v>
      </c>
      <c r="T8" s="662" t="s">
        <v>14</v>
      </c>
      <c r="U8" s="663">
        <f t="shared" si="1"/>
        <v>100</v>
      </c>
      <c r="V8" s="662" t="s">
        <v>14</v>
      </c>
      <c r="W8" s="663">
        <f t="shared" si="2"/>
        <v>100</v>
      </c>
      <c r="X8" s="664"/>
      <c r="Y8" s="3605" t="s">
        <v>1683</v>
      </c>
      <c r="Z8" s="3606"/>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70"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70"/>
      <c r="Q10" s="528" t="str">
        <f t="shared" si="6"/>
        <v>土地使用年限（年）</v>
      </c>
      <c r="R10" s="662" t="s">
        <v>14</v>
      </c>
      <c r="S10" s="663">
        <f t="shared" si="0"/>
        <v>100</v>
      </c>
      <c r="T10" s="662" t="s">
        <v>14</v>
      </c>
      <c r="U10" s="663">
        <f t="shared" si="1"/>
        <v>100</v>
      </c>
      <c r="V10" s="662" t="s">
        <v>14</v>
      </c>
      <c r="W10" s="663">
        <f t="shared" si="2"/>
        <v>100</v>
      </c>
      <c r="X10" s="664"/>
      <c r="Y10" s="3445"/>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70"/>
      <c r="Q11" s="528" t="str">
        <f t="shared" si="6"/>
        <v>容积率</v>
      </c>
      <c r="R11" s="662" t="s">
        <v>14</v>
      </c>
      <c r="S11" s="663">
        <f t="shared" si="0"/>
        <v>100</v>
      </c>
      <c r="T11" s="662" t="s">
        <v>14</v>
      </c>
      <c r="U11" s="663">
        <f t="shared" si="1"/>
        <v>100</v>
      </c>
      <c r="V11" s="662" t="s">
        <v>14</v>
      </c>
      <c r="W11" s="663">
        <f t="shared" si="2"/>
        <v>100</v>
      </c>
      <c r="X11" s="664"/>
      <c r="Y11" s="3445"/>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70"/>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70"/>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70"/>
      <c r="Q14" s="528">
        <f t="shared" si="6"/>
        <v>111</v>
      </c>
      <c r="R14" s="662" t="s">
        <v>14</v>
      </c>
      <c r="S14" s="663">
        <f t="shared" si="0"/>
        <v>100</v>
      </c>
      <c r="T14" s="662" t="s">
        <v>14</v>
      </c>
      <c r="U14" s="663">
        <f t="shared" si="1"/>
        <v>100</v>
      </c>
      <c r="V14" s="662" t="s">
        <v>14</v>
      </c>
      <c r="W14" s="663">
        <f t="shared" si="2"/>
        <v>100</v>
      </c>
      <c r="X14" s="664"/>
      <c r="Y14" s="3445"/>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72" t="s">
        <v>1691</v>
      </c>
      <c r="Q15" s="1260" t="str">
        <f t="shared" si="6"/>
        <v>产业集聚程度</v>
      </c>
      <c r="R15" s="665" t="s">
        <v>14</v>
      </c>
      <c r="S15" s="666">
        <f t="shared" si="0"/>
        <v>100</v>
      </c>
      <c r="T15" s="665" t="s">
        <v>14</v>
      </c>
      <c r="U15" s="666">
        <f t="shared" si="1"/>
        <v>100</v>
      </c>
      <c r="V15" s="665" t="s">
        <v>14</v>
      </c>
      <c r="W15" s="666">
        <f t="shared" si="2"/>
        <v>100</v>
      </c>
      <c r="X15" s="1262"/>
      <c r="Y15" s="3572"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73"/>
      <c r="Q16" s="1260"/>
      <c r="R16" s="665"/>
      <c r="S16" s="666"/>
      <c r="T16" s="665"/>
      <c r="U16" s="666"/>
      <c r="V16" s="665"/>
      <c r="W16" s="666"/>
      <c r="X16" s="1262"/>
      <c r="Y16" s="3573"/>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73"/>
      <c r="Q17" s="1260" t="str">
        <f>B17</f>
        <v>交通便捷度</v>
      </c>
      <c r="R17" s="665" t="s">
        <v>14</v>
      </c>
      <c r="S17" s="666">
        <f>F17</f>
        <v>100</v>
      </c>
      <c r="T17" s="665" t="s">
        <v>14</v>
      </c>
      <c r="U17" s="666">
        <f>H17</f>
        <v>100</v>
      </c>
      <c r="V17" s="665" t="s">
        <v>14</v>
      </c>
      <c r="W17" s="666">
        <f>J17</f>
        <v>100</v>
      </c>
      <c r="X17" s="1262"/>
      <c r="Y17" s="3573"/>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73"/>
      <c r="Q18" s="1260"/>
      <c r="R18" s="665"/>
      <c r="S18" s="666"/>
      <c r="T18" s="665"/>
      <c r="U18" s="666"/>
      <c r="V18" s="665"/>
      <c r="W18" s="666"/>
      <c r="X18" s="1262"/>
      <c r="Y18" s="3573"/>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73"/>
      <c r="Q19" s="1260" t="str">
        <f>B19</f>
        <v>公共配套设施</v>
      </c>
      <c r="R19" s="665" t="s">
        <v>14</v>
      </c>
      <c r="S19" s="666">
        <f>F19</f>
        <v>100</v>
      </c>
      <c r="T19" s="665" t="s">
        <v>14</v>
      </c>
      <c r="U19" s="666">
        <f>H19</f>
        <v>100</v>
      </c>
      <c r="V19" s="665" t="s">
        <v>14</v>
      </c>
      <c r="W19" s="666">
        <f>J19</f>
        <v>100</v>
      </c>
      <c r="X19" s="1262"/>
      <c r="Y19" s="3573"/>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73"/>
      <c r="Q20" s="1260"/>
      <c r="R20" s="665"/>
      <c r="S20" s="666"/>
      <c r="T20" s="665"/>
      <c r="U20" s="666"/>
      <c r="V20" s="665"/>
      <c r="W20" s="666"/>
      <c r="X20" s="1262"/>
      <c r="Y20" s="3573"/>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73"/>
      <c r="Q21" s="1260" t="str">
        <f>B21</f>
        <v>基础设施水平</v>
      </c>
      <c r="R21" s="665" t="s">
        <v>14</v>
      </c>
      <c r="S21" s="666">
        <f>F21</f>
        <v>100</v>
      </c>
      <c r="T21" s="665" t="s">
        <v>14</v>
      </c>
      <c r="U21" s="666">
        <f>H21</f>
        <v>100</v>
      </c>
      <c r="V21" s="665" t="s">
        <v>14</v>
      </c>
      <c r="W21" s="666">
        <f>J21</f>
        <v>100</v>
      </c>
      <c r="X21" s="1262"/>
      <c r="Y21" s="3573"/>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73"/>
      <c r="Q22" s="1260"/>
      <c r="R22" s="665"/>
      <c r="S22" s="666"/>
      <c r="T22" s="665"/>
      <c r="U22" s="666"/>
      <c r="V22" s="665"/>
      <c r="W22" s="666"/>
      <c r="X22" s="1262"/>
      <c r="Y22" s="3573"/>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73"/>
      <c r="Q23" s="1260" t="str">
        <f>B23</f>
        <v>环境质量</v>
      </c>
      <c r="R23" s="665" t="s">
        <v>14</v>
      </c>
      <c r="S23" s="666">
        <f>F23</f>
        <v>100</v>
      </c>
      <c r="T23" s="665" t="s">
        <v>14</v>
      </c>
      <c r="U23" s="666">
        <f>H23</f>
        <v>100</v>
      </c>
      <c r="V23" s="665" t="s">
        <v>14</v>
      </c>
      <c r="W23" s="666">
        <f>J23</f>
        <v>100</v>
      </c>
      <c r="X23" s="1262"/>
      <c r="Y23" s="3573"/>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73"/>
      <c r="Q24" s="1260"/>
      <c r="R24" s="665"/>
      <c r="S24" s="666"/>
      <c r="T24" s="665"/>
      <c r="U24" s="666"/>
      <c r="V24" s="665"/>
      <c r="W24" s="666"/>
      <c r="X24" s="1262"/>
      <c r="Y24" s="3573"/>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73"/>
      <c r="Q25" s="1260">
        <f>B25</f>
        <v>111</v>
      </c>
      <c r="R25" s="665" t="s">
        <v>14</v>
      </c>
      <c r="S25" s="666">
        <f>F25</f>
        <v>100</v>
      </c>
      <c r="T25" s="665" t="s">
        <v>14</v>
      </c>
      <c r="U25" s="666">
        <f>H25</f>
        <v>100</v>
      </c>
      <c r="V25" s="665" t="s">
        <v>14</v>
      </c>
      <c r="W25" s="666">
        <f>J25</f>
        <v>100</v>
      </c>
      <c r="X25" s="1262"/>
      <c r="Y25" s="3573"/>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73"/>
      <c r="Q26" s="1260">
        <f t="shared" ref="Q26:Q40" si="8">B26</f>
        <v>111</v>
      </c>
      <c r="R26" s="665" t="s">
        <v>14</v>
      </c>
      <c r="S26" s="666">
        <f>F26</f>
        <v>100</v>
      </c>
      <c r="T26" s="665" t="s">
        <v>14</v>
      </c>
      <c r="U26" s="666">
        <f>H26</f>
        <v>100</v>
      </c>
      <c r="V26" s="665" t="s">
        <v>14</v>
      </c>
      <c r="W26" s="666">
        <f>J26</f>
        <v>100</v>
      </c>
      <c r="X26" s="1262"/>
      <c r="Y26" s="3573"/>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73"/>
      <c r="Q27" s="528">
        <f t="shared" si="8"/>
        <v>111</v>
      </c>
      <c r="R27" s="662" t="s">
        <v>14</v>
      </c>
      <c r="S27" s="663">
        <f>F27</f>
        <v>100</v>
      </c>
      <c r="T27" s="662" t="s">
        <v>14</v>
      </c>
      <c r="U27" s="663">
        <f>H27</f>
        <v>100</v>
      </c>
      <c r="V27" s="662" t="s">
        <v>14</v>
      </c>
      <c r="W27" s="663">
        <f>J27</f>
        <v>100</v>
      </c>
      <c r="X27" s="664"/>
      <c r="Y27" s="3573"/>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73"/>
      <c r="Q28" s="1260">
        <f t="shared" si="8"/>
        <v>111</v>
      </c>
      <c r="R28" s="665" t="s">
        <v>14</v>
      </c>
      <c r="S28" s="666">
        <f t="shared" ref="S28:S40" si="9">F28</f>
        <v>100</v>
      </c>
      <c r="T28" s="665" t="s">
        <v>14</v>
      </c>
      <c r="U28" s="666">
        <f t="shared" ref="U28:U40" si="10">H28</f>
        <v>100</v>
      </c>
      <c r="V28" s="665" t="s">
        <v>14</v>
      </c>
      <c r="W28" s="666">
        <f t="shared" ref="W28:W40" si="11">J28</f>
        <v>100</v>
      </c>
      <c r="X28" s="1262"/>
      <c r="Y28" s="3573"/>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29" t="s">
        <v>1696</v>
      </c>
      <c r="Q29" s="1260" t="str">
        <f t="shared" si="8"/>
        <v>建筑类型</v>
      </c>
      <c r="R29" s="665" t="s">
        <v>14</v>
      </c>
      <c r="S29" s="666">
        <f t="shared" si="9"/>
        <v>100</v>
      </c>
      <c r="T29" s="665" t="s">
        <v>14</v>
      </c>
      <c r="U29" s="666">
        <f t="shared" si="10"/>
        <v>100</v>
      </c>
      <c r="V29" s="665" t="s">
        <v>14</v>
      </c>
      <c r="W29" s="666">
        <f t="shared" si="11"/>
        <v>100</v>
      </c>
      <c r="X29" s="1262"/>
      <c r="Y29" s="3577"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77"/>
      <c r="Q30" s="529" t="str">
        <f t="shared" si="8"/>
        <v>项目建筑规模</v>
      </c>
      <c r="R30" s="667" t="s">
        <v>14</v>
      </c>
      <c r="S30" s="668" t="e">
        <f t="shared" si="9"/>
        <v>#N/A</v>
      </c>
      <c r="T30" s="667" t="s">
        <v>14</v>
      </c>
      <c r="U30" s="668" t="e">
        <f t="shared" si="10"/>
        <v>#N/A</v>
      </c>
      <c r="V30" s="667" t="s">
        <v>14</v>
      </c>
      <c r="W30" s="668" t="e">
        <f t="shared" si="11"/>
        <v>#N/A</v>
      </c>
      <c r="X30" s="669"/>
      <c r="Y30" s="3577"/>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77"/>
      <c r="Q31" s="1260" t="str">
        <f t="shared" si="8"/>
        <v>建筑结构</v>
      </c>
      <c r="R31" s="665" t="s">
        <v>14</v>
      </c>
      <c r="S31" s="666">
        <f t="shared" si="9"/>
        <v>100</v>
      </c>
      <c r="T31" s="665" t="s">
        <v>14</v>
      </c>
      <c r="U31" s="666">
        <f t="shared" si="10"/>
        <v>100</v>
      </c>
      <c r="V31" s="665" t="s">
        <v>14</v>
      </c>
      <c r="W31" s="666">
        <f t="shared" si="11"/>
        <v>100</v>
      </c>
      <c r="X31" s="1262"/>
      <c r="Y31" s="3577"/>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77"/>
      <c r="Q32" s="1260" t="str">
        <f t="shared" si="8"/>
        <v>公共部分装修</v>
      </c>
      <c r="R32" s="665" t="s">
        <v>14</v>
      </c>
      <c r="S32" s="666">
        <f t="shared" si="9"/>
        <v>100</v>
      </c>
      <c r="T32" s="665" t="s">
        <v>14</v>
      </c>
      <c r="U32" s="666">
        <f t="shared" si="10"/>
        <v>100</v>
      </c>
      <c r="V32" s="665" t="s">
        <v>14</v>
      </c>
      <c r="W32" s="666">
        <f t="shared" si="11"/>
        <v>100</v>
      </c>
      <c r="X32" s="1262"/>
      <c r="Y32" s="3577"/>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77"/>
      <c r="Q33" s="1260" t="str">
        <f t="shared" si="8"/>
        <v>成新度</v>
      </c>
      <c r="R33" s="665" t="s">
        <v>14</v>
      </c>
      <c r="S33" s="666" t="e">
        <f t="shared" si="9"/>
        <v>#N/A</v>
      </c>
      <c r="T33" s="665" t="s">
        <v>14</v>
      </c>
      <c r="U33" s="666" t="e">
        <f t="shared" si="10"/>
        <v>#N/A</v>
      </c>
      <c r="V33" s="665" t="s">
        <v>14</v>
      </c>
      <c r="W33" s="666" t="e">
        <f t="shared" si="11"/>
        <v>#N/A</v>
      </c>
      <c r="X33" s="1262"/>
      <c r="Y33" s="3577"/>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77"/>
      <c r="Q34" s="528" t="str">
        <f t="shared" si="8"/>
        <v>物业管理</v>
      </c>
      <c r="R34" s="662" t="s">
        <v>14</v>
      </c>
      <c r="S34" s="663">
        <f t="shared" si="9"/>
        <v>100</v>
      </c>
      <c r="T34" s="662" t="s">
        <v>14</v>
      </c>
      <c r="U34" s="663">
        <f t="shared" si="10"/>
        <v>100</v>
      </c>
      <c r="V34" s="662" t="s">
        <v>14</v>
      </c>
      <c r="W34" s="663">
        <f t="shared" si="11"/>
        <v>100</v>
      </c>
      <c r="X34" s="664"/>
      <c r="Y34" s="3577"/>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77" t="s">
        <v>1696</v>
      </c>
      <c r="Q35" s="1260" t="str">
        <f t="shared" si="8"/>
        <v>市政基础设施</v>
      </c>
      <c r="R35" s="665" t="s">
        <v>14</v>
      </c>
      <c r="S35" s="666">
        <f t="shared" si="9"/>
        <v>100</v>
      </c>
      <c r="T35" s="665" t="s">
        <v>14</v>
      </c>
      <c r="U35" s="666">
        <f t="shared" si="10"/>
        <v>100</v>
      </c>
      <c r="V35" s="665" t="s">
        <v>14</v>
      </c>
      <c r="W35" s="666">
        <f t="shared" si="11"/>
        <v>100</v>
      </c>
      <c r="X35" s="1262"/>
      <c r="Y35" s="3577"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77"/>
      <c r="Q36" s="1260" t="str">
        <f t="shared" si="8"/>
        <v>内部装修</v>
      </c>
      <c r="R36" s="665" t="s">
        <v>14</v>
      </c>
      <c r="S36" s="666">
        <f t="shared" si="9"/>
        <v>100</v>
      </c>
      <c r="T36" s="665" t="s">
        <v>14</v>
      </c>
      <c r="U36" s="666">
        <f t="shared" si="10"/>
        <v>100</v>
      </c>
      <c r="V36" s="665" t="s">
        <v>14</v>
      </c>
      <c r="W36" s="666">
        <f t="shared" si="11"/>
        <v>100</v>
      </c>
      <c r="X36" s="1262"/>
      <c r="Y36" s="3577"/>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77"/>
      <c r="Q37" s="1260" t="str">
        <f t="shared" si="8"/>
        <v>内部装修状况</v>
      </c>
      <c r="R37" s="665" t="s">
        <v>14</v>
      </c>
      <c r="S37" s="666">
        <f t="shared" si="9"/>
        <v>100</v>
      </c>
      <c r="T37" s="665" t="s">
        <v>14</v>
      </c>
      <c r="U37" s="666">
        <f t="shared" si="10"/>
        <v>100</v>
      </c>
      <c r="V37" s="665" t="s">
        <v>14</v>
      </c>
      <c r="W37" s="666">
        <f t="shared" si="11"/>
        <v>100</v>
      </c>
      <c r="X37" s="1262"/>
      <c r="Y37" s="3577"/>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77"/>
      <c r="Q38" s="529">
        <f t="shared" si="8"/>
        <v>111</v>
      </c>
      <c r="R38" s="667" t="s">
        <v>14</v>
      </c>
      <c r="S38" s="668">
        <f t="shared" si="9"/>
        <v>100</v>
      </c>
      <c r="T38" s="667" t="s">
        <v>14</v>
      </c>
      <c r="U38" s="668">
        <f t="shared" si="10"/>
        <v>100</v>
      </c>
      <c r="V38" s="667" t="s">
        <v>14</v>
      </c>
      <c r="W38" s="668">
        <f t="shared" si="11"/>
        <v>100</v>
      </c>
      <c r="X38" s="669"/>
      <c r="Y38" s="3577"/>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77"/>
      <c r="Q39" s="1260">
        <f t="shared" si="8"/>
        <v>111</v>
      </c>
      <c r="R39" s="665" t="s">
        <v>14</v>
      </c>
      <c r="S39" s="666">
        <f t="shared" si="9"/>
        <v>100</v>
      </c>
      <c r="T39" s="665" t="s">
        <v>14</v>
      </c>
      <c r="U39" s="666">
        <f t="shared" si="10"/>
        <v>100</v>
      </c>
      <c r="V39" s="665" t="s">
        <v>14</v>
      </c>
      <c r="W39" s="666">
        <f t="shared" si="11"/>
        <v>100</v>
      </c>
      <c r="X39" s="1262"/>
      <c r="Y39" s="3577"/>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78"/>
      <c r="Q40" s="1260">
        <f t="shared" si="8"/>
        <v>111</v>
      </c>
      <c r="R40" s="665" t="s">
        <v>14</v>
      </c>
      <c r="S40" s="666">
        <f t="shared" si="9"/>
        <v>100</v>
      </c>
      <c r="T40" s="665" t="s">
        <v>14</v>
      </c>
      <c r="U40" s="666">
        <f t="shared" si="10"/>
        <v>100</v>
      </c>
      <c r="V40" s="665" t="s">
        <v>14</v>
      </c>
      <c r="W40" s="666">
        <f t="shared" si="11"/>
        <v>100</v>
      </c>
      <c r="X40" s="1262"/>
      <c r="Y40" s="3578"/>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70" t="str">
        <f>A41</f>
        <v>成交单价（元/平方米）</v>
      </c>
      <c r="Q41" s="3570"/>
      <c r="R41" s="3571">
        <f>E41</f>
        <v>0</v>
      </c>
      <c r="S41" s="3571"/>
      <c r="T41" s="3571">
        <f>G41</f>
        <v>0</v>
      </c>
      <c r="U41" s="3571"/>
      <c r="V41" s="3571">
        <f>I41</f>
        <v>0</v>
      </c>
      <c r="W41" s="3571"/>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70" t="str">
        <f>A42</f>
        <v>比较价值（元/平方米）</v>
      </c>
      <c r="Q42" s="3570"/>
      <c r="R42" s="3571" t="e">
        <f>IF(F1="售价",ROUND(PRODUCT(R41,AA7:AA40),0),ROUND(PRODUCT(R41,AA7:AA40),1))</f>
        <v>#DIV/0!</v>
      </c>
      <c r="S42" s="3571"/>
      <c r="T42" s="3571" t="e">
        <f>IF(F1="售价",ROUND(PRODUCT(T41,AB7:AB40),0),ROUND(PRODUCT(T41,AB7:AB40),1))</f>
        <v>#DIV/0!</v>
      </c>
      <c r="U42" s="3571"/>
      <c r="V42" s="3571" t="e">
        <f>IF(F1="售价",ROUND(PRODUCT(V41,AC7:AC40),0),ROUND(PRODUCT(V41,AC7:AC40),1))</f>
        <v>#DIV/0!</v>
      </c>
      <c r="W42" s="3571"/>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67" t="str">
        <f>A43</f>
        <v>估价对象XX用房的比较价值（楼面单价，元/平方米）</v>
      </c>
      <c r="Q43" s="3568"/>
      <c r="R43" s="3569" t="e">
        <f>IF(F1="售价",ROUND(IF(D42="简单平均",AVERAGE(R42:V42),R42*F42+T42*H42+V42*J42),0),ROUND(IF(D42="简单平均",AVERAGE(R42:V42),R42*F42+T42*H42+V42*J42),1))</f>
        <v>#DIV/0!</v>
      </c>
      <c r="S43" s="3569"/>
      <c r="T43" s="3569"/>
      <c r="U43" s="3569"/>
      <c r="V43" s="3569"/>
      <c r="W43" s="3569"/>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2004-1</v>
      </c>
      <c r="D52" s="1101">
        <f>EDATE(C52,-1)</f>
        <v>37956</v>
      </c>
      <c r="E52" s="1101">
        <f t="shared" ref="E52:O52" si="13">EDATE(D52,-1)</f>
        <v>37926</v>
      </c>
      <c r="F52" s="1101">
        <f t="shared" si="13"/>
        <v>37895</v>
      </c>
      <c r="G52" s="1101">
        <f t="shared" si="13"/>
        <v>37865</v>
      </c>
      <c r="H52" s="1101">
        <f t="shared" si="13"/>
        <v>37834</v>
      </c>
      <c r="I52" s="1101">
        <f t="shared" si="13"/>
        <v>37803</v>
      </c>
      <c r="J52" s="1101">
        <f t="shared" si="13"/>
        <v>37773</v>
      </c>
      <c r="K52" s="1101">
        <f t="shared" si="13"/>
        <v>37742</v>
      </c>
      <c r="L52" s="1101">
        <f t="shared" si="13"/>
        <v>37712</v>
      </c>
      <c r="M52" s="1101">
        <f t="shared" si="13"/>
        <v>37681</v>
      </c>
      <c r="N52" s="1101">
        <f t="shared" si="13"/>
        <v>37653</v>
      </c>
      <c r="O52" s="1101">
        <f t="shared" si="13"/>
        <v>37622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589" t="s">
        <v>1771</v>
      </c>
      <c r="Q4" s="3590"/>
      <c r="R4" s="3595" t="s">
        <v>1767</v>
      </c>
      <c r="S4" s="3596"/>
      <c r="T4" s="3595" t="s">
        <v>1768</v>
      </c>
      <c r="U4" s="3596"/>
      <c r="V4" s="3571" t="s">
        <v>1769</v>
      </c>
      <c r="W4" s="3571"/>
      <c r="X4" s="1262"/>
      <c r="Y4" s="3595" t="s">
        <v>1771</v>
      </c>
      <c r="Z4" s="3596"/>
      <c r="AA4" s="3582" t="s">
        <v>1767</v>
      </c>
      <c r="AB4" s="3583" t="s">
        <v>1768</v>
      </c>
      <c r="AC4" s="3582" t="s">
        <v>1769</v>
      </c>
    </row>
    <row r="5" spans="1:29" ht="15">
      <c r="A5" s="346"/>
      <c r="B5" s="347"/>
      <c r="C5" s="3612" t="s">
        <v>1673</v>
      </c>
      <c r="D5" s="3609"/>
      <c r="E5" s="3613" t="s">
        <v>1674</v>
      </c>
      <c r="F5" s="3604"/>
      <c r="G5" s="3612" t="s">
        <v>1675</v>
      </c>
      <c r="H5" s="3609"/>
      <c r="I5" s="3612" t="s">
        <v>1676</v>
      </c>
      <c r="J5" s="3609"/>
      <c r="K5" s="535"/>
      <c r="L5" s="2480"/>
      <c r="M5" s="2481"/>
      <c r="N5" s="2481"/>
      <c r="O5" s="2481"/>
      <c r="P5" s="3591"/>
      <c r="Q5" s="3592"/>
      <c r="R5" s="3597"/>
      <c r="S5" s="3598"/>
      <c r="T5" s="3597"/>
      <c r="U5" s="3598"/>
      <c r="V5" s="3571"/>
      <c r="W5" s="3571"/>
      <c r="X5" s="1262"/>
      <c r="Y5" s="3597"/>
      <c r="Z5" s="3598"/>
      <c r="AA5" s="3583"/>
      <c r="AB5" s="3583"/>
      <c r="AC5" s="3583"/>
    </row>
    <row r="6" spans="1:29" ht="15.75" thickBot="1">
      <c r="A6" s="348"/>
      <c r="B6" s="349"/>
      <c r="C6" s="3601" t="s">
        <v>1677</v>
      </c>
      <c r="D6" s="3602"/>
      <c r="E6" s="3610" t="s">
        <v>1677</v>
      </c>
      <c r="F6" s="3611"/>
      <c r="G6" s="3601" t="s">
        <v>1677</v>
      </c>
      <c r="H6" s="3602"/>
      <c r="I6" s="3601" t="s">
        <v>1677</v>
      </c>
      <c r="J6" s="3602"/>
      <c r="K6" s="535" t="s">
        <v>1678</v>
      </c>
      <c r="L6" s="2480"/>
      <c r="M6" s="2481"/>
      <c r="N6" s="2481"/>
      <c r="O6" s="2481"/>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605" t="s">
        <v>1680</v>
      </c>
      <c r="Q7" s="3607"/>
      <c r="R7" s="662" t="s">
        <v>14</v>
      </c>
      <c r="S7" s="663">
        <f t="shared" ref="S7:S14" si="0">F7</f>
        <v>0</v>
      </c>
      <c r="T7" s="662" t="s">
        <v>14</v>
      </c>
      <c r="U7" s="663">
        <f t="shared" ref="U7:U14" si="1">H7</f>
        <v>0</v>
      </c>
      <c r="V7" s="662" t="s">
        <v>14</v>
      </c>
      <c r="W7" s="663">
        <f t="shared" ref="W7:W14" si="2">J7</f>
        <v>0</v>
      </c>
      <c r="X7" s="664"/>
      <c r="Y7" s="3605" t="s">
        <v>1680</v>
      </c>
      <c r="Z7" s="3606"/>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605" t="s">
        <v>1683</v>
      </c>
      <c r="Q8" s="3606"/>
      <c r="R8" s="662" t="s">
        <v>14</v>
      </c>
      <c r="S8" s="663">
        <f t="shared" si="0"/>
        <v>100</v>
      </c>
      <c r="T8" s="662" t="s">
        <v>14</v>
      </c>
      <c r="U8" s="663">
        <f t="shared" si="1"/>
        <v>100</v>
      </c>
      <c r="V8" s="662" t="s">
        <v>14</v>
      </c>
      <c r="W8" s="663">
        <f t="shared" si="2"/>
        <v>100</v>
      </c>
      <c r="X8" s="664"/>
      <c r="Y8" s="3605" t="s">
        <v>1683</v>
      </c>
      <c r="Z8" s="3606"/>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70" t="s">
        <v>1686</v>
      </c>
      <c r="Q9" s="528" t="str">
        <f t="shared" ref="Q9:Q14" si="6">B9</f>
        <v>用途</v>
      </c>
      <c r="R9" s="662" t="s">
        <v>14</v>
      </c>
      <c r="S9" s="663">
        <f t="shared" si="0"/>
        <v>100</v>
      </c>
      <c r="T9" s="662" t="s">
        <v>14</v>
      </c>
      <c r="U9" s="663">
        <f t="shared" si="1"/>
        <v>100</v>
      </c>
      <c r="V9" s="662" t="s">
        <v>14</v>
      </c>
      <c r="W9" s="663">
        <f t="shared" si="2"/>
        <v>100</v>
      </c>
      <c r="X9" s="664"/>
      <c r="Y9" s="3445"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70"/>
      <c r="Q10" s="528" t="str">
        <f t="shared" si="6"/>
        <v>土地使用年限（年）</v>
      </c>
      <c r="R10" s="662" t="s">
        <v>14</v>
      </c>
      <c r="S10" s="663">
        <f t="shared" si="0"/>
        <v>100</v>
      </c>
      <c r="T10" s="662" t="s">
        <v>14</v>
      </c>
      <c r="U10" s="663">
        <f t="shared" si="1"/>
        <v>100</v>
      </c>
      <c r="V10" s="662" t="s">
        <v>14</v>
      </c>
      <c r="W10" s="663">
        <f t="shared" si="2"/>
        <v>100</v>
      </c>
      <c r="X10" s="664"/>
      <c r="Y10" s="3445"/>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70"/>
      <c r="Q11" s="528">
        <f t="shared" si="6"/>
        <v>111</v>
      </c>
      <c r="R11" s="662" t="s">
        <v>14</v>
      </c>
      <c r="S11" s="663">
        <f t="shared" si="0"/>
        <v>100</v>
      </c>
      <c r="T11" s="662" t="s">
        <v>14</v>
      </c>
      <c r="U11" s="663">
        <f t="shared" si="1"/>
        <v>100</v>
      </c>
      <c r="V11" s="662" t="s">
        <v>14</v>
      </c>
      <c r="W11" s="663">
        <f t="shared" si="2"/>
        <v>100</v>
      </c>
      <c r="X11" s="664"/>
      <c r="Y11" s="3445"/>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70"/>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70"/>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周边有399路、965路、985路等多条公交线路，综合评价交通便捷度一般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72" t="s">
        <v>1691</v>
      </c>
      <c r="Q14" s="1260" t="str">
        <f t="shared" si="6"/>
        <v>交通便捷度</v>
      </c>
      <c r="R14" s="665" t="s">
        <v>14</v>
      </c>
      <c r="S14" s="666">
        <f t="shared" si="0"/>
        <v>100</v>
      </c>
      <c r="T14" s="665" t="s">
        <v>14</v>
      </c>
      <c r="U14" s="666">
        <f t="shared" si="1"/>
        <v>100</v>
      </c>
      <c r="V14" s="665" t="s">
        <v>14</v>
      </c>
      <c r="W14" s="666">
        <f t="shared" si="2"/>
        <v>100</v>
      </c>
      <c r="X14" s="1262"/>
      <c r="Y14" s="3572"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73"/>
      <c r="Q15" s="1260"/>
      <c r="R15" s="665"/>
      <c r="S15" s="666"/>
      <c r="T15" s="665"/>
      <c r="U15" s="666"/>
      <c r="V15" s="665"/>
      <c r="W15" s="666"/>
      <c r="X15" s="1262"/>
      <c r="Y15" s="3573"/>
      <c r="Z15" s="1261"/>
      <c r="AA15" s="1261">
        <v>1</v>
      </c>
      <c r="AB15" s="1261">
        <v>1</v>
      </c>
      <c r="AC15" s="1261">
        <v>1</v>
      </c>
    </row>
    <row r="16" spans="1:29" ht="228">
      <c r="A16" s="346"/>
      <c r="B16" s="554"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73"/>
      <c r="Q16" s="1260" t="str">
        <f>B16</f>
        <v>公共配套设施</v>
      </c>
      <c r="R16" s="665" t="s">
        <v>14</v>
      </c>
      <c r="S16" s="666">
        <f>F16</f>
        <v>100</v>
      </c>
      <c r="T16" s="665" t="s">
        <v>14</v>
      </c>
      <c r="U16" s="666">
        <f>H16</f>
        <v>100</v>
      </c>
      <c r="V16" s="665" t="s">
        <v>14</v>
      </c>
      <c r="W16" s="666">
        <f>J16</f>
        <v>100</v>
      </c>
      <c r="X16" s="1262"/>
      <c r="Y16" s="3573"/>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73"/>
      <c r="Q17" s="1260"/>
      <c r="R17" s="665"/>
      <c r="S17" s="666"/>
      <c r="T17" s="665"/>
      <c r="U17" s="666"/>
      <c r="V17" s="665"/>
      <c r="W17" s="666"/>
      <c r="X17" s="1262"/>
      <c r="Y17" s="3573"/>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73"/>
      <c r="Q18" s="1260" t="str">
        <f>B18</f>
        <v>基础设施水平</v>
      </c>
      <c r="R18" s="665" t="s">
        <v>14</v>
      </c>
      <c r="S18" s="666">
        <f>F18</f>
        <v>100</v>
      </c>
      <c r="T18" s="665" t="s">
        <v>14</v>
      </c>
      <c r="U18" s="666">
        <f>H18</f>
        <v>100</v>
      </c>
      <c r="V18" s="665" t="s">
        <v>14</v>
      </c>
      <c r="W18" s="666">
        <f>J18</f>
        <v>100</v>
      </c>
      <c r="X18" s="1262"/>
      <c r="Y18" s="3573"/>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73"/>
      <c r="Q19" s="1260"/>
      <c r="R19" s="665"/>
      <c r="S19" s="666"/>
      <c r="T19" s="665"/>
      <c r="U19" s="666"/>
      <c r="V19" s="665"/>
      <c r="W19" s="666"/>
      <c r="X19" s="1262"/>
      <c r="Y19" s="3573"/>
      <c r="Z19" s="1261"/>
      <c r="AA19" s="1261">
        <v>1</v>
      </c>
      <c r="AB19" s="1261">
        <v>1</v>
      </c>
      <c r="AC19" s="1261">
        <v>1</v>
      </c>
    </row>
    <row r="20" spans="1:29" ht="85.5">
      <c r="A20" s="346"/>
      <c r="B20" s="554" t="s">
        <v>1830</v>
      </c>
      <c r="C20" s="1750" t="str">
        <f>IF(B1="工业",估价对象房地状况!G7,估价对象房地状况!C9)</f>
        <v>周边有八大处公园及永定河引水渠等自然及人文景观，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73"/>
      <c r="Q20" s="1260" t="str">
        <f>B20</f>
        <v>自然及人文环境</v>
      </c>
      <c r="R20" s="665" t="s">
        <v>14</v>
      </c>
      <c r="S20" s="666">
        <f>F20</f>
        <v>100</v>
      </c>
      <c r="T20" s="665" t="s">
        <v>14</v>
      </c>
      <c r="U20" s="666">
        <f>H20</f>
        <v>100</v>
      </c>
      <c r="V20" s="665" t="s">
        <v>14</v>
      </c>
      <c r="W20" s="666">
        <f>J20</f>
        <v>100</v>
      </c>
      <c r="X20" s="1262"/>
      <c r="Y20" s="3573"/>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73"/>
      <c r="Q21" s="1260"/>
      <c r="R21" s="665"/>
      <c r="S21" s="666"/>
      <c r="T21" s="665"/>
      <c r="U21" s="666"/>
      <c r="V21" s="665"/>
      <c r="W21" s="666"/>
      <c r="X21" s="1262"/>
      <c r="Y21" s="3573"/>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73"/>
      <c r="Q22" s="1260" t="str">
        <f>B22</f>
        <v>楼层</v>
      </c>
      <c r="R22" s="665" t="s">
        <v>14</v>
      </c>
      <c r="S22" s="666">
        <f>F22</f>
        <v>100</v>
      </c>
      <c r="T22" s="665" t="s">
        <v>14</v>
      </c>
      <c r="U22" s="666">
        <f>H22</f>
        <v>100</v>
      </c>
      <c r="V22" s="665" t="s">
        <v>14</v>
      </c>
      <c r="W22" s="666">
        <f>J22</f>
        <v>100</v>
      </c>
      <c r="X22" s="1262"/>
      <c r="Y22" s="3573"/>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73"/>
      <c r="Q23" s="1260">
        <f>B23</f>
        <v>111</v>
      </c>
      <c r="R23" s="665" t="s">
        <v>14</v>
      </c>
      <c r="S23" s="666">
        <f>F23</f>
        <v>100</v>
      </c>
      <c r="T23" s="665" t="s">
        <v>14</v>
      </c>
      <c r="U23" s="666">
        <f>H23</f>
        <v>100</v>
      </c>
      <c r="V23" s="665" t="s">
        <v>14</v>
      </c>
      <c r="W23" s="666">
        <f>J23</f>
        <v>100</v>
      </c>
      <c r="X23" s="1262"/>
      <c r="Y23" s="3573"/>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73"/>
      <c r="Q24" s="1260">
        <f t="shared" ref="Q24:Q36" si="8">B24</f>
        <v>111</v>
      </c>
      <c r="R24" s="665" t="s">
        <v>14</v>
      </c>
      <c r="S24" s="666">
        <f>F24</f>
        <v>100</v>
      </c>
      <c r="T24" s="665" t="s">
        <v>14</v>
      </c>
      <c r="U24" s="666">
        <f>H24</f>
        <v>100</v>
      </c>
      <c r="V24" s="665" t="s">
        <v>14</v>
      </c>
      <c r="W24" s="666">
        <f>J24</f>
        <v>100</v>
      </c>
      <c r="X24" s="1262"/>
      <c r="Y24" s="3573"/>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73"/>
      <c r="Q25" s="528">
        <f t="shared" si="8"/>
        <v>111</v>
      </c>
      <c r="R25" s="662" t="s">
        <v>14</v>
      </c>
      <c r="S25" s="663">
        <f>F25</f>
        <v>100</v>
      </c>
      <c r="T25" s="662" t="s">
        <v>14</v>
      </c>
      <c r="U25" s="663">
        <f>H25</f>
        <v>100</v>
      </c>
      <c r="V25" s="662" t="s">
        <v>14</v>
      </c>
      <c r="W25" s="663">
        <f>J25</f>
        <v>100</v>
      </c>
      <c r="X25" s="664"/>
      <c r="Y25" s="3573"/>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29"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77"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77"/>
      <c r="Q27" s="529" t="str">
        <f t="shared" si="8"/>
        <v>项目停车位配比</v>
      </c>
      <c r="R27" s="667" t="s">
        <v>14</v>
      </c>
      <c r="S27" s="668">
        <f t="shared" si="9"/>
        <v>100</v>
      </c>
      <c r="T27" s="667" t="s">
        <v>14</v>
      </c>
      <c r="U27" s="668">
        <f t="shared" si="10"/>
        <v>100</v>
      </c>
      <c r="V27" s="667" t="s">
        <v>14</v>
      </c>
      <c r="W27" s="668">
        <f t="shared" si="11"/>
        <v>100</v>
      </c>
      <c r="X27" s="669"/>
      <c r="Y27" s="3577"/>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77"/>
      <c r="Q28" s="1260" t="str">
        <f t="shared" si="8"/>
        <v>公共部分装修</v>
      </c>
      <c r="R28" s="665" t="s">
        <v>14</v>
      </c>
      <c r="S28" s="666">
        <f t="shared" si="9"/>
        <v>100</v>
      </c>
      <c r="T28" s="665" t="s">
        <v>14</v>
      </c>
      <c r="U28" s="666">
        <f t="shared" si="10"/>
        <v>100</v>
      </c>
      <c r="V28" s="665" t="s">
        <v>14</v>
      </c>
      <c r="W28" s="666">
        <f t="shared" si="11"/>
        <v>100</v>
      </c>
      <c r="X28" s="1262"/>
      <c r="Y28" s="3577"/>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77"/>
      <c r="Q29" s="1260" t="str">
        <f t="shared" si="8"/>
        <v>成新率</v>
      </c>
      <c r="R29" s="665" t="s">
        <v>14</v>
      </c>
      <c r="S29" s="666" t="e">
        <f t="shared" si="9"/>
        <v>#N/A</v>
      </c>
      <c r="T29" s="665" t="s">
        <v>14</v>
      </c>
      <c r="U29" s="666" t="e">
        <f t="shared" si="10"/>
        <v>#N/A</v>
      </c>
      <c r="V29" s="665" t="s">
        <v>14</v>
      </c>
      <c r="W29" s="666" t="e">
        <f t="shared" si="11"/>
        <v>#N/A</v>
      </c>
      <c r="X29" s="1262"/>
      <c r="Y29" s="3577"/>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77"/>
      <c r="Q30" s="1260" t="str">
        <f t="shared" si="8"/>
        <v>物业等级</v>
      </c>
      <c r="R30" s="665" t="s">
        <v>14</v>
      </c>
      <c r="S30" s="666">
        <f t="shared" si="9"/>
        <v>100</v>
      </c>
      <c r="T30" s="665" t="s">
        <v>14</v>
      </c>
      <c r="U30" s="666">
        <f t="shared" si="10"/>
        <v>100</v>
      </c>
      <c r="V30" s="665" t="s">
        <v>14</v>
      </c>
      <c r="W30" s="666">
        <f t="shared" si="11"/>
        <v>100</v>
      </c>
      <c r="X30" s="1262"/>
      <c r="Y30" s="3577"/>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77"/>
      <c r="Q31" s="528" t="str">
        <f t="shared" si="8"/>
        <v>停车位面积</v>
      </c>
      <c r="R31" s="662" t="s">
        <v>14</v>
      </c>
      <c r="S31" s="663" t="e">
        <f t="shared" si="9"/>
        <v>#N/A</v>
      </c>
      <c r="T31" s="662" t="s">
        <v>14</v>
      </c>
      <c r="U31" s="663" t="e">
        <f t="shared" si="10"/>
        <v>#N/A</v>
      </c>
      <c r="V31" s="662" t="s">
        <v>14</v>
      </c>
      <c r="W31" s="663" t="e">
        <f t="shared" si="11"/>
        <v>#N/A</v>
      </c>
      <c r="X31" s="664"/>
      <c r="Y31" s="3577"/>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77" t="s">
        <v>1696</v>
      </c>
      <c r="Q32" s="1260" t="str">
        <f t="shared" si="8"/>
        <v>车位类型</v>
      </c>
      <c r="R32" s="665" t="s">
        <v>14</v>
      </c>
      <c r="S32" s="666">
        <f t="shared" si="9"/>
        <v>100</v>
      </c>
      <c r="T32" s="665" t="s">
        <v>14</v>
      </c>
      <c r="U32" s="666">
        <f t="shared" si="10"/>
        <v>100</v>
      </c>
      <c r="V32" s="665" t="s">
        <v>14</v>
      </c>
      <c r="W32" s="666">
        <f t="shared" si="11"/>
        <v>100</v>
      </c>
      <c r="X32" s="1262"/>
      <c r="Y32" s="3577"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77"/>
      <c r="Q33" s="1260" t="str">
        <f t="shared" si="8"/>
        <v>是否直接入户</v>
      </c>
      <c r="R33" s="665" t="s">
        <v>14</v>
      </c>
      <c r="S33" s="666">
        <f t="shared" si="9"/>
        <v>100</v>
      </c>
      <c r="T33" s="665" t="s">
        <v>14</v>
      </c>
      <c r="U33" s="666">
        <f t="shared" si="10"/>
        <v>100</v>
      </c>
      <c r="V33" s="665" t="s">
        <v>14</v>
      </c>
      <c r="W33" s="666">
        <f t="shared" si="11"/>
        <v>100</v>
      </c>
      <c r="X33" s="1262"/>
      <c r="Y33" s="3577"/>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77"/>
      <c r="Q34" s="1260">
        <f t="shared" si="8"/>
        <v>111</v>
      </c>
      <c r="R34" s="665" t="s">
        <v>14</v>
      </c>
      <c r="S34" s="666">
        <f t="shared" si="9"/>
        <v>100</v>
      </c>
      <c r="T34" s="665" t="s">
        <v>14</v>
      </c>
      <c r="U34" s="666">
        <f t="shared" si="10"/>
        <v>100</v>
      </c>
      <c r="V34" s="665" t="s">
        <v>14</v>
      </c>
      <c r="W34" s="666">
        <f t="shared" si="11"/>
        <v>100</v>
      </c>
      <c r="X34" s="1262"/>
      <c r="Y34" s="3577"/>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77"/>
      <c r="Q35" s="529">
        <f t="shared" si="8"/>
        <v>111</v>
      </c>
      <c r="R35" s="667" t="s">
        <v>14</v>
      </c>
      <c r="S35" s="668">
        <f t="shared" si="9"/>
        <v>100</v>
      </c>
      <c r="T35" s="667" t="s">
        <v>14</v>
      </c>
      <c r="U35" s="668">
        <f t="shared" si="10"/>
        <v>100</v>
      </c>
      <c r="V35" s="667" t="s">
        <v>14</v>
      </c>
      <c r="W35" s="668">
        <f t="shared" si="11"/>
        <v>100</v>
      </c>
      <c r="X35" s="669"/>
      <c r="Y35" s="3577"/>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77"/>
      <c r="Q36" s="1260">
        <f t="shared" si="8"/>
        <v>111</v>
      </c>
      <c r="R36" s="665" t="s">
        <v>14</v>
      </c>
      <c r="S36" s="666">
        <f t="shared" si="9"/>
        <v>100</v>
      </c>
      <c r="T36" s="665" t="s">
        <v>14</v>
      </c>
      <c r="U36" s="666">
        <f t="shared" si="10"/>
        <v>100</v>
      </c>
      <c r="V36" s="665" t="s">
        <v>14</v>
      </c>
      <c r="W36" s="666">
        <f t="shared" si="11"/>
        <v>100</v>
      </c>
      <c r="X36" s="1262"/>
      <c r="Y36" s="3577"/>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70" t="str">
        <f>A37</f>
        <v>成交单价</v>
      </c>
      <c r="Q37" s="3570"/>
      <c r="R37" s="3571">
        <f>E37</f>
        <v>0</v>
      </c>
      <c r="S37" s="3571"/>
      <c r="T37" s="3571">
        <f>G37</f>
        <v>0</v>
      </c>
      <c r="U37" s="3571"/>
      <c r="V37" s="3571">
        <f>I37</f>
        <v>0</v>
      </c>
      <c r="W37" s="3571"/>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70" t="str">
        <f>A38</f>
        <v>比较价值（元/平方米）</v>
      </c>
      <c r="Q38" s="3570"/>
      <c r="R38" s="3571" t="e">
        <f>IF(F1="售价",ROUND(PRODUCT(R37,AA7:AA36),0),ROUND(PRODUCT(R37,AA7:AA36),1))</f>
        <v>#DIV/0!</v>
      </c>
      <c r="S38" s="3571"/>
      <c r="T38" s="3571" t="e">
        <f>IF(F1="售价",ROUND(PRODUCT(T37,AB7:AB36),0),ROUND(PRODUCT(T37,AB7:AB36),1))</f>
        <v>#DIV/0!</v>
      </c>
      <c r="U38" s="3571"/>
      <c r="V38" s="3571" t="e">
        <f>IF(F1="售价",ROUND(PRODUCT(V37,AC7:AC36),0),ROUND(PRODUCT(V37,AC7:AC36),1))</f>
        <v>#DIV/0!</v>
      </c>
      <c r="W38" s="3571"/>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67" t="str">
        <f>A39</f>
        <v>估价对象XX用房的比较价值（楼面单价，元/平方米）</v>
      </c>
      <c r="Q39" s="3568"/>
      <c r="R39" s="3630" t="e">
        <f>IF(F1="售价",ROUND(IF(D38="简单平均",AVERAGE(R38:W38),R38*F38+T38*H38+V38*J38),0),ROUND(IF(D38="简单平均",AVERAGE(R38:V38),R38*F38+T38*H38+V38*J38),1))</f>
        <v>#DIV/0!</v>
      </c>
      <c r="S39" s="3630"/>
      <c r="T39" s="3630"/>
      <c r="U39" s="3630"/>
      <c r="V39" s="3630"/>
      <c r="W39" s="3630"/>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2004-1</v>
      </c>
      <c r="D48" s="1101">
        <f>EDATE(C48,-1)</f>
        <v>37956</v>
      </c>
      <c r="E48" s="1101">
        <f t="shared" ref="E48:O48" si="13">EDATE(D48,-1)</f>
        <v>37926</v>
      </c>
      <c r="F48" s="1101">
        <f t="shared" si="13"/>
        <v>37895</v>
      </c>
      <c r="G48" s="1101">
        <f t="shared" si="13"/>
        <v>37865</v>
      </c>
      <c r="H48" s="1101">
        <f t="shared" si="13"/>
        <v>37834</v>
      </c>
      <c r="I48" s="1101">
        <f t="shared" si="13"/>
        <v>37803</v>
      </c>
      <c r="J48" s="1101">
        <f t="shared" si="13"/>
        <v>37773</v>
      </c>
      <c r="K48" s="1101">
        <f t="shared" si="13"/>
        <v>37742</v>
      </c>
      <c r="L48" s="1101">
        <f t="shared" si="13"/>
        <v>37712</v>
      </c>
      <c r="M48" s="1101">
        <f t="shared" si="13"/>
        <v>37681</v>
      </c>
      <c r="N48" s="1101">
        <f t="shared" si="13"/>
        <v>37653</v>
      </c>
      <c r="O48" s="1101">
        <f t="shared" si="13"/>
        <v>37622</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估价对象为北京市房地产,属开发建设的，该项目尚在开发建设中。根据《国有土地使用证》[]，估价对象（分摊）出让国有建设用地使用权面积为0平方米，规划建筑面积为120.79平方米。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2004年1月31日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589" t="s">
        <v>1771</v>
      </c>
      <c r="Q4" s="3590"/>
      <c r="R4" s="3595" t="s">
        <v>1767</v>
      </c>
      <c r="S4" s="3596"/>
      <c r="T4" s="3595" t="s">
        <v>1768</v>
      </c>
      <c r="U4" s="3596"/>
      <c r="V4" s="3571" t="s">
        <v>1769</v>
      </c>
      <c r="W4" s="3571"/>
      <c r="X4" s="1262"/>
      <c r="Y4" s="3595" t="s">
        <v>1771</v>
      </c>
      <c r="Z4" s="3596"/>
      <c r="AA4" s="3582" t="s">
        <v>1767</v>
      </c>
      <c r="AB4" s="3583" t="s">
        <v>1768</v>
      </c>
      <c r="AC4" s="3582" t="s">
        <v>1769</v>
      </c>
    </row>
    <row r="5" spans="1:29" ht="15">
      <c r="A5" s="346"/>
      <c r="B5" s="347"/>
      <c r="C5" s="3612" t="s">
        <v>1673</v>
      </c>
      <c r="D5" s="3609"/>
      <c r="E5" s="3613" t="s">
        <v>1674</v>
      </c>
      <c r="F5" s="3604"/>
      <c r="G5" s="3612" t="s">
        <v>1675</v>
      </c>
      <c r="H5" s="3609"/>
      <c r="I5" s="3612" t="s">
        <v>1676</v>
      </c>
      <c r="J5" s="3609"/>
      <c r="K5" s="535"/>
      <c r="L5" s="2480"/>
      <c r="M5" s="2481"/>
      <c r="N5" s="2481"/>
      <c r="O5" s="2481"/>
      <c r="P5" s="3591"/>
      <c r="Q5" s="3592"/>
      <c r="R5" s="3597"/>
      <c r="S5" s="3598"/>
      <c r="T5" s="3597"/>
      <c r="U5" s="3598"/>
      <c r="V5" s="3571"/>
      <c r="W5" s="3571"/>
      <c r="X5" s="1262"/>
      <c r="Y5" s="3597"/>
      <c r="Z5" s="3598"/>
      <c r="AA5" s="3583"/>
      <c r="AB5" s="3583"/>
      <c r="AC5" s="3583"/>
    </row>
    <row r="6" spans="1:29" ht="15.75" thickBot="1">
      <c r="A6" s="348"/>
      <c r="B6" s="349"/>
      <c r="C6" s="3601" t="s">
        <v>1677</v>
      </c>
      <c r="D6" s="3602"/>
      <c r="E6" s="3610" t="s">
        <v>1677</v>
      </c>
      <c r="F6" s="3611"/>
      <c r="G6" s="3601" t="s">
        <v>1677</v>
      </c>
      <c r="H6" s="3602"/>
      <c r="I6" s="3601" t="s">
        <v>1677</v>
      </c>
      <c r="J6" s="3602"/>
      <c r="K6" s="535" t="s">
        <v>1678</v>
      </c>
      <c r="L6" s="2480"/>
      <c r="M6" s="2481"/>
      <c r="N6" s="2481"/>
      <c r="O6" s="2481"/>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605" t="s">
        <v>1680</v>
      </c>
      <c r="Q7" s="3607"/>
      <c r="R7" s="662" t="s">
        <v>14</v>
      </c>
      <c r="S7" s="663">
        <f t="shared" ref="S7:S14" si="0">F7</f>
        <v>0</v>
      </c>
      <c r="T7" s="662" t="s">
        <v>14</v>
      </c>
      <c r="U7" s="663">
        <f t="shared" ref="U7:U14" si="1">H7</f>
        <v>0</v>
      </c>
      <c r="V7" s="662" t="s">
        <v>14</v>
      </c>
      <c r="W7" s="663">
        <f t="shared" ref="W7:W14" si="2">J7</f>
        <v>0</v>
      </c>
      <c r="X7" s="664"/>
      <c r="Y7" s="3605" t="s">
        <v>1680</v>
      </c>
      <c r="Z7" s="3606"/>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605" t="s">
        <v>1683</v>
      </c>
      <c r="Q8" s="3606"/>
      <c r="R8" s="662" t="s">
        <v>14</v>
      </c>
      <c r="S8" s="663">
        <f t="shared" si="0"/>
        <v>100</v>
      </c>
      <c r="T8" s="662" t="s">
        <v>14</v>
      </c>
      <c r="U8" s="663">
        <f t="shared" si="1"/>
        <v>100</v>
      </c>
      <c r="V8" s="662" t="s">
        <v>14</v>
      </c>
      <c r="W8" s="663">
        <f t="shared" si="2"/>
        <v>100</v>
      </c>
      <c r="X8" s="664"/>
      <c r="Y8" s="3605" t="s">
        <v>1683</v>
      </c>
      <c r="Z8" s="3606"/>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70" t="s">
        <v>1686</v>
      </c>
      <c r="Q9" s="528" t="str">
        <f t="shared" ref="Q9:Q14" si="6">B9</f>
        <v>用途</v>
      </c>
      <c r="R9" s="662" t="s">
        <v>14</v>
      </c>
      <c r="S9" s="663">
        <f t="shared" si="0"/>
        <v>100</v>
      </c>
      <c r="T9" s="662" t="s">
        <v>14</v>
      </c>
      <c r="U9" s="663">
        <f t="shared" si="1"/>
        <v>100</v>
      </c>
      <c r="V9" s="662" t="s">
        <v>14</v>
      </c>
      <c r="W9" s="663">
        <f t="shared" si="2"/>
        <v>100</v>
      </c>
      <c r="X9" s="664"/>
      <c r="Y9" s="3445"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70"/>
      <c r="Q10" s="528" t="str">
        <f t="shared" si="6"/>
        <v>土地使用年限（年）</v>
      </c>
      <c r="R10" s="662" t="s">
        <v>14</v>
      </c>
      <c r="S10" s="663">
        <f t="shared" si="0"/>
        <v>100</v>
      </c>
      <c r="T10" s="662" t="s">
        <v>14</v>
      </c>
      <c r="U10" s="663">
        <f t="shared" si="1"/>
        <v>100</v>
      </c>
      <c r="V10" s="662" t="s">
        <v>14</v>
      </c>
      <c r="W10" s="663">
        <f t="shared" si="2"/>
        <v>100</v>
      </c>
      <c r="X10" s="664"/>
      <c r="Y10" s="3445"/>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70"/>
      <c r="Q11" s="528">
        <f t="shared" si="6"/>
        <v>111</v>
      </c>
      <c r="R11" s="662" t="s">
        <v>14</v>
      </c>
      <c r="S11" s="663">
        <f t="shared" si="0"/>
        <v>100</v>
      </c>
      <c r="T11" s="662" t="s">
        <v>14</v>
      </c>
      <c r="U11" s="663">
        <f t="shared" si="1"/>
        <v>100</v>
      </c>
      <c r="V11" s="662" t="s">
        <v>14</v>
      </c>
      <c r="W11" s="663">
        <f t="shared" si="2"/>
        <v>100</v>
      </c>
      <c r="X11" s="664"/>
      <c r="Y11" s="3445"/>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70"/>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70"/>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周边有399路、965路、985路等多条公交线路，综合评价交通便捷度一般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72" t="s">
        <v>1691</v>
      </c>
      <c r="Q14" s="1260" t="str">
        <f t="shared" si="6"/>
        <v>交通便捷度</v>
      </c>
      <c r="R14" s="665" t="s">
        <v>14</v>
      </c>
      <c r="S14" s="666">
        <f t="shared" si="0"/>
        <v>100</v>
      </c>
      <c r="T14" s="665" t="s">
        <v>14</v>
      </c>
      <c r="U14" s="666">
        <f t="shared" si="1"/>
        <v>100</v>
      </c>
      <c r="V14" s="665" t="s">
        <v>14</v>
      </c>
      <c r="W14" s="666">
        <f t="shared" si="2"/>
        <v>100</v>
      </c>
      <c r="X14" s="1262"/>
      <c r="Y14" s="3572"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73"/>
      <c r="Q15" s="1260"/>
      <c r="R15" s="665"/>
      <c r="S15" s="666"/>
      <c r="T15" s="665"/>
      <c r="U15" s="666"/>
      <c r="V15" s="665"/>
      <c r="W15" s="666"/>
      <c r="X15" s="1262"/>
      <c r="Y15" s="3573"/>
      <c r="Z15" s="1261"/>
      <c r="AA15" s="1261">
        <v>1</v>
      </c>
      <c r="AB15" s="1261">
        <v>1</v>
      </c>
      <c r="AC15" s="1261">
        <v>1</v>
      </c>
    </row>
    <row r="16" spans="1:29" ht="228">
      <c r="A16" s="365"/>
      <c r="B16" s="388"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73"/>
      <c r="Q16" s="1260" t="str">
        <f>B16</f>
        <v>公共配套设施</v>
      </c>
      <c r="R16" s="665" t="s">
        <v>14</v>
      </c>
      <c r="S16" s="666">
        <f>F16</f>
        <v>100</v>
      </c>
      <c r="T16" s="665" t="s">
        <v>14</v>
      </c>
      <c r="U16" s="666">
        <f>H16</f>
        <v>100</v>
      </c>
      <c r="V16" s="665" t="s">
        <v>14</v>
      </c>
      <c r="W16" s="666">
        <f>J16</f>
        <v>100</v>
      </c>
      <c r="X16" s="1262"/>
      <c r="Y16" s="3573"/>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73"/>
      <c r="Q17" s="1260"/>
      <c r="R17" s="665"/>
      <c r="S17" s="666"/>
      <c r="T17" s="665"/>
      <c r="U17" s="666"/>
      <c r="V17" s="665"/>
      <c r="W17" s="666"/>
      <c r="X17" s="1262"/>
      <c r="Y17" s="3573"/>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73"/>
      <c r="Q18" s="1260" t="str">
        <f>B18</f>
        <v>基础设施水平</v>
      </c>
      <c r="R18" s="665" t="s">
        <v>14</v>
      </c>
      <c r="S18" s="666">
        <f>F18</f>
        <v>100</v>
      </c>
      <c r="T18" s="665" t="s">
        <v>14</v>
      </c>
      <c r="U18" s="666">
        <f>H18</f>
        <v>100</v>
      </c>
      <c r="V18" s="665" t="s">
        <v>14</v>
      </c>
      <c r="W18" s="666">
        <f>J18</f>
        <v>100</v>
      </c>
      <c r="X18" s="1262"/>
      <c r="Y18" s="3573"/>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73"/>
      <c r="Q19" s="1260"/>
      <c r="R19" s="665"/>
      <c r="S19" s="666"/>
      <c r="T19" s="665"/>
      <c r="U19" s="666"/>
      <c r="V19" s="665"/>
      <c r="W19" s="666"/>
      <c r="X19" s="1262"/>
      <c r="Y19" s="3573"/>
      <c r="Z19" s="1261"/>
      <c r="AA19" s="1261">
        <v>1</v>
      </c>
      <c r="AB19" s="1261">
        <v>1</v>
      </c>
      <c r="AC19" s="1261">
        <v>1</v>
      </c>
    </row>
    <row r="20" spans="1:29" ht="85.5">
      <c r="A20" s="365"/>
      <c r="B20" s="388" t="s">
        <v>1830</v>
      </c>
      <c r="C20" s="1750" t="str">
        <f>IF(B1="工业",估价对象房地状况!G7,估价对象房地状况!C9)</f>
        <v>周边有八大处公园及永定河引水渠等自然及人文景观，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73"/>
      <c r="Q20" s="1260" t="str">
        <f>B20</f>
        <v>自然及人文环境</v>
      </c>
      <c r="R20" s="665" t="s">
        <v>14</v>
      </c>
      <c r="S20" s="666">
        <f>F20</f>
        <v>100</v>
      </c>
      <c r="T20" s="665" t="s">
        <v>14</v>
      </c>
      <c r="U20" s="666">
        <f>H20</f>
        <v>100</v>
      </c>
      <c r="V20" s="665" t="s">
        <v>14</v>
      </c>
      <c r="W20" s="666">
        <f>J20</f>
        <v>100</v>
      </c>
      <c r="X20" s="1262"/>
      <c r="Y20" s="3573"/>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73"/>
      <c r="Q21" s="1260"/>
      <c r="R21" s="665"/>
      <c r="S21" s="666"/>
      <c r="T21" s="665"/>
      <c r="U21" s="666"/>
      <c r="V21" s="665"/>
      <c r="W21" s="666"/>
      <c r="X21" s="1262"/>
      <c r="Y21" s="3573"/>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73"/>
      <c r="Q22" s="1260" t="str">
        <f>B22</f>
        <v>楼层</v>
      </c>
      <c r="R22" s="665" t="s">
        <v>14</v>
      </c>
      <c r="S22" s="666">
        <f>F22</f>
        <v>100</v>
      </c>
      <c r="T22" s="665" t="s">
        <v>14</v>
      </c>
      <c r="U22" s="666">
        <f>H22</f>
        <v>100</v>
      </c>
      <c r="V22" s="665" t="s">
        <v>14</v>
      </c>
      <c r="W22" s="666">
        <f>J22</f>
        <v>100</v>
      </c>
      <c r="X22" s="1262"/>
      <c r="Y22" s="3573"/>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73"/>
      <c r="Q23" s="1260">
        <f>B23</f>
        <v>111</v>
      </c>
      <c r="R23" s="665" t="s">
        <v>14</v>
      </c>
      <c r="S23" s="666">
        <f>F23</f>
        <v>100</v>
      </c>
      <c r="T23" s="665" t="s">
        <v>14</v>
      </c>
      <c r="U23" s="666">
        <f>H23</f>
        <v>100</v>
      </c>
      <c r="V23" s="665" t="s">
        <v>14</v>
      </c>
      <c r="W23" s="666">
        <f>J23</f>
        <v>100</v>
      </c>
      <c r="X23" s="1262"/>
      <c r="Y23" s="3573"/>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73"/>
      <c r="Q24" s="1260">
        <f t="shared" ref="Q24:Q34" si="8">B24</f>
        <v>111</v>
      </c>
      <c r="R24" s="665" t="s">
        <v>14</v>
      </c>
      <c r="S24" s="666">
        <f>F24</f>
        <v>100</v>
      </c>
      <c r="T24" s="665" t="s">
        <v>14</v>
      </c>
      <c r="U24" s="666">
        <f>H24</f>
        <v>100</v>
      </c>
      <c r="V24" s="665" t="s">
        <v>14</v>
      </c>
      <c r="W24" s="666">
        <f>J24</f>
        <v>100</v>
      </c>
      <c r="X24" s="1262"/>
      <c r="Y24" s="3573"/>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73"/>
      <c r="Q25" s="528">
        <f t="shared" si="8"/>
        <v>111</v>
      </c>
      <c r="R25" s="662" t="s">
        <v>14</v>
      </c>
      <c r="S25" s="663">
        <f>F25</f>
        <v>100</v>
      </c>
      <c r="T25" s="662" t="s">
        <v>14</v>
      </c>
      <c r="U25" s="663">
        <f>H25</f>
        <v>100</v>
      </c>
      <c r="V25" s="662" t="s">
        <v>14</v>
      </c>
      <c r="W25" s="663">
        <f>J25</f>
        <v>100</v>
      </c>
      <c r="X25" s="664"/>
      <c r="Y25" s="3573"/>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29"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77"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77"/>
      <c r="Q27" s="529" t="str">
        <f t="shared" si="8"/>
        <v>成新率</v>
      </c>
      <c r="R27" s="667" t="s">
        <v>14</v>
      </c>
      <c r="S27" s="668" t="e">
        <f t="shared" si="9"/>
        <v>#N/A</v>
      </c>
      <c r="T27" s="667" t="s">
        <v>14</v>
      </c>
      <c r="U27" s="668" t="e">
        <f t="shared" si="10"/>
        <v>#N/A</v>
      </c>
      <c r="V27" s="667" t="s">
        <v>14</v>
      </c>
      <c r="W27" s="668" t="e">
        <f t="shared" si="11"/>
        <v>#N/A</v>
      </c>
      <c r="X27" s="669"/>
      <c r="Y27" s="3577"/>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77"/>
      <c r="Q28" s="1260" t="str">
        <f t="shared" si="8"/>
        <v>物业等级</v>
      </c>
      <c r="R28" s="665" t="s">
        <v>14</v>
      </c>
      <c r="S28" s="666">
        <f t="shared" si="9"/>
        <v>100</v>
      </c>
      <c r="T28" s="665" t="s">
        <v>14</v>
      </c>
      <c r="U28" s="666">
        <f t="shared" si="10"/>
        <v>100</v>
      </c>
      <c r="V28" s="665" t="s">
        <v>14</v>
      </c>
      <c r="W28" s="666">
        <f t="shared" si="11"/>
        <v>100</v>
      </c>
      <c r="X28" s="1262"/>
      <c r="Y28" s="3577"/>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77"/>
      <c r="Q29" s="1260" t="str">
        <f t="shared" si="8"/>
        <v>有无电梯</v>
      </c>
      <c r="R29" s="665" t="s">
        <v>14</v>
      </c>
      <c r="S29" s="666">
        <f t="shared" si="9"/>
        <v>100</v>
      </c>
      <c r="T29" s="665" t="s">
        <v>14</v>
      </c>
      <c r="U29" s="666">
        <f t="shared" si="10"/>
        <v>100</v>
      </c>
      <c r="V29" s="665" t="s">
        <v>14</v>
      </c>
      <c r="W29" s="666">
        <f t="shared" si="11"/>
        <v>100</v>
      </c>
      <c r="X29" s="1262"/>
      <c r="Y29" s="3577"/>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77"/>
      <c r="Q30" s="1260" t="str">
        <f t="shared" si="8"/>
        <v>建筑面积</v>
      </c>
      <c r="R30" s="665" t="s">
        <v>14</v>
      </c>
      <c r="S30" s="666" t="e">
        <f t="shared" si="9"/>
        <v>#N/A</v>
      </c>
      <c r="T30" s="665" t="s">
        <v>14</v>
      </c>
      <c r="U30" s="666" t="e">
        <f t="shared" si="10"/>
        <v>#N/A</v>
      </c>
      <c r="V30" s="665" t="s">
        <v>14</v>
      </c>
      <c r="W30" s="666" t="e">
        <f t="shared" si="11"/>
        <v>#N/A</v>
      </c>
      <c r="X30" s="1262"/>
      <c r="Y30" s="3577"/>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77"/>
      <c r="Q31" s="528" t="str">
        <f t="shared" si="8"/>
        <v>是否封闭</v>
      </c>
      <c r="R31" s="662" t="s">
        <v>14</v>
      </c>
      <c r="S31" s="663">
        <f t="shared" si="9"/>
        <v>100</v>
      </c>
      <c r="T31" s="662" t="s">
        <v>14</v>
      </c>
      <c r="U31" s="663">
        <f t="shared" si="10"/>
        <v>100</v>
      </c>
      <c r="V31" s="662" t="s">
        <v>14</v>
      </c>
      <c r="W31" s="663">
        <f t="shared" si="11"/>
        <v>100</v>
      </c>
      <c r="X31" s="664"/>
      <c r="Y31" s="3577"/>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77" t="s">
        <v>1696</v>
      </c>
      <c r="Q32" s="1260">
        <f t="shared" si="8"/>
        <v>111</v>
      </c>
      <c r="R32" s="665" t="s">
        <v>14</v>
      </c>
      <c r="S32" s="666">
        <f t="shared" si="9"/>
        <v>100</v>
      </c>
      <c r="T32" s="665" t="s">
        <v>14</v>
      </c>
      <c r="U32" s="666">
        <f t="shared" si="10"/>
        <v>100</v>
      </c>
      <c r="V32" s="665" t="s">
        <v>14</v>
      </c>
      <c r="W32" s="666">
        <f t="shared" si="11"/>
        <v>100</v>
      </c>
      <c r="X32" s="1262"/>
      <c r="Y32" s="3577"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77"/>
      <c r="Q33" s="1260">
        <f t="shared" si="8"/>
        <v>111</v>
      </c>
      <c r="R33" s="665" t="s">
        <v>14</v>
      </c>
      <c r="S33" s="666">
        <f t="shared" si="9"/>
        <v>100</v>
      </c>
      <c r="T33" s="665" t="s">
        <v>14</v>
      </c>
      <c r="U33" s="666">
        <f t="shared" si="10"/>
        <v>100</v>
      </c>
      <c r="V33" s="665" t="s">
        <v>14</v>
      </c>
      <c r="W33" s="666">
        <f t="shared" si="11"/>
        <v>100</v>
      </c>
      <c r="X33" s="1262"/>
      <c r="Y33" s="3577"/>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77"/>
      <c r="Q34" s="1260">
        <f t="shared" si="8"/>
        <v>111</v>
      </c>
      <c r="R34" s="665" t="s">
        <v>14</v>
      </c>
      <c r="S34" s="666">
        <f t="shared" si="9"/>
        <v>100</v>
      </c>
      <c r="T34" s="665" t="s">
        <v>14</v>
      </c>
      <c r="U34" s="666">
        <f t="shared" si="10"/>
        <v>100</v>
      </c>
      <c r="V34" s="665" t="s">
        <v>14</v>
      </c>
      <c r="W34" s="666">
        <f t="shared" si="11"/>
        <v>100</v>
      </c>
      <c r="X34" s="1262"/>
      <c r="Y34" s="3577"/>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70" t="str">
        <f>A35</f>
        <v>成交单价（元/平方米）</v>
      </c>
      <c r="Q35" s="3570"/>
      <c r="R35" s="3571">
        <f>E35</f>
        <v>0</v>
      </c>
      <c r="S35" s="3571"/>
      <c r="T35" s="3571">
        <f>G35</f>
        <v>0</v>
      </c>
      <c r="U35" s="3571"/>
      <c r="V35" s="3571">
        <f>I35</f>
        <v>0</v>
      </c>
      <c r="W35" s="3571"/>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70" t="str">
        <f>A36</f>
        <v>比较价值（元/平方米）</v>
      </c>
      <c r="Q36" s="3570"/>
      <c r="R36" s="3571" t="e">
        <f>IF(F1="售价",ROUND(PRODUCT(R35,AA7:AA34),0),ROUND(PRODUCT(R35,AA7:AA34),1))</f>
        <v>#DIV/0!</v>
      </c>
      <c r="S36" s="3571"/>
      <c r="T36" s="3571" t="e">
        <f>IF(F1="售价",ROUND(PRODUCT(T35,AB7:AB34),0),ROUND(PRODUCT(T35,AB7:AB34),1))</f>
        <v>#DIV/0!</v>
      </c>
      <c r="U36" s="3571"/>
      <c r="V36" s="3571" t="e">
        <f>IF(F1="售价",ROUND(PRODUCT(V35,AC7:AC34),0),ROUND(PRODUCT(V35,AC7:AC34),1))</f>
        <v>#DIV/0!</v>
      </c>
      <c r="W36" s="3571"/>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67" t="str">
        <f>A37</f>
        <v>估价对象XX用房的比较价值（楼面单价，元/平方米）</v>
      </c>
      <c r="Q37" s="3568"/>
      <c r="R37" s="3630" t="e">
        <f>IF(F1="售价",ROUND(IF(D36="简单平均",AVERAGE(R36:W36),R36*F36+T36*H36+V36*J36),0),ROUND(IF(D36="简单平均",AVERAGE(R36:V36),R36*F36+T36*H36+V36*J36),1))</f>
        <v>#DIV/0!</v>
      </c>
      <c r="S37" s="3630"/>
      <c r="T37" s="3630"/>
      <c r="U37" s="3630"/>
      <c r="V37" s="3630"/>
      <c r="W37" s="3630"/>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2004-1</v>
      </c>
      <c r="D46" s="1101">
        <f>EDATE(C46,-1)</f>
        <v>37956</v>
      </c>
      <c r="E46" s="1101">
        <f t="shared" ref="E46:O46" si="13">EDATE(D46,-1)</f>
        <v>37926</v>
      </c>
      <c r="F46" s="1101">
        <f t="shared" si="13"/>
        <v>37895</v>
      </c>
      <c r="G46" s="1101">
        <f t="shared" si="13"/>
        <v>37865</v>
      </c>
      <c r="H46" s="1101">
        <f t="shared" si="13"/>
        <v>37834</v>
      </c>
      <c r="I46" s="1101">
        <f t="shared" si="13"/>
        <v>37803</v>
      </c>
      <c r="J46" s="1101">
        <f t="shared" si="13"/>
        <v>37773</v>
      </c>
      <c r="K46" s="1101">
        <f t="shared" si="13"/>
        <v>37742</v>
      </c>
      <c r="L46" s="1101">
        <f t="shared" si="13"/>
        <v>37712</v>
      </c>
      <c r="M46" s="1101">
        <f t="shared" si="13"/>
        <v>37681</v>
      </c>
      <c r="N46" s="1101">
        <f t="shared" si="13"/>
        <v>37653</v>
      </c>
      <c r="O46" s="1101">
        <f t="shared" si="13"/>
        <v>37622</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589" t="s">
        <v>1771</v>
      </c>
      <c r="Q4" s="3590"/>
      <c r="R4" s="3595" t="s">
        <v>1767</v>
      </c>
      <c r="S4" s="3596"/>
      <c r="T4" s="3595" t="s">
        <v>1768</v>
      </c>
      <c r="U4" s="3596"/>
      <c r="V4" s="3571" t="s">
        <v>1769</v>
      </c>
      <c r="W4" s="3571"/>
      <c r="X4" s="1262"/>
      <c r="Y4" s="3595" t="s">
        <v>1771</v>
      </c>
      <c r="Z4" s="3596"/>
      <c r="AA4" s="3582" t="s">
        <v>1767</v>
      </c>
      <c r="AB4" s="3583" t="s">
        <v>1768</v>
      </c>
      <c r="AC4" s="3582" t="s">
        <v>1769</v>
      </c>
    </row>
    <row r="5" spans="1:29" ht="15">
      <c r="A5" s="346"/>
      <c r="B5" s="347"/>
      <c r="C5" s="3612" t="s">
        <v>1673</v>
      </c>
      <c r="D5" s="3609"/>
      <c r="E5" s="3613" t="s">
        <v>1674</v>
      </c>
      <c r="F5" s="3604"/>
      <c r="G5" s="3612" t="s">
        <v>1675</v>
      </c>
      <c r="H5" s="3609"/>
      <c r="I5" s="3612" t="s">
        <v>1676</v>
      </c>
      <c r="J5" s="3609"/>
      <c r="K5" s="535"/>
      <c r="L5" s="2480"/>
      <c r="M5" s="2481"/>
      <c r="N5" s="2481"/>
      <c r="O5" s="2481"/>
      <c r="P5" s="3591"/>
      <c r="Q5" s="3592"/>
      <c r="R5" s="3597"/>
      <c r="S5" s="3598"/>
      <c r="T5" s="3597"/>
      <c r="U5" s="3598"/>
      <c r="V5" s="3571"/>
      <c r="W5" s="3571"/>
      <c r="X5" s="1262"/>
      <c r="Y5" s="3597"/>
      <c r="Z5" s="3598"/>
      <c r="AA5" s="3583"/>
      <c r="AB5" s="3583"/>
      <c r="AC5" s="3583"/>
    </row>
    <row r="6" spans="1:29" ht="15.75" thickBot="1">
      <c r="A6" s="348"/>
      <c r="B6" s="349"/>
      <c r="C6" s="3601" t="s">
        <v>1677</v>
      </c>
      <c r="D6" s="3602"/>
      <c r="E6" s="3610" t="s">
        <v>1677</v>
      </c>
      <c r="F6" s="3611"/>
      <c r="G6" s="3601" t="s">
        <v>1677</v>
      </c>
      <c r="H6" s="3602"/>
      <c r="I6" s="3601" t="s">
        <v>1677</v>
      </c>
      <c r="J6" s="3602"/>
      <c r="K6" s="535" t="s">
        <v>1678</v>
      </c>
      <c r="L6" s="2480"/>
      <c r="M6" s="2481"/>
      <c r="N6" s="2481"/>
      <c r="O6" s="2481"/>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605" t="s">
        <v>1680</v>
      </c>
      <c r="Q7" s="3607"/>
      <c r="R7" s="662" t="s">
        <v>14</v>
      </c>
      <c r="S7" s="663">
        <f t="shared" ref="S7:S15" si="0">F7</f>
        <v>0</v>
      </c>
      <c r="T7" s="662" t="s">
        <v>14</v>
      </c>
      <c r="U7" s="663">
        <f t="shared" ref="U7:U15" si="1">H7</f>
        <v>0</v>
      </c>
      <c r="V7" s="662" t="s">
        <v>14</v>
      </c>
      <c r="W7" s="663">
        <f t="shared" ref="W7:W15" si="2">J7</f>
        <v>0</v>
      </c>
      <c r="X7" s="664"/>
      <c r="Y7" s="3605" t="s">
        <v>1680</v>
      </c>
      <c r="Z7" s="3606"/>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605" t="s">
        <v>1683</v>
      </c>
      <c r="Q8" s="3606"/>
      <c r="R8" s="662" t="s">
        <v>14</v>
      </c>
      <c r="S8" s="663">
        <f t="shared" si="0"/>
        <v>0</v>
      </c>
      <c r="T8" s="662" t="s">
        <v>14</v>
      </c>
      <c r="U8" s="663">
        <f t="shared" si="1"/>
        <v>0</v>
      </c>
      <c r="V8" s="662" t="s">
        <v>14</v>
      </c>
      <c r="W8" s="663">
        <f t="shared" si="2"/>
        <v>0</v>
      </c>
      <c r="X8" s="664"/>
      <c r="Y8" s="3605" t="s">
        <v>1683</v>
      </c>
      <c r="Z8" s="3606"/>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70"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70"/>
      <c r="Q10" s="528" t="str">
        <f t="shared" si="6"/>
        <v>土地使用年限（年）</v>
      </c>
      <c r="R10" s="662" t="s">
        <v>14</v>
      </c>
      <c r="S10" s="663">
        <f t="shared" si="0"/>
        <v>105</v>
      </c>
      <c r="T10" s="662" t="s">
        <v>14</v>
      </c>
      <c r="U10" s="663">
        <f t="shared" si="1"/>
        <v>105</v>
      </c>
      <c r="V10" s="662" t="s">
        <v>14</v>
      </c>
      <c r="W10" s="663">
        <f t="shared" si="2"/>
        <v>105</v>
      </c>
      <c r="X10" s="664"/>
      <c r="Y10" s="344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70"/>
      <c r="Q11" s="528" t="str">
        <f t="shared" si="6"/>
        <v>容积率</v>
      </c>
      <c r="R11" s="662" t="s">
        <v>14</v>
      </c>
      <c r="S11" s="663" t="e">
        <f t="shared" si="0"/>
        <v>#N/A</v>
      </c>
      <c r="T11" s="662" t="s">
        <v>14</v>
      </c>
      <c r="U11" s="663" t="e">
        <f t="shared" si="1"/>
        <v>#N/A</v>
      </c>
      <c r="V11" s="662" t="s">
        <v>14</v>
      </c>
      <c r="W11" s="663" t="e">
        <f t="shared" si="2"/>
        <v>#N/A</v>
      </c>
      <c r="X11" s="664"/>
      <c r="Y11" s="3445"/>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70"/>
      <c r="Q12" s="528" t="str">
        <f t="shared" si="6"/>
        <v>配建</v>
      </c>
      <c r="R12" s="662" t="s">
        <v>14</v>
      </c>
      <c r="S12" s="663">
        <f t="shared" si="0"/>
        <v>100</v>
      </c>
      <c r="T12" s="662" t="s">
        <v>14</v>
      </c>
      <c r="U12" s="663">
        <f t="shared" si="1"/>
        <v>100</v>
      </c>
      <c r="V12" s="662" t="s">
        <v>14</v>
      </c>
      <c r="W12" s="663">
        <f t="shared" si="2"/>
        <v>100</v>
      </c>
      <c r="X12" s="664"/>
      <c r="Y12" s="3445"/>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70"/>
      <c r="Q13" s="528">
        <f t="shared" si="6"/>
        <v>111</v>
      </c>
      <c r="R13" s="662" t="s">
        <v>14</v>
      </c>
      <c r="S13" s="663">
        <f t="shared" si="0"/>
        <v>100</v>
      </c>
      <c r="T13" s="662" t="s">
        <v>14</v>
      </c>
      <c r="U13" s="663">
        <f t="shared" si="1"/>
        <v>100</v>
      </c>
      <c r="V13" s="662" t="s">
        <v>14</v>
      </c>
      <c r="W13" s="663">
        <f t="shared" si="2"/>
        <v>100</v>
      </c>
      <c r="X13" s="664"/>
      <c r="Y13" s="3445"/>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70"/>
      <c r="Q14" s="528">
        <f t="shared" si="6"/>
        <v>111</v>
      </c>
      <c r="R14" s="662" t="s">
        <v>14</v>
      </c>
      <c r="S14" s="663">
        <f t="shared" si="0"/>
        <v>100</v>
      </c>
      <c r="T14" s="662" t="s">
        <v>14</v>
      </c>
      <c r="U14" s="663">
        <f t="shared" si="1"/>
        <v>100</v>
      </c>
      <c r="V14" s="662" t="s">
        <v>14</v>
      </c>
      <c r="W14" s="663">
        <f t="shared" si="2"/>
        <v>100</v>
      </c>
      <c r="X14" s="664"/>
      <c r="Y14" s="3445"/>
      <c r="Z14" s="50">
        <f t="shared" si="7"/>
        <v>111</v>
      </c>
      <c r="AA14" s="50">
        <f>D14/F14</f>
        <v>1</v>
      </c>
      <c r="AB14" s="50">
        <f>D14/H14</f>
        <v>1</v>
      </c>
      <c r="AC14" s="50">
        <f>D14/J14</f>
        <v>1</v>
      </c>
    </row>
    <row r="15" spans="1:29" ht="99.75">
      <c r="A15" s="377" t="s">
        <v>1690</v>
      </c>
      <c r="B15" s="58" t="s">
        <v>1257</v>
      </c>
      <c r="C15" s="1746" t="str">
        <f>估价对象房地状况!C15</f>
        <v>周边有海特花园、西黄新村北里、八大处路33号院、黄南苑小区等住宅小区，居住社区成熟度较好。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72" t="s">
        <v>1691</v>
      </c>
      <c r="Q15" s="1260" t="str">
        <f t="shared" si="6"/>
        <v>居住社区成熟度</v>
      </c>
      <c r="R15" s="665" t="s">
        <v>14</v>
      </c>
      <c r="S15" s="666">
        <f t="shared" si="0"/>
        <v>100</v>
      </c>
      <c r="T15" s="665" t="s">
        <v>14</v>
      </c>
      <c r="U15" s="666">
        <f t="shared" si="1"/>
        <v>100</v>
      </c>
      <c r="V15" s="665" t="s">
        <v>14</v>
      </c>
      <c r="W15" s="666">
        <f t="shared" si="2"/>
        <v>100</v>
      </c>
      <c r="X15" s="1262"/>
      <c r="Y15" s="3572"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73"/>
      <c r="Q16" s="1260"/>
      <c r="R16" s="665"/>
      <c r="S16" s="666"/>
      <c r="T16" s="665"/>
      <c r="U16" s="666"/>
      <c r="V16" s="665"/>
      <c r="W16" s="666"/>
      <c r="X16" s="1262"/>
      <c r="Y16" s="3573"/>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73"/>
      <c r="Q17" s="1260" t="str">
        <f>B17</f>
        <v>商业繁华度</v>
      </c>
      <c r="R17" s="665" t="s">
        <v>14</v>
      </c>
      <c r="S17" s="666">
        <f>F17</f>
        <v>100</v>
      </c>
      <c r="T17" s="665" t="s">
        <v>14</v>
      </c>
      <c r="U17" s="666">
        <f>H17</f>
        <v>100</v>
      </c>
      <c r="V17" s="665" t="s">
        <v>14</v>
      </c>
      <c r="W17" s="666">
        <f>J17</f>
        <v>100</v>
      </c>
      <c r="X17" s="1262"/>
      <c r="Y17" s="3573"/>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73"/>
      <c r="Q18" s="1260"/>
      <c r="R18" s="665"/>
      <c r="S18" s="666"/>
      <c r="T18" s="665"/>
      <c r="U18" s="666"/>
      <c r="V18" s="665"/>
      <c r="W18" s="666"/>
      <c r="X18" s="1262"/>
      <c r="Y18" s="3573"/>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73"/>
      <c r="Q19" s="1260" t="str">
        <f>B19</f>
        <v>办公集聚程度</v>
      </c>
      <c r="R19" s="665" t="s">
        <v>14</v>
      </c>
      <c r="S19" s="666">
        <f>F19</f>
        <v>100</v>
      </c>
      <c r="T19" s="665" t="s">
        <v>14</v>
      </c>
      <c r="U19" s="666">
        <f>H19</f>
        <v>100</v>
      </c>
      <c r="V19" s="665" t="s">
        <v>14</v>
      </c>
      <c r="W19" s="666">
        <f>J19</f>
        <v>100</v>
      </c>
      <c r="X19" s="1262"/>
      <c r="Y19" s="3573"/>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73"/>
      <c r="Q20" s="1260"/>
      <c r="R20" s="665"/>
      <c r="S20" s="666"/>
      <c r="T20" s="665"/>
      <c r="U20" s="666"/>
      <c r="V20" s="665"/>
      <c r="W20" s="666"/>
      <c r="X20" s="1262"/>
      <c r="Y20" s="3573"/>
      <c r="Z20" s="1261"/>
      <c r="AA20" s="1261">
        <v>1</v>
      </c>
      <c r="AB20" s="1261">
        <v>1</v>
      </c>
      <c r="AC20" s="1261">
        <v>1</v>
      </c>
    </row>
    <row r="21" spans="1:29" ht="71.25">
      <c r="A21" s="365"/>
      <c r="B21" s="388" t="s">
        <v>1829</v>
      </c>
      <c r="C21" s="1750" t="str">
        <f>估价对象房地状况!C18</f>
        <v>周边有399路、965路、985路等多条公交线路，综合评价交通便捷度一般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73"/>
      <c r="Q21" s="1260" t="str">
        <f>B21</f>
        <v>交通便捷度</v>
      </c>
      <c r="R21" s="665" t="s">
        <v>14</v>
      </c>
      <c r="S21" s="666">
        <f>F21</f>
        <v>100</v>
      </c>
      <c r="T21" s="665" t="s">
        <v>14</v>
      </c>
      <c r="U21" s="666">
        <f>H21</f>
        <v>100</v>
      </c>
      <c r="V21" s="665" t="s">
        <v>14</v>
      </c>
      <c r="W21" s="666">
        <f>J21</f>
        <v>100</v>
      </c>
      <c r="X21" s="1262"/>
      <c r="Y21" s="3573"/>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73"/>
      <c r="Q22" s="1260"/>
      <c r="R22" s="665"/>
      <c r="S22" s="666"/>
      <c r="T22" s="665"/>
      <c r="U22" s="666"/>
      <c r="V22" s="665"/>
      <c r="W22" s="666"/>
      <c r="X22" s="1262"/>
      <c r="Y22" s="3573"/>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73"/>
      <c r="Q23" s="1260" t="str">
        <f t="shared" ref="Q23:Q37" si="8">B23</f>
        <v>区域土地利用方向</v>
      </c>
      <c r="R23" s="665" t="s">
        <v>14</v>
      </c>
      <c r="S23" s="666">
        <f>F23</f>
        <v>100</v>
      </c>
      <c r="T23" s="665" t="s">
        <v>14</v>
      </c>
      <c r="U23" s="666">
        <f>H23</f>
        <v>100</v>
      </c>
      <c r="V23" s="665" t="s">
        <v>14</v>
      </c>
      <c r="W23" s="666">
        <f>J23</f>
        <v>100</v>
      </c>
      <c r="X23" s="1262"/>
      <c r="Y23" s="3573"/>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73"/>
      <c r="Q24" s="1260"/>
      <c r="R24" s="665"/>
      <c r="S24" s="666"/>
      <c r="T24" s="665"/>
      <c r="U24" s="666"/>
      <c r="V24" s="665"/>
      <c r="W24" s="666"/>
      <c r="X24" s="1262"/>
      <c r="Y24" s="3573"/>
      <c r="Z24" s="1261"/>
      <c r="AA24" s="1261"/>
      <c r="AB24" s="1261"/>
      <c r="AC24" s="1261"/>
    </row>
    <row r="25" spans="1:29" ht="85.5">
      <c r="A25" s="346"/>
      <c r="B25" s="584" t="s">
        <v>1868</v>
      </c>
      <c r="C25" s="1800" t="str">
        <f>估价对象房地状况!C20</f>
        <v>周边有八大处公园及永定河引水渠等自然及人文景观，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73"/>
      <c r="Q25" s="1260" t="str">
        <f t="shared" si="8"/>
        <v>自然及人文环境状况</v>
      </c>
      <c r="R25" s="665" t="s">
        <v>14</v>
      </c>
      <c r="S25" s="666">
        <f>F25</f>
        <v>100</v>
      </c>
      <c r="T25" s="665" t="s">
        <v>14</v>
      </c>
      <c r="U25" s="666">
        <f>H25</f>
        <v>100</v>
      </c>
      <c r="V25" s="665" t="s">
        <v>14</v>
      </c>
      <c r="W25" s="666">
        <f>J25</f>
        <v>100</v>
      </c>
      <c r="X25" s="1262"/>
      <c r="Y25" s="3573"/>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73"/>
      <c r="Q26" s="1260"/>
      <c r="R26" s="665"/>
      <c r="S26" s="666"/>
      <c r="T26" s="665"/>
      <c r="U26" s="666"/>
      <c r="V26" s="665"/>
      <c r="W26" s="666"/>
      <c r="X26" s="1262"/>
      <c r="Y26" s="3573"/>
      <c r="Z26" s="1261"/>
      <c r="AA26" s="1261">
        <v>1</v>
      </c>
      <c r="AB26" s="1261">
        <v>1</v>
      </c>
      <c r="AC26" s="1261">
        <v>1</v>
      </c>
    </row>
    <row r="27" spans="1:29" s="101" customFormat="1" ht="228">
      <c r="A27" s="441"/>
      <c r="B27" s="584" t="s">
        <v>1774</v>
      </c>
      <c r="C27" s="1750"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73"/>
      <c r="Q27" s="528" t="str">
        <f t="shared" si="8"/>
        <v>公共配套设施</v>
      </c>
      <c r="R27" s="662" t="s">
        <v>14</v>
      </c>
      <c r="S27" s="663">
        <f>F27</f>
        <v>100</v>
      </c>
      <c r="T27" s="662" t="s">
        <v>14</v>
      </c>
      <c r="U27" s="663">
        <f>H27</f>
        <v>100</v>
      </c>
      <c r="V27" s="662" t="s">
        <v>14</v>
      </c>
      <c r="W27" s="663">
        <f>J27</f>
        <v>100</v>
      </c>
      <c r="X27" s="664"/>
      <c r="Y27" s="3573"/>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73"/>
      <c r="Q28" s="528"/>
      <c r="R28" s="662"/>
      <c r="S28" s="663"/>
      <c r="T28" s="662"/>
      <c r="U28" s="663"/>
      <c r="V28" s="662"/>
      <c r="W28" s="663"/>
      <c r="X28" s="664"/>
      <c r="Y28" s="3573"/>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73"/>
      <c r="Q29" s="528" t="str">
        <f>B29</f>
        <v>基础设施水平</v>
      </c>
      <c r="R29" s="662" t="s">
        <v>14</v>
      </c>
      <c r="S29" s="663">
        <f>F29</f>
        <v>100</v>
      </c>
      <c r="T29" s="662" t="s">
        <v>14</v>
      </c>
      <c r="U29" s="663">
        <f>H29</f>
        <v>100</v>
      </c>
      <c r="V29" s="662" t="s">
        <v>14</v>
      </c>
      <c r="W29" s="663">
        <f>J29</f>
        <v>100</v>
      </c>
      <c r="X29" s="664"/>
      <c r="Y29" s="3573"/>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73"/>
      <c r="Q30" s="528"/>
      <c r="R30" s="662"/>
      <c r="S30" s="663"/>
      <c r="T30" s="662"/>
      <c r="U30" s="663"/>
      <c r="V30" s="662"/>
      <c r="W30" s="663"/>
      <c r="X30" s="664"/>
      <c r="Y30" s="3573"/>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73"/>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73"/>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73"/>
      <c r="Q32" s="1260" t="str">
        <f t="shared" si="8"/>
        <v>毗邻道路的类型与等级</v>
      </c>
      <c r="R32" s="665" t="s">
        <v>14</v>
      </c>
      <c r="S32" s="666">
        <f t="shared" si="9"/>
        <v>100</v>
      </c>
      <c r="T32" s="665" t="s">
        <v>14</v>
      </c>
      <c r="U32" s="666">
        <f t="shared" si="10"/>
        <v>100</v>
      </c>
      <c r="V32" s="665" t="s">
        <v>14</v>
      </c>
      <c r="W32" s="666">
        <f t="shared" si="11"/>
        <v>100</v>
      </c>
      <c r="X32" s="1262"/>
      <c r="Y32" s="3573"/>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73"/>
      <c r="Q33" s="1260"/>
      <c r="R33" s="665"/>
      <c r="S33" s="666"/>
      <c r="T33" s="665"/>
      <c r="U33" s="666"/>
      <c r="V33" s="665"/>
      <c r="W33" s="666"/>
      <c r="X33" s="1262"/>
      <c r="Y33" s="3573"/>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73"/>
      <c r="Q34" s="1260" t="str">
        <f t="shared" si="8"/>
        <v>土地级别</v>
      </c>
      <c r="R34" s="665" t="s">
        <v>14</v>
      </c>
      <c r="S34" s="666">
        <f t="shared" si="9"/>
        <v>100</v>
      </c>
      <c r="T34" s="665" t="s">
        <v>14</v>
      </c>
      <c r="U34" s="666">
        <f t="shared" si="10"/>
        <v>100</v>
      </c>
      <c r="V34" s="665" t="s">
        <v>14</v>
      </c>
      <c r="W34" s="666">
        <f t="shared" si="11"/>
        <v>100</v>
      </c>
      <c r="X34" s="1262"/>
      <c r="Y34" s="3573"/>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73"/>
      <c r="Q35" s="1260">
        <f t="shared" si="8"/>
        <v>111</v>
      </c>
      <c r="R35" s="665" t="s">
        <v>14</v>
      </c>
      <c r="S35" s="666">
        <f t="shared" si="9"/>
        <v>100</v>
      </c>
      <c r="T35" s="665" t="s">
        <v>14</v>
      </c>
      <c r="U35" s="666">
        <f t="shared" si="10"/>
        <v>100</v>
      </c>
      <c r="V35" s="665" t="s">
        <v>14</v>
      </c>
      <c r="W35" s="666">
        <f t="shared" si="11"/>
        <v>100</v>
      </c>
      <c r="X35" s="1262"/>
      <c r="Y35" s="3573"/>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29" t="s">
        <v>1696</v>
      </c>
      <c r="Q36" s="1260">
        <f t="shared" si="8"/>
        <v>111</v>
      </c>
      <c r="R36" s="665" t="s">
        <v>14</v>
      </c>
      <c r="S36" s="666">
        <f t="shared" si="9"/>
        <v>100</v>
      </c>
      <c r="T36" s="665" t="s">
        <v>14</v>
      </c>
      <c r="U36" s="666">
        <f t="shared" si="10"/>
        <v>100</v>
      </c>
      <c r="V36" s="665" t="s">
        <v>14</v>
      </c>
      <c r="W36" s="666">
        <f t="shared" si="11"/>
        <v>100</v>
      </c>
      <c r="X36" s="1262"/>
      <c r="Y36" s="3577"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77"/>
      <c r="Q37" s="1260">
        <f t="shared" si="8"/>
        <v>111</v>
      </c>
      <c r="R37" s="667" t="s">
        <v>14</v>
      </c>
      <c r="S37" s="668">
        <f t="shared" si="9"/>
        <v>100</v>
      </c>
      <c r="T37" s="667" t="s">
        <v>14</v>
      </c>
      <c r="U37" s="668">
        <f t="shared" si="10"/>
        <v>100</v>
      </c>
      <c r="V37" s="667" t="s">
        <v>14</v>
      </c>
      <c r="W37" s="668">
        <f t="shared" si="11"/>
        <v>100</v>
      </c>
      <c r="X37" s="669"/>
      <c r="Y37" s="3577"/>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77"/>
      <c r="Q38" s="1260" t="str">
        <f>B38</f>
        <v>宗地面积</v>
      </c>
      <c r="R38" s="665" t="s">
        <v>14</v>
      </c>
      <c r="S38" s="666" t="e">
        <f t="shared" si="9"/>
        <v>#N/A</v>
      </c>
      <c r="T38" s="665" t="s">
        <v>14</v>
      </c>
      <c r="U38" s="666" t="e">
        <f t="shared" si="10"/>
        <v>#N/A</v>
      </c>
      <c r="V38" s="665" t="s">
        <v>14</v>
      </c>
      <c r="W38" s="666" t="e">
        <f t="shared" si="11"/>
        <v>#N/A</v>
      </c>
      <c r="X38" s="1262"/>
      <c r="Y38" s="3577"/>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77"/>
      <c r="Q39" s="1260" t="str">
        <f t="shared" ref="Q39:Q45" si="13">B39</f>
        <v>宗地形状</v>
      </c>
      <c r="R39" s="665" t="s">
        <v>14</v>
      </c>
      <c r="S39" s="666">
        <f t="shared" si="9"/>
        <v>100</v>
      </c>
      <c r="T39" s="665" t="s">
        <v>14</v>
      </c>
      <c r="U39" s="666">
        <f t="shared" si="10"/>
        <v>100</v>
      </c>
      <c r="V39" s="665" t="s">
        <v>14</v>
      </c>
      <c r="W39" s="666">
        <f t="shared" si="11"/>
        <v>100</v>
      </c>
      <c r="X39" s="1262"/>
      <c r="Y39" s="3577"/>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77"/>
      <c r="Q40" s="1260" t="str">
        <f t="shared" si="13"/>
        <v>临街宽度及深度</v>
      </c>
      <c r="R40" s="665" t="s">
        <v>14</v>
      </c>
      <c r="S40" s="666">
        <f t="shared" si="9"/>
        <v>100</v>
      </c>
      <c r="T40" s="665" t="s">
        <v>14</v>
      </c>
      <c r="U40" s="666">
        <f t="shared" si="10"/>
        <v>100</v>
      </c>
      <c r="V40" s="665" t="s">
        <v>14</v>
      </c>
      <c r="W40" s="666">
        <f t="shared" si="11"/>
        <v>100</v>
      </c>
      <c r="X40" s="1262"/>
      <c r="Y40" s="3577"/>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77"/>
      <c r="Q41" s="1260" t="str">
        <f t="shared" si="13"/>
        <v>宗地开发程度</v>
      </c>
      <c r="R41" s="662" t="s">
        <v>14</v>
      </c>
      <c r="S41" s="663">
        <f t="shared" si="9"/>
        <v>100</v>
      </c>
      <c r="T41" s="662" t="s">
        <v>14</v>
      </c>
      <c r="U41" s="663">
        <f t="shared" si="10"/>
        <v>100</v>
      </c>
      <c r="V41" s="662" t="s">
        <v>14</v>
      </c>
      <c r="W41" s="663">
        <f t="shared" si="11"/>
        <v>100</v>
      </c>
      <c r="X41" s="664"/>
      <c r="Y41" s="3577"/>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77" t="s">
        <v>1696</v>
      </c>
      <c r="Q42" s="1260" t="str">
        <f t="shared" si="13"/>
        <v>工程地质条件</v>
      </c>
      <c r="R42" s="665" t="s">
        <v>14</v>
      </c>
      <c r="S42" s="666">
        <f t="shared" si="9"/>
        <v>100</v>
      </c>
      <c r="T42" s="665" t="s">
        <v>14</v>
      </c>
      <c r="U42" s="666">
        <f t="shared" si="10"/>
        <v>100</v>
      </c>
      <c r="V42" s="665" t="s">
        <v>14</v>
      </c>
      <c r="W42" s="666">
        <f t="shared" si="11"/>
        <v>100</v>
      </c>
      <c r="X42" s="1262"/>
      <c r="Y42" s="3577"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77"/>
      <c r="Q43" s="1260">
        <f t="shared" si="13"/>
        <v>111</v>
      </c>
      <c r="R43" s="665" t="s">
        <v>14</v>
      </c>
      <c r="S43" s="666">
        <f t="shared" si="9"/>
        <v>100</v>
      </c>
      <c r="T43" s="665" t="s">
        <v>14</v>
      </c>
      <c r="U43" s="666">
        <f t="shared" si="10"/>
        <v>100</v>
      </c>
      <c r="V43" s="665" t="s">
        <v>14</v>
      </c>
      <c r="W43" s="666">
        <f t="shared" si="11"/>
        <v>100</v>
      </c>
      <c r="X43" s="1262"/>
      <c r="Y43" s="3577"/>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77"/>
      <c r="Q44" s="1260">
        <f t="shared" si="13"/>
        <v>111</v>
      </c>
      <c r="R44" s="665" t="s">
        <v>14</v>
      </c>
      <c r="S44" s="666">
        <f t="shared" si="9"/>
        <v>100</v>
      </c>
      <c r="T44" s="665" t="s">
        <v>14</v>
      </c>
      <c r="U44" s="666">
        <f t="shared" si="10"/>
        <v>100</v>
      </c>
      <c r="V44" s="665" t="s">
        <v>14</v>
      </c>
      <c r="W44" s="666">
        <f t="shared" si="11"/>
        <v>100</v>
      </c>
      <c r="X44" s="1262"/>
      <c r="Y44" s="3577"/>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77"/>
      <c r="Q45" s="1260">
        <f t="shared" si="13"/>
        <v>111</v>
      </c>
      <c r="R45" s="667" t="s">
        <v>14</v>
      </c>
      <c r="S45" s="668">
        <f t="shared" si="9"/>
        <v>100</v>
      </c>
      <c r="T45" s="667" t="s">
        <v>14</v>
      </c>
      <c r="U45" s="668">
        <f t="shared" si="10"/>
        <v>100</v>
      </c>
      <c r="V45" s="667" t="s">
        <v>14</v>
      </c>
      <c r="W45" s="668">
        <f t="shared" si="11"/>
        <v>100</v>
      </c>
      <c r="X45" s="669"/>
      <c r="Y45" s="3577"/>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70" t="str">
        <f>A46</f>
        <v>成交单价</v>
      </c>
      <c r="Q46" s="3570"/>
      <c r="R46" s="3571">
        <f>E46</f>
        <v>0</v>
      </c>
      <c r="S46" s="3571"/>
      <c r="T46" s="3571">
        <f>G46</f>
        <v>0</v>
      </c>
      <c r="U46" s="3571"/>
      <c r="V46" s="3571">
        <f>I46</f>
        <v>0</v>
      </c>
      <c r="W46" s="3571"/>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70" t="str">
        <f>A47</f>
        <v>比较价值（元/平方米）</v>
      </c>
      <c r="Q47" s="3570"/>
      <c r="R47" s="3631" t="e">
        <f>ROUND(PRODUCT(R46,AA7:AA45),0)</f>
        <v>#DIV/0!</v>
      </c>
      <c r="S47" s="3631"/>
      <c r="T47" s="3631" t="e">
        <f>ROUND(PRODUCT(T46,AB7:AB45),0)</f>
        <v>#DIV/0!</v>
      </c>
      <c r="U47" s="3631"/>
      <c r="V47" s="3631" t="e">
        <f>ROUND(PRODUCT(V46,AC7:AC45),0)</f>
        <v>#DIV/0!</v>
      </c>
      <c r="W47" s="3631"/>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67" t="str">
        <f>A48</f>
        <v>估价对象XX用房的比较价值（楼面单价，元/平方米）</v>
      </c>
      <c r="Q48" s="3568"/>
      <c r="R48" s="3632" t="e">
        <f>ROUND(IF(D47="简单平均",AVERAGE(R47:W47),R47*F47+T47*H47+V47*J47),0)</f>
        <v>#DIV/0!</v>
      </c>
      <c r="S48" s="3632"/>
      <c r="T48" s="3632"/>
      <c r="U48" s="3632"/>
      <c r="V48" s="3632"/>
      <c r="W48" s="3632"/>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85" t="s">
        <v>1883</v>
      </c>
      <c r="H55" s="3633"/>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120.79</v>
      </c>
      <c r="F56" s="831" t="e">
        <f t="shared" ref="F56:F64" si="14">ROUND(B56*E56/10000,0)</f>
        <v>#DIV/0!</v>
      </c>
      <c r="G56" s="3581"/>
      <c r="H56" s="3570"/>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120.79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2004-1-1</v>
      </c>
      <c r="D67" s="654">
        <f>EDATE(C67,-3)</f>
        <v>37895</v>
      </c>
      <c r="E67" s="654">
        <f>EDATE(D67,-3)</f>
        <v>37803</v>
      </c>
      <c r="F67" s="654">
        <f t="shared" ref="F67:O67" si="17">EDATE(E67,-3)</f>
        <v>37712</v>
      </c>
      <c r="G67" s="654">
        <f t="shared" si="17"/>
        <v>37622</v>
      </c>
      <c r="H67" s="654">
        <f t="shared" si="17"/>
        <v>37530</v>
      </c>
      <c r="I67" s="654">
        <f t="shared" si="17"/>
        <v>37438</v>
      </c>
      <c r="J67" s="654">
        <f t="shared" si="17"/>
        <v>37347</v>
      </c>
      <c r="K67" s="654">
        <f t="shared" si="17"/>
        <v>37257</v>
      </c>
      <c r="L67" s="654">
        <f t="shared" si="17"/>
        <v>37165</v>
      </c>
      <c r="M67" s="654">
        <f t="shared" si="17"/>
        <v>37073</v>
      </c>
      <c r="N67" s="654">
        <f t="shared" si="17"/>
        <v>36982</v>
      </c>
      <c r="O67" s="654">
        <f t="shared" si="17"/>
        <v>36892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2004-1</v>
      </c>
      <c r="D69" s="1098" t="str">
        <f>YEAR(D67)&amp;"-"&amp;ROUNDUP(MONTH(D67)/3,0)</f>
        <v>2003-4</v>
      </c>
      <c r="E69" s="1098" t="str">
        <f t="shared" ref="E69:O69" si="18">YEAR(E67)&amp;"-"&amp;ROUNDUP(MONTH(E67)/3,0)</f>
        <v>2003-3</v>
      </c>
      <c r="F69" s="1098" t="str">
        <f t="shared" si="18"/>
        <v>2003-2</v>
      </c>
      <c r="G69" s="1098" t="str">
        <f t="shared" si="18"/>
        <v>2003-1</v>
      </c>
      <c r="H69" s="1098" t="str">
        <f t="shared" si="18"/>
        <v>2002-4</v>
      </c>
      <c r="I69" s="1098" t="str">
        <f t="shared" si="18"/>
        <v>2002-3</v>
      </c>
      <c r="J69" s="1098" t="str">
        <f t="shared" si="18"/>
        <v>2002-2</v>
      </c>
      <c r="K69" s="1098" t="str">
        <f t="shared" si="18"/>
        <v>2002-1</v>
      </c>
      <c r="L69" s="1098" t="str">
        <f t="shared" si="18"/>
        <v>2001-4</v>
      </c>
      <c r="M69" s="1098" t="str">
        <f t="shared" si="18"/>
        <v>2001-3</v>
      </c>
      <c r="N69" s="1098" t="str">
        <f t="shared" si="18"/>
        <v>2001-2</v>
      </c>
      <c r="O69" s="1098" t="str">
        <f t="shared" si="18"/>
        <v>2001-1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5" t="s">
        <v>1766</v>
      </c>
      <c r="D4" s="3586"/>
      <c r="E4" s="3587" t="s">
        <v>1767</v>
      </c>
      <c r="F4" s="3588"/>
      <c r="G4" s="3585" t="s">
        <v>1768</v>
      </c>
      <c r="H4" s="3586"/>
      <c r="I4" s="3585" t="s">
        <v>1769</v>
      </c>
      <c r="J4" s="3586"/>
      <c r="K4" s="535" t="s">
        <v>1770</v>
      </c>
      <c r="L4" s="2480"/>
      <c r="M4" s="2481"/>
      <c r="N4" s="2481"/>
      <c r="O4" s="2481"/>
      <c r="P4" s="3589" t="s">
        <v>1771</v>
      </c>
      <c r="Q4" s="3590"/>
      <c r="R4" s="3595" t="s">
        <v>1767</v>
      </c>
      <c r="S4" s="3596"/>
      <c r="T4" s="3595" t="s">
        <v>1768</v>
      </c>
      <c r="U4" s="3596"/>
      <c r="V4" s="3571" t="s">
        <v>1769</v>
      </c>
      <c r="W4" s="3571"/>
      <c r="X4" s="1262"/>
      <c r="Y4" s="3595" t="s">
        <v>1771</v>
      </c>
      <c r="Z4" s="3596"/>
      <c r="AA4" s="3582" t="s">
        <v>1767</v>
      </c>
      <c r="AB4" s="3583" t="s">
        <v>1768</v>
      </c>
      <c r="AC4" s="3582" t="s">
        <v>1769</v>
      </c>
    </row>
    <row r="5" spans="1:29" ht="15">
      <c r="A5" s="346"/>
      <c r="B5" s="347"/>
      <c r="C5" s="3612" t="s">
        <v>1673</v>
      </c>
      <c r="D5" s="3609"/>
      <c r="E5" s="3613" t="s">
        <v>1674</v>
      </c>
      <c r="F5" s="3604"/>
      <c r="G5" s="3612" t="s">
        <v>1675</v>
      </c>
      <c r="H5" s="3609"/>
      <c r="I5" s="3612" t="s">
        <v>1676</v>
      </c>
      <c r="J5" s="3609"/>
      <c r="K5" s="535"/>
      <c r="L5" s="2480"/>
      <c r="M5" s="2481"/>
      <c r="N5" s="2481"/>
      <c r="O5" s="2481"/>
      <c r="P5" s="3591"/>
      <c r="Q5" s="3592"/>
      <c r="R5" s="3597"/>
      <c r="S5" s="3598"/>
      <c r="T5" s="3597"/>
      <c r="U5" s="3598"/>
      <c r="V5" s="3571"/>
      <c r="W5" s="3571"/>
      <c r="X5" s="1262"/>
      <c r="Y5" s="3597"/>
      <c r="Z5" s="3598"/>
      <c r="AA5" s="3583"/>
      <c r="AB5" s="3583"/>
      <c r="AC5" s="3583"/>
    </row>
    <row r="6" spans="1:29" ht="15.75" thickBot="1">
      <c r="A6" s="348"/>
      <c r="B6" s="349"/>
      <c r="C6" s="3634" t="s">
        <v>1915</v>
      </c>
      <c r="D6" s="3635"/>
      <c r="E6" s="3636" t="s">
        <v>1915</v>
      </c>
      <c r="F6" s="3637"/>
      <c r="G6" s="3634" t="s">
        <v>1915</v>
      </c>
      <c r="H6" s="3635"/>
      <c r="I6" s="3634" t="s">
        <v>1915</v>
      </c>
      <c r="J6" s="3635"/>
      <c r="K6" s="535" t="s">
        <v>1678</v>
      </c>
      <c r="L6" s="2480"/>
      <c r="M6" s="2481"/>
      <c r="N6" s="2481"/>
      <c r="O6" s="2481"/>
      <c r="P6" s="3593"/>
      <c r="Q6" s="3594"/>
      <c r="R6" s="3597"/>
      <c r="S6" s="3598"/>
      <c r="T6" s="3599"/>
      <c r="U6" s="3600"/>
      <c r="V6" s="3571"/>
      <c r="W6" s="3571"/>
      <c r="X6" s="1262"/>
      <c r="Y6" s="3599"/>
      <c r="Z6" s="3600"/>
      <c r="AA6" s="3584"/>
      <c r="AB6" s="3584"/>
      <c r="AC6" s="3584"/>
    </row>
    <row r="7" spans="1:29" s="101" customFormat="1" ht="15.75" thickBot="1">
      <c r="A7" s="350" t="s">
        <v>1679</v>
      </c>
      <c r="B7" s="351"/>
      <c r="C7" s="352">
        <f>'数据-取费表'!B2</f>
        <v>38017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605" t="s">
        <v>1680</v>
      </c>
      <c r="Q7" s="3607"/>
      <c r="R7" s="662" t="s">
        <v>14</v>
      </c>
      <c r="S7" s="663">
        <f t="shared" ref="S7:S15" si="0">F7</f>
        <v>0</v>
      </c>
      <c r="T7" s="662" t="s">
        <v>14</v>
      </c>
      <c r="U7" s="663">
        <f t="shared" ref="U7:U15" si="1">H7</f>
        <v>0</v>
      </c>
      <c r="V7" s="662" t="s">
        <v>14</v>
      </c>
      <c r="W7" s="663">
        <f t="shared" ref="W7:W15" si="2">J7</f>
        <v>0</v>
      </c>
      <c r="X7" s="664"/>
      <c r="Y7" s="3605" t="s">
        <v>1680</v>
      </c>
      <c r="Z7" s="3606"/>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605" t="s">
        <v>1683</v>
      </c>
      <c r="Q8" s="3606"/>
      <c r="R8" s="662" t="s">
        <v>14</v>
      </c>
      <c r="S8" s="663">
        <f t="shared" si="0"/>
        <v>0</v>
      </c>
      <c r="T8" s="662" t="s">
        <v>14</v>
      </c>
      <c r="U8" s="663">
        <f t="shared" si="1"/>
        <v>0</v>
      </c>
      <c r="V8" s="662" t="s">
        <v>14</v>
      </c>
      <c r="W8" s="663">
        <f t="shared" si="2"/>
        <v>0</v>
      </c>
      <c r="X8" s="664"/>
      <c r="Y8" s="3605" t="s">
        <v>1683</v>
      </c>
      <c r="Z8" s="3606"/>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70" t="s">
        <v>1686</v>
      </c>
      <c r="Q9" s="528" t="str">
        <f t="shared" ref="Q9:Q15" si="6">B9</f>
        <v>用途</v>
      </c>
      <c r="R9" s="662" t="s">
        <v>14</v>
      </c>
      <c r="S9" s="663">
        <f t="shared" si="0"/>
        <v>100</v>
      </c>
      <c r="T9" s="662" t="s">
        <v>14</v>
      </c>
      <c r="U9" s="663">
        <f t="shared" si="1"/>
        <v>100</v>
      </c>
      <c r="V9" s="662" t="s">
        <v>14</v>
      </c>
      <c r="W9" s="663">
        <f t="shared" si="2"/>
        <v>100</v>
      </c>
      <c r="X9" s="664"/>
      <c r="Y9" s="3445"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70"/>
      <c r="Q10" s="528" t="str">
        <f t="shared" si="6"/>
        <v>土地使用年限（年）</v>
      </c>
      <c r="R10" s="662" t="s">
        <v>14</v>
      </c>
      <c r="S10" s="663">
        <f t="shared" si="0"/>
        <v>105</v>
      </c>
      <c r="T10" s="662" t="s">
        <v>14</v>
      </c>
      <c r="U10" s="663">
        <f t="shared" si="1"/>
        <v>105</v>
      </c>
      <c r="V10" s="662" t="s">
        <v>14</v>
      </c>
      <c r="W10" s="663">
        <f t="shared" si="2"/>
        <v>105</v>
      </c>
      <c r="X10" s="664"/>
      <c r="Y10" s="344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70"/>
      <c r="Q11" s="528" t="str">
        <f t="shared" si="6"/>
        <v>容积率</v>
      </c>
      <c r="R11" s="662" t="s">
        <v>14</v>
      </c>
      <c r="S11" s="663" t="e">
        <f t="shared" si="0"/>
        <v>#N/A</v>
      </c>
      <c r="T11" s="662" t="s">
        <v>14</v>
      </c>
      <c r="U11" s="663" t="e">
        <f t="shared" si="1"/>
        <v>#N/A</v>
      </c>
      <c r="V11" s="662" t="s">
        <v>14</v>
      </c>
      <c r="W11" s="663" t="e">
        <f t="shared" si="2"/>
        <v>#N/A</v>
      </c>
      <c r="X11" s="664"/>
      <c r="Y11" s="3445"/>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70"/>
      <c r="Q12" s="528">
        <f t="shared" si="6"/>
        <v>111</v>
      </c>
      <c r="R12" s="662" t="s">
        <v>14</v>
      </c>
      <c r="S12" s="663">
        <f t="shared" si="0"/>
        <v>100</v>
      </c>
      <c r="T12" s="662" t="s">
        <v>14</v>
      </c>
      <c r="U12" s="663">
        <f t="shared" si="1"/>
        <v>100</v>
      </c>
      <c r="V12" s="662" t="s">
        <v>14</v>
      </c>
      <c r="W12" s="663">
        <f t="shared" si="2"/>
        <v>100</v>
      </c>
      <c r="X12" s="664"/>
      <c r="Y12" s="3445"/>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70"/>
      <c r="Q13" s="528">
        <f t="shared" si="6"/>
        <v>111</v>
      </c>
      <c r="R13" s="662" t="s">
        <v>14</v>
      </c>
      <c r="S13" s="663">
        <f t="shared" si="0"/>
        <v>100</v>
      </c>
      <c r="T13" s="662" t="s">
        <v>14</v>
      </c>
      <c r="U13" s="663">
        <f t="shared" si="1"/>
        <v>100</v>
      </c>
      <c r="V13" s="662" t="s">
        <v>14</v>
      </c>
      <c r="W13" s="663">
        <f t="shared" si="2"/>
        <v>100</v>
      </c>
      <c r="X13" s="664"/>
      <c r="Y13" s="3445"/>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70"/>
      <c r="Q14" s="528">
        <f t="shared" si="6"/>
        <v>111</v>
      </c>
      <c r="R14" s="662" t="s">
        <v>14</v>
      </c>
      <c r="S14" s="663">
        <f t="shared" si="0"/>
        <v>100</v>
      </c>
      <c r="T14" s="662" t="s">
        <v>14</v>
      </c>
      <c r="U14" s="663">
        <f t="shared" si="1"/>
        <v>100</v>
      </c>
      <c r="V14" s="662" t="s">
        <v>14</v>
      </c>
      <c r="W14" s="663">
        <f t="shared" si="2"/>
        <v>100</v>
      </c>
      <c r="X14" s="664"/>
      <c r="Y14" s="3445"/>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72" t="s">
        <v>1691</v>
      </c>
      <c r="Q15" s="1260" t="str">
        <f t="shared" si="6"/>
        <v>产业集聚程度</v>
      </c>
      <c r="R15" s="665" t="s">
        <v>14</v>
      </c>
      <c r="S15" s="666">
        <f t="shared" si="0"/>
        <v>100</v>
      </c>
      <c r="T15" s="665" t="s">
        <v>14</v>
      </c>
      <c r="U15" s="666">
        <f t="shared" si="1"/>
        <v>100</v>
      </c>
      <c r="V15" s="665" t="s">
        <v>14</v>
      </c>
      <c r="W15" s="666">
        <f t="shared" si="2"/>
        <v>100</v>
      </c>
      <c r="X15" s="1262"/>
      <c r="Y15" s="3572"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73"/>
      <c r="Q16" s="1260"/>
      <c r="R16" s="665"/>
      <c r="S16" s="666"/>
      <c r="T16" s="665"/>
      <c r="U16" s="666"/>
      <c r="V16" s="665"/>
      <c r="W16" s="666"/>
      <c r="X16" s="1262"/>
      <c r="Y16" s="3573"/>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73"/>
      <c r="Q17" s="1260" t="str">
        <f>B17</f>
        <v>交通便捷度</v>
      </c>
      <c r="R17" s="665" t="s">
        <v>14</v>
      </c>
      <c r="S17" s="666">
        <f>F17</f>
        <v>100</v>
      </c>
      <c r="T17" s="665" t="s">
        <v>14</v>
      </c>
      <c r="U17" s="666">
        <f>H17</f>
        <v>100</v>
      </c>
      <c r="V17" s="665" t="s">
        <v>14</v>
      </c>
      <c r="W17" s="666">
        <f>J17</f>
        <v>100</v>
      </c>
      <c r="X17" s="1262"/>
      <c r="Y17" s="3573"/>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73"/>
      <c r="Q18" s="1260"/>
      <c r="R18" s="665"/>
      <c r="S18" s="666"/>
      <c r="T18" s="665"/>
      <c r="U18" s="666"/>
      <c r="V18" s="665"/>
      <c r="W18" s="666"/>
      <c r="X18" s="1262"/>
      <c r="Y18" s="3573"/>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73"/>
      <c r="Q19" s="1260" t="str">
        <f t="shared" ref="Q19:Q33" si="8">B19</f>
        <v>区域土地利用方向</v>
      </c>
      <c r="R19" s="665" t="s">
        <v>14</v>
      </c>
      <c r="S19" s="666">
        <f>F19</f>
        <v>100</v>
      </c>
      <c r="T19" s="665" t="s">
        <v>14</v>
      </c>
      <c r="U19" s="666">
        <f>H19</f>
        <v>100</v>
      </c>
      <c r="V19" s="665" t="s">
        <v>14</v>
      </c>
      <c r="W19" s="666">
        <f>J19</f>
        <v>100</v>
      </c>
      <c r="X19" s="1262"/>
      <c r="Y19" s="3573"/>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73"/>
      <c r="Q20" s="1260"/>
      <c r="R20" s="665"/>
      <c r="S20" s="666"/>
      <c r="T20" s="665"/>
      <c r="U20" s="666"/>
      <c r="V20" s="665"/>
      <c r="W20" s="666"/>
      <c r="X20" s="1262"/>
      <c r="Y20" s="3573"/>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73"/>
      <c r="Q21" s="1260" t="str">
        <f t="shared" si="8"/>
        <v>环境状况</v>
      </c>
      <c r="R21" s="665" t="s">
        <v>14</v>
      </c>
      <c r="S21" s="666">
        <f>F21</f>
        <v>100</v>
      </c>
      <c r="T21" s="665" t="s">
        <v>14</v>
      </c>
      <c r="U21" s="666">
        <f>H21</f>
        <v>100</v>
      </c>
      <c r="V21" s="665" t="s">
        <v>14</v>
      </c>
      <c r="W21" s="666">
        <f>J21</f>
        <v>100</v>
      </c>
      <c r="X21" s="1262"/>
      <c r="Y21" s="3573"/>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73"/>
      <c r="Q22" s="1260"/>
      <c r="R22" s="665"/>
      <c r="S22" s="666"/>
      <c r="T22" s="665"/>
      <c r="U22" s="666"/>
      <c r="V22" s="665"/>
      <c r="W22" s="666"/>
      <c r="X22" s="1262"/>
      <c r="Y22" s="3573"/>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73"/>
      <c r="Q23" s="528" t="str">
        <f t="shared" si="8"/>
        <v>公共配套设施</v>
      </c>
      <c r="R23" s="662" t="s">
        <v>14</v>
      </c>
      <c r="S23" s="663">
        <f>F23</f>
        <v>100</v>
      </c>
      <c r="T23" s="662" t="s">
        <v>14</v>
      </c>
      <c r="U23" s="663">
        <f>H23</f>
        <v>100</v>
      </c>
      <c r="V23" s="662" t="s">
        <v>14</v>
      </c>
      <c r="W23" s="663">
        <f>J23</f>
        <v>100</v>
      </c>
      <c r="X23" s="664"/>
      <c r="Y23" s="3573"/>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73"/>
      <c r="Q24" s="528"/>
      <c r="R24" s="662"/>
      <c r="S24" s="663"/>
      <c r="T24" s="662"/>
      <c r="U24" s="663"/>
      <c r="V24" s="662"/>
      <c r="W24" s="663"/>
      <c r="X24" s="664"/>
      <c r="Y24" s="3573"/>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73"/>
      <c r="Q25" s="528" t="str">
        <f>B25</f>
        <v>基础设施水平</v>
      </c>
      <c r="R25" s="662" t="s">
        <v>14</v>
      </c>
      <c r="S25" s="663">
        <f>F25</f>
        <v>100</v>
      </c>
      <c r="T25" s="662" t="s">
        <v>14</v>
      </c>
      <c r="U25" s="663">
        <f>H25</f>
        <v>100</v>
      </c>
      <c r="V25" s="662" t="s">
        <v>14</v>
      </c>
      <c r="W25" s="663">
        <f>J25</f>
        <v>100</v>
      </c>
      <c r="X25" s="664"/>
      <c r="Y25" s="3573"/>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73"/>
      <c r="Q26" s="528"/>
      <c r="R26" s="662"/>
      <c r="S26" s="663"/>
      <c r="T26" s="662"/>
      <c r="U26" s="663"/>
      <c r="V26" s="662"/>
      <c r="W26" s="663"/>
      <c r="X26" s="664"/>
      <c r="Y26" s="3573"/>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73"/>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73"/>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73"/>
      <c r="Q28" s="1260" t="str">
        <f t="shared" si="8"/>
        <v>毗邻道路的类型与等级</v>
      </c>
      <c r="R28" s="665" t="s">
        <v>14</v>
      </c>
      <c r="S28" s="666">
        <f t="shared" si="9"/>
        <v>100</v>
      </c>
      <c r="T28" s="665" t="s">
        <v>14</v>
      </c>
      <c r="U28" s="666">
        <f t="shared" si="10"/>
        <v>100</v>
      </c>
      <c r="V28" s="665" t="s">
        <v>14</v>
      </c>
      <c r="W28" s="666">
        <f t="shared" si="11"/>
        <v>100</v>
      </c>
      <c r="X28" s="1262"/>
      <c r="Y28" s="3573"/>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73"/>
      <c r="Q29" s="1260"/>
      <c r="R29" s="665"/>
      <c r="S29" s="666"/>
      <c r="T29" s="665"/>
      <c r="U29" s="666"/>
      <c r="V29" s="665"/>
      <c r="W29" s="666"/>
      <c r="X29" s="1262"/>
      <c r="Y29" s="3573"/>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73"/>
      <c r="Q30" s="1260" t="str">
        <f t="shared" si="8"/>
        <v>土地级别</v>
      </c>
      <c r="R30" s="665" t="s">
        <v>14</v>
      </c>
      <c r="S30" s="666">
        <f t="shared" si="9"/>
        <v>100</v>
      </c>
      <c r="T30" s="665" t="s">
        <v>14</v>
      </c>
      <c r="U30" s="666">
        <f t="shared" si="10"/>
        <v>100</v>
      </c>
      <c r="V30" s="665" t="s">
        <v>14</v>
      </c>
      <c r="W30" s="666">
        <f t="shared" si="11"/>
        <v>100</v>
      </c>
      <c r="X30" s="1262"/>
      <c r="Y30" s="3573"/>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73"/>
      <c r="Q31" s="1260">
        <f t="shared" si="8"/>
        <v>111</v>
      </c>
      <c r="R31" s="665" t="s">
        <v>14</v>
      </c>
      <c r="S31" s="666">
        <f t="shared" si="9"/>
        <v>100</v>
      </c>
      <c r="T31" s="665" t="s">
        <v>14</v>
      </c>
      <c r="U31" s="666">
        <f t="shared" si="10"/>
        <v>100</v>
      </c>
      <c r="V31" s="665" t="s">
        <v>14</v>
      </c>
      <c r="W31" s="666">
        <f t="shared" si="11"/>
        <v>100</v>
      </c>
      <c r="X31" s="1262"/>
      <c r="Y31" s="3573"/>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29" t="s">
        <v>1696</v>
      </c>
      <c r="Q32" s="1260">
        <f t="shared" si="8"/>
        <v>111</v>
      </c>
      <c r="R32" s="665" t="s">
        <v>14</v>
      </c>
      <c r="S32" s="666">
        <f t="shared" si="9"/>
        <v>100</v>
      </c>
      <c r="T32" s="665" t="s">
        <v>14</v>
      </c>
      <c r="U32" s="666">
        <f t="shared" si="10"/>
        <v>100</v>
      </c>
      <c r="V32" s="665" t="s">
        <v>14</v>
      </c>
      <c r="W32" s="666">
        <f t="shared" si="11"/>
        <v>100</v>
      </c>
      <c r="X32" s="1262"/>
      <c r="Y32" s="3577"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77"/>
      <c r="Q33" s="1260">
        <f t="shared" si="8"/>
        <v>111</v>
      </c>
      <c r="R33" s="667" t="s">
        <v>14</v>
      </c>
      <c r="S33" s="668">
        <f t="shared" si="9"/>
        <v>100</v>
      </c>
      <c r="T33" s="667" t="s">
        <v>14</v>
      </c>
      <c r="U33" s="668">
        <f t="shared" si="10"/>
        <v>100</v>
      </c>
      <c r="V33" s="667" t="s">
        <v>14</v>
      </c>
      <c r="W33" s="668">
        <f t="shared" si="11"/>
        <v>100</v>
      </c>
      <c r="X33" s="669"/>
      <c r="Y33" s="3577"/>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77"/>
      <c r="Q34" s="1260" t="str">
        <f>B34</f>
        <v>宗地面积</v>
      </c>
      <c r="R34" s="665" t="s">
        <v>14</v>
      </c>
      <c r="S34" s="666" t="e">
        <f t="shared" si="9"/>
        <v>#N/A</v>
      </c>
      <c r="T34" s="665" t="s">
        <v>14</v>
      </c>
      <c r="U34" s="666" t="e">
        <f t="shared" si="10"/>
        <v>#N/A</v>
      </c>
      <c r="V34" s="665" t="s">
        <v>14</v>
      </c>
      <c r="W34" s="666" t="e">
        <f t="shared" si="11"/>
        <v>#N/A</v>
      </c>
      <c r="X34" s="1262"/>
      <c r="Y34" s="3577"/>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77"/>
      <c r="Q35" s="1260" t="str">
        <f t="shared" ref="Q35:Q40" si="13">B35</f>
        <v>宗地形状</v>
      </c>
      <c r="R35" s="665" t="s">
        <v>14</v>
      </c>
      <c r="S35" s="666">
        <f t="shared" si="9"/>
        <v>100</v>
      </c>
      <c r="T35" s="665" t="s">
        <v>14</v>
      </c>
      <c r="U35" s="666">
        <f t="shared" si="10"/>
        <v>100</v>
      </c>
      <c r="V35" s="665" t="s">
        <v>14</v>
      </c>
      <c r="W35" s="666">
        <f t="shared" si="11"/>
        <v>100</v>
      </c>
      <c r="X35" s="1262"/>
      <c r="Y35" s="3577"/>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77"/>
      <c r="Q36" s="1260" t="str">
        <f t="shared" si="13"/>
        <v>宗地开发程度</v>
      </c>
      <c r="R36" s="662" t="s">
        <v>14</v>
      </c>
      <c r="S36" s="663">
        <f t="shared" si="9"/>
        <v>100</v>
      </c>
      <c r="T36" s="662" t="s">
        <v>14</v>
      </c>
      <c r="U36" s="663">
        <f t="shared" si="10"/>
        <v>100</v>
      </c>
      <c r="V36" s="662" t="s">
        <v>14</v>
      </c>
      <c r="W36" s="663">
        <f t="shared" si="11"/>
        <v>100</v>
      </c>
      <c r="X36" s="664"/>
      <c r="Y36" s="3577"/>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77" t="s">
        <v>1696</v>
      </c>
      <c r="Q37" s="1260" t="str">
        <f t="shared" si="13"/>
        <v>工程地质条件</v>
      </c>
      <c r="R37" s="665" t="s">
        <v>14</v>
      </c>
      <c r="S37" s="666">
        <f t="shared" si="9"/>
        <v>100</v>
      </c>
      <c r="T37" s="665" t="s">
        <v>14</v>
      </c>
      <c r="U37" s="666">
        <f t="shared" si="10"/>
        <v>100</v>
      </c>
      <c r="V37" s="665" t="s">
        <v>14</v>
      </c>
      <c r="W37" s="666">
        <f t="shared" si="11"/>
        <v>100</v>
      </c>
      <c r="X37" s="1262"/>
      <c r="Y37" s="3577"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77"/>
      <c r="Q38" s="1260">
        <f t="shared" si="13"/>
        <v>111</v>
      </c>
      <c r="R38" s="665" t="s">
        <v>14</v>
      </c>
      <c r="S38" s="666">
        <f t="shared" si="9"/>
        <v>100</v>
      </c>
      <c r="T38" s="665" t="s">
        <v>14</v>
      </c>
      <c r="U38" s="666">
        <f t="shared" si="10"/>
        <v>100</v>
      </c>
      <c r="V38" s="665" t="s">
        <v>14</v>
      </c>
      <c r="W38" s="666">
        <f t="shared" si="11"/>
        <v>100</v>
      </c>
      <c r="X38" s="1262"/>
      <c r="Y38" s="3577"/>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77"/>
      <c r="Q39" s="1260">
        <f t="shared" si="13"/>
        <v>111</v>
      </c>
      <c r="R39" s="665" t="s">
        <v>14</v>
      </c>
      <c r="S39" s="666">
        <f t="shared" si="9"/>
        <v>100</v>
      </c>
      <c r="T39" s="665" t="s">
        <v>14</v>
      </c>
      <c r="U39" s="666">
        <f t="shared" si="10"/>
        <v>100</v>
      </c>
      <c r="V39" s="665" t="s">
        <v>14</v>
      </c>
      <c r="W39" s="666">
        <f t="shared" si="11"/>
        <v>100</v>
      </c>
      <c r="X39" s="1262"/>
      <c r="Y39" s="3577"/>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77"/>
      <c r="Q40" s="1260">
        <f t="shared" si="13"/>
        <v>111</v>
      </c>
      <c r="R40" s="667" t="s">
        <v>14</v>
      </c>
      <c r="S40" s="668">
        <f t="shared" si="9"/>
        <v>100</v>
      </c>
      <c r="T40" s="667" t="s">
        <v>14</v>
      </c>
      <c r="U40" s="668">
        <f t="shared" si="10"/>
        <v>100</v>
      </c>
      <c r="V40" s="667" t="s">
        <v>14</v>
      </c>
      <c r="W40" s="668">
        <f t="shared" si="11"/>
        <v>100</v>
      </c>
      <c r="X40" s="669"/>
      <c r="Y40" s="3577"/>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70" t="str">
        <f>A41</f>
        <v>成交单价</v>
      </c>
      <c r="Q41" s="3570"/>
      <c r="R41" s="3571">
        <f>E41</f>
        <v>0</v>
      </c>
      <c r="S41" s="3571"/>
      <c r="T41" s="3571">
        <f>G41</f>
        <v>0</v>
      </c>
      <c r="U41" s="3571"/>
      <c r="V41" s="3571">
        <f>I41</f>
        <v>0</v>
      </c>
      <c r="W41" s="3571"/>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70" t="str">
        <f>A42</f>
        <v>比较价值（元/平方米）</v>
      </c>
      <c r="Q42" s="3570"/>
      <c r="R42" s="3631" t="e">
        <f>ROUND(PRODUCT(R41,AA7:AA40),0)</f>
        <v>#DIV/0!</v>
      </c>
      <c r="S42" s="3631"/>
      <c r="T42" s="3631" t="e">
        <f>ROUND(PRODUCT(T41,AB7:AB40),0)</f>
        <v>#DIV/0!</v>
      </c>
      <c r="U42" s="3631"/>
      <c r="V42" s="3631" t="e">
        <f>ROUND(PRODUCT(V41,AC7:AC40),0)</f>
        <v>#DIV/0!</v>
      </c>
      <c r="W42" s="3631"/>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67" t="str">
        <f>A43</f>
        <v>估价对象XX用房的比较价值（楼面单价，元/平方米）</v>
      </c>
      <c r="Q43" s="3568"/>
      <c r="R43" s="3632" t="e">
        <f>ROUND(IF(D42="简单平均",AVERAGE(R42:W42),R42*F42+T42*H42+V42*J42),0)</f>
        <v>#DIV/0!</v>
      </c>
      <c r="S43" s="3632"/>
      <c r="T43" s="3632"/>
      <c r="U43" s="3632"/>
      <c r="V43" s="3632"/>
      <c r="W43" s="3632"/>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85" t="s">
        <v>1883</v>
      </c>
      <c r="H50" s="3633"/>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120.79</v>
      </c>
      <c r="F51" s="609" t="e">
        <f t="shared" ref="F51:F60" si="14">ROUND(B51*E51/10000,0)</f>
        <v>#DIV/0!</v>
      </c>
      <c r="G51" s="3581"/>
      <c r="H51" s="3570"/>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2004-1-1</v>
      </c>
      <c r="D63" s="654">
        <f>EDATE(C63,-3)</f>
        <v>37895</v>
      </c>
      <c r="E63" s="654">
        <f>EDATE(D63,-3)</f>
        <v>37803</v>
      </c>
      <c r="F63" s="654">
        <f t="shared" ref="F63:O63" si="17">EDATE(E63,-3)</f>
        <v>37712</v>
      </c>
      <c r="G63" s="654">
        <f t="shared" si="17"/>
        <v>37622</v>
      </c>
      <c r="H63" s="654">
        <f t="shared" si="17"/>
        <v>37530</v>
      </c>
      <c r="I63" s="654">
        <f t="shared" si="17"/>
        <v>37438</v>
      </c>
      <c r="J63" s="654">
        <f t="shared" si="17"/>
        <v>37347</v>
      </c>
      <c r="K63" s="654">
        <f t="shared" si="17"/>
        <v>37257</v>
      </c>
      <c r="L63" s="654">
        <f t="shared" si="17"/>
        <v>37165</v>
      </c>
      <c r="M63" s="654">
        <f t="shared" si="17"/>
        <v>37073</v>
      </c>
      <c r="N63" s="654">
        <f t="shared" si="17"/>
        <v>36982</v>
      </c>
      <c r="O63" s="654">
        <f t="shared" si="17"/>
        <v>36892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2004-1</v>
      </c>
      <c r="D65" s="1098" t="str">
        <f t="shared" ref="D65:O65" si="18">YEAR(D63)&amp;"-"&amp;ROUNDUP(MONTH(D63)/3,0)</f>
        <v>2003-4</v>
      </c>
      <c r="E65" s="1098" t="str">
        <f t="shared" si="18"/>
        <v>2003-3</v>
      </c>
      <c r="F65" s="1098" t="str">
        <f t="shared" si="18"/>
        <v>2003-2</v>
      </c>
      <c r="G65" s="1098" t="str">
        <f t="shared" si="18"/>
        <v>2003-1</v>
      </c>
      <c r="H65" s="1098" t="str">
        <f t="shared" si="18"/>
        <v>2002-4</v>
      </c>
      <c r="I65" s="1098" t="str">
        <f t="shared" si="18"/>
        <v>2002-3</v>
      </c>
      <c r="J65" s="1098" t="str">
        <f t="shared" si="18"/>
        <v>2002-2</v>
      </c>
      <c r="K65" s="1098" t="str">
        <f t="shared" si="18"/>
        <v>2002-1</v>
      </c>
      <c r="L65" s="1098" t="str">
        <f t="shared" si="18"/>
        <v>2001-4</v>
      </c>
      <c r="M65" s="1098" t="str">
        <f t="shared" si="18"/>
        <v>2001-3</v>
      </c>
      <c r="N65" s="1098" t="str">
        <f t="shared" si="18"/>
        <v>2001-2</v>
      </c>
      <c r="O65" s="1098" t="str">
        <f t="shared" si="18"/>
        <v>2001-1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41" t="s">
        <v>2080</v>
      </c>
      <c r="D1" s="3642"/>
      <c r="E1" s="3642"/>
      <c r="F1" s="3642"/>
      <c r="G1" s="3642"/>
      <c r="H1" s="3642"/>
      <c r="I1" s="3642"/>
      <c r="J1" s="3642"/>
      <c r="K1" s="3642"/>
      <c r="L1" s="3642"/>
      <c r="M1" s="3642"/>
      <c r="N1" s="3642"/>
      <c r="O1" s="3642"/>
      <c r="P1" s="3642"/>
      <c r="Q1" s="3642"/>
      <c r="R1" s="3642"/>
      <c r="S1" s="3643"/>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38" t="s">
        <v>27</v>
      </c>
      <c r="D22" s="3639"/>
      <c r="E22" s="3639"/>
      <c r="F22" s="3639"/>
      <c r="G22" s="3639"/>
      <c r="H22" s="3639"/>
      <c r="I22" s="3639"/>
      <c r="J22" s="3639"/>
      <c r="K22" s="3639"/>
      <c r="L22" s="3639"/>
      <c r="M22" s="3639"/>
      <c r="N22" s="3639"/>
      <c r="O22" s="3639"/>
      <c r="P22" s="3639"/>
      <c r="Q22" s="3640"/>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120.79</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120.79</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K22" sqref="K22"/>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61.889200000000002</v>
      </c>
      <c r="C2" s="189" t="s">
        <v>1463</v>
      </c>
      <c r="D2" s="1708" t="s">
        <v>43</v>
      </c>
      <c r="E2" s="1087">
        <f ca="1">SUMIF(INDIRECT("'"&amp;G2&amp;"'"&amp;"!A:A"),"承租人权益价值",INDIRECT("'"&amp;G2&amp;"'"&amp;"!c:c"))</f>
        <v>0</v>
      </c>
      <c r="F2" s="1709" t="s">
        <v>1463</v>
      </c>
      <c r="G2" s="1710" t="s">
        <v>3473</v>
      </c>
    </row>
    <row r="3" spans="1:8" s="190" customFormat="1" ht="18" customHeight="1" thickBot="1">
      <c r="A3" s="193" t="s">
        <v>1464</v>
      </c>
      <c r="B3" s="194">
        <f ca="1">ROUND(B2*10000/(IF(B1="",'数据-汇总表'!E3,INDIRECT("'数据-取费表'!k"&amp;$G$1))),0)</f>
        <v>5124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C6+C7+C8</f>
        <v>192437</v>
      </c>
      <c r="D5" s="201" t="s">
        <v>1469</v>
      </c>
      <c r="E5" s="202" t="s">
        <v>1470</v>
      </c>
      <c r="F5" s="202" t="s">
        <v>1471</v>
      </c>
      <c r="G5" s="203"/>
    </row>
    <row r="6" spans="1:8" s="204" customFormat="1" ht="13.5" customHeight="1">
      <c r="A6" s="730" t="s">
        <v>1472</v>
      </c>
      <c r="B6" s="205" t="s">
        <v>1473</v>
      </c>
      <c r="C6" s="206">
        <f>'[2]2002基准地价'!$E$18</f>
        <v>186741</v>
      </c>
      <c r="D6" s="207"/>
      <c r="E6" s="208"/>
      <c r="F6" s="208"/>
      <c r="G6" s="209"/>
    </row>
    <row r="7" spans="1:8" s="204" customFormat="1" ht="13.5" customHeight="1">
      <c r="A7" s="730" t="s">
        <v>1474</v>
      </c>
      <c r="B7" s="205" t="s">
        <v>1475</v>
      </c>
      <c r="C7" s="210">
        <f>ROUND(C6*F7,0)</f>
        <v>5696</v>
      </c>
      <c r="D7" s="210"/>
      <c r="E7" s="208"/>
      <c r="F7" s="211">
        <f>IF(项目基本情况!B8="出让",0,'数据-取费表'!B48+'数据-取费表'!B49)</f>
        <v>3.0499999999999999E-2</v>
      </c>
      <c r="G7" s="209"/>
    </row>
    <row r="8" spans="1:8" s="213" customFormat="1">
      <c r="A8" s="730" t="s">
        <v>1476</v>
      </c>
      <c r="B8" s="205" t="s">
        <v>1477</v>
      </c>
      <c r="C8" s="210">
        <f>IF(G8="已包含在土地购买价格中",0,C9+C10)</f>
        <v>0</v>
      </c>
      <c r="D8" s="212"/>
      <c r="E8" s="210"/>
      <c r="F8" s="211"/>
      <c r="G8" s="1711" t="s">
        <v>451</v>
      </c>
    </row>
    <row r="9" spans="1:8" s="204" customFormat="1" ht="13.5" customHeight="1">
      <c r="A9" s="731" t="s">
        <v>355</v>
      </c>
      <c r="B9" s="214" t="s">
        <v>1478</v>
      </c>
      <c r="C9" s="215">
        <f ca="1">ROUND(D9*E9,0)</f>
        <v>19326</v>
      </c>
      <c r="D9" s="793">
        <f ca="1">IF(B1="",'数据-汇总表'!E5,IF(INDIRECT("'数据-取费表'!c"&amp;$G$1)="住宅",INDIRECT("'数据-取费表'!k"&amp;$G$1),0))</f>
        <v>120.79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120.79</v>
      </c>
      <c r="E19" s="201">
        <f>'数据-取费表'!B31</f>
        <v>200</v>
      </c>
      <c r="F19" s="221"/>
      <c r="G19" s="1711" t="s">
        <v>3406</v>
      </c>
    </row>
    <row r="20" spans="1:7" s="204" customFormat="1" ht="13.5" customHeight="1">
      <c r="A20" s="245" t="s">
        <v>1574</v>
      </c>
      <c r="B20" s="200" t="s">
        <v>1575</v>
      </c>
      <c r="C20" s="222">
        <f>ROUND((C5+C19)*F20,0)</f>
        <v>3849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21921</v>
      </c>
      <c r="D22" s="225">
        <f ca="1">C26</f>
        <v>1.1000000000000001E-3</v>
      </c>
      <c r="E22" s="226" t="s">
        <v>1579</v>
      </c>
      <c r="F22" s="227">
        <f ca="1">'数据-取费表'!B40</f>
        <v>5.4900000000000004E-2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21710</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211</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29443</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29443</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268922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262235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217422</v>
      </c>
      <c r="D34" s="207"/>
      <c r="E34" s="210"/>
      <c r="F34" s="247"/>
      <c r="G34" s="209"/>
    </row>
    <row r="35" spans="1:7" ht="13.5" customHeight="1">
      <c r="A35" s="732" t="s">
        <v>351</v>
      </c>
      <c r="B35" s="205" t="s">
        <v>1527</v>
      </c>
      <c r="C35" s="210">
        <f ca="1">ROUND(C34*F35,0)</f>
        <v>6523</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10871</v>
      </c>
      <c r="D36" s="210"/>
      <c r="E36" s="210"/>
      <c r="F36" s="249">
        <f>'数据-取费表'!B34</f>
        <v>0.05</v>
      </c>
      <c r="G36" s="250" t="s">
        <v>1530</v>
      </c>
    </row>
    <row r="37" spans="1:7" s="248" customFormat="1" ht="13.5" customHeight="1">
      <c r="A37" s="732" t="s">
        <v>353</v>
      </c>
      <c r="B37" s="205" t="s">
        <v>1531</v>
      </c>
      <c r="C37" s="239">
        <f ca="1">ROUND(E37*D37,0)</f>
        <v>24158</v>
      </c>
      <c r="D37" s="207">
        <f ca="1">D19</f>
        <v>120.79</v>
      </c>
      <c r="E37" s="239">
        <f>'数据-取费表'!B35</f>
        <v>200</v>
      </c>
      <c r="F37" s="249"/>
      <c r="G37" s="251"/>
    </row>
    <row r="38" spans="1:7" ht="13.5" customHeight="1">
      <c r="A38" s="732" t="s">
        <v>354</v>
      </c>
      <c r="B38" s="205" t="s">
        <v>1533</v>
      </c>
      <c r="C38" s="210">
        <f ca="1">ROUND(C34*F38,0)</f>
        <v>3261</v>
      </c>
      <c r="D38" s="210"/>
      <c r="E38" s="210"/>
      <c r="F38" s="249">
        <f>'数据-取费表'!B36</f>
        <v>1.4999999999999999E-2</v>
      </c>
      <c r="G38" s="209" t="s">
        <v>1528</v>
      </c>
    </row>
    <row r="39" spans="1:7" s="204" customFormat="1" ht="13.5" customHeight="1">
      <c r="A39" s="245" t="s">
        <v>1534</v>
      </c>
      <c r="B39" s="200" t="s">
        <v>1535</v>
      </c>
      <c r="C39" s="222">
        <f ca="1">ROUND(C33*F20,0)</f>
        <v>5245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14685</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14397</v>
      </c>
      <c r="D42" s="228"/>
      <c r="E42" s="228"/>
      <c r="F42" s="229"/>
      <c r="G42" s="3538" t="s">
        <v>1591</v>
      </c>
    </row>
    <row r="43" spans="1:7" ht="13.5" customHeight="1">
      <c r="A43" s="732" t="s">
        <v>347</v>
      </c>
      <c r="B43" s="205" t="s">
        <v>1545</v>
      </c>
      <c r="C43" s="228">
        <f ca="1">ROUND(IF('数据-取费表'!B22&lt;=1,C39*F22*'数据-取费表'!B20/2,C39*(POWER((1+F22),'数据-取费表'!B20/2)-1)),0)</f>
        <v>288</v>
      </c>
      <c r="D43" s="228"/>
      <c r="E43" s="228"/>
      <c r="F43" s="229"/>
      <c r="G43" s="3539"/>
    </row>
    <row r="44" spans="1:7" ht="13.5" customHeight="1">
      <c r="A44" s="732" t="s">
        <v>348</v>
      </c>
      <c r="B44" s="205" t="s">
        <v>1546</v>
      </c>
      <c r="C44" s="228">
        <f ca="1">ROUND(IF('数据-取费表'!B22&lt;=1,C40*F22*'数据-取费表'!B20/2,C40*(POWER((1+F22),'数据-取费表'!B20/2)-1)),4)</f>
        <v>1.1000000000000001E-3</v>
      </c>
      <c r="D44" s="228"/>
      <c r="E44" s="228"/>
      <c r="F44" s="229"/>
      <c r="G44" s="3540"/>
    </row>
    <row r="45" spans="1:7" s="204" customFormat="1" ht="13.5" customHeight="1">
      <c r="A45" s="245" t="s">
        <v>1547</v>
      </c>
      <c r="B45" s="234" t="s">
        <v>1513</v>
      </c>
      <c r="C45" s="235">
        <f ca="1">C46</f>
        <v>40122</v>
      </c>
      <c r="D45" s="225">
        <f ca="1">C47</f>
        <v>3.0000000000000001E-3</v>
      </c>
      <c r="E45" s="226" t="s">
        <v>1539</v>
      </c>
      <c r="F45" s="236">
        <f ca="1">F27</f>
        <v>0.15</v>
      </c>
      <c r="G45" s="237" t="s">
        <v>1548</v>
      </c>
    </row>
    <row r="46" spans="1:7" s="204" customFormat="1" ht="13.5" customHeight="1">
      <c r="A46" s="732" t="s">
        <v>346</v>
      </c>
      <c r="B46" s="238" t="s">
        <v>1549</v>
      </c>
      <c r="C46" s="239">
        <f ca="1">ROUND((C33+C39)*F27,0)</f>
        <v>40122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349970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349970</v>
      </c>
      <c r="D51" s="222"/>
      <c r="E51" s="222"/>
      <c r="F51" s="254"/>
      <c r="G51" s="224" t="s">
        <v>1560</v>
      </c>
    </row>
    <row r="52" spans="1:7" s="198" customFormat="1" ht="16.5" thickBot="1">
      <c r="A52" s="255" t="s">
        <v>1561</v>
      </c>
      <c r="B52" s="256"/>
      <c r="C52" s="257">
        <f ca="1">C31+C51</f>
        <v>618892</v>
      </c>
      <c r="D52" s="256"/>
      <c r="E52" s="256"/>
      <c r="F52" s="256"/>
      <c r="G52" s="258"/>
    </row>
    <row r="55" spans="1:7" ht="15">
      <c r="B55" s="260" t="s">
        <v>1562</v>
      </c>
      <c r="C55" s="261"/>
    </row>
    <row r="56" spans="1:7">
      <c r="B56" s="263" t="s">
        <v>802</v>
      </c>
      <c r="C56" s="265">
        <f ca="1">1-C57</f>
        <v>0.43500000000000005</v>
      </c>
    </row>
    <row r="57" spans="1:7">
      <c r="B57" s="263" t="s">
        <v>803</v>
      </c>
      <c r="C57" s="264">
        <f ca="1">ROUND(C51/C52,3)</f>
        <v>0.56499999999999995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38017</v>
      </c>
      <c r="D1" s="1214" t="s">
        <v>603</v>
      </c>
      <c r="E1" s="1209">
        <f>'数据-取费表'!B22</f>
        <v>2</v>
      </c>
      <c r="F1" s="1214" t="s">
        <v>604</v>
      </c>
      <c r="G1" s="1210">
        <f ca="1">INDIRECT("d"&amp;$K$1)/100</f>
        <v>5.4900000000000004E-2</v>
      </c>
      <c r="H1" s="1214" t="s">
        <v>634</v>
      </c>
      <c r="I1" s="1210">
        <f ca="1">F4/100</f>
        <v>1.9799999999999998E-2</v>
      </c>
      <c r="J1" s="1215">
        <f>IF(C1&gt;C13,0,MATCH(C1,C$13:C$109,-1))+IF(SUMIF(C13:C109,C1,D13:D109)=0,13,12)</f>
        <v>51</v>
      </c>
      <c r="K1" s="1215">
        <f>MATCH(E1,C3:C7,1)+IF(SUMIF(C3:C7,E1,D3:D7)=0,2,1)</f>
        <v>5</v>
      </c>
      <c r="L1" s="1215">
        <f>IF(C1&gt;M13,0,MATCH(C1,M$13:M$100,-1))+IF(SUMIF(M13:M100,C1,N13:N100)=0,13,12)</f>
        <v>39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5.04</v>
      </c>
      <c r="E3" s="1160">
        <v>0.5</v>
      </c>
      <c r="F3" s="1161">
        <f ca="1">INDIRECT("p"&amp;$L$1)</f>
        <v>1.89</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1.98</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5.49</v>
      </c>
      <c r="E5" s="1166">
        <v>2</v>
      </c>
      <c r="F5" s="1167">
        <f ca="1">INDIRECT("r"&amp;$L$1)</f>
        <v>2.25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5.58</v>
      </c>
      <c r="E6" s="1166">
        <v>3</v>
      </c>
      <c r="F6" s="1167">
        <f ca="1">INDIRECT("s"&amp;$L$1)</f>
        <v>2.52</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5.76</v>
      </c>
      <c r="E7" s="1171">
        <v>5</v>
      </c>
      <c r="F7" s="1172">
        <f ca="1">INDIRECT("t"&amp;$L$1)</f>
        <v>2.79</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120"/>
  <sheetViews>
    <sheetView topLeftCell="A40" zoomScaleNormal="100" workbookViewId="0">
      <selection activeCell="A121" sqref="A121:XFD123"/>
    </sheetView>
  </sheetViews>
  <sheetFormatPr defaultColWidth="9" defaultRowHeight="13.5"/>
  <cols>
    <col min="1" max="1" width="14.5" style="3141" customWidth="1"/>
    <col min="2" max="2" width="33" style="3141" customWidth="1"/>
    <col min="3" max="3" width="14.375" style="3141" customWidth="1"/>
    <col min="4" max="5" width="9.5" style="3141" bestFit="1" customWidth="1"/>
    <col min="6" max="6" width="28.75" style="3141" customWidth="1"/>
    <col min="7" max="10" width="9.5" style="3141" bestFit="1" customWidth="1"/>
    <col min="11" max="11" width="11" style="3141" customWidth="1"/>
    <col min="12" max="12" width="11.75" style="3141" bestFit="1" customWidth="1"/>
    <col min="13" max="13" width="6.875" style="3141" customWidth="1"/>
    <col min="14" max="16" width="9" style="3141"/>
    <col min="17" max="17" width="15.5" style="3141" customWidth="1"/>
    <col min="18" max="18" width="9.125" style="3141" bestFit="1" customWidth="1"/>
    <col min="19" max="19" width="10.625" style="3141" bestFit="1" customWidth="1"/>
    <col min="20" max="20" width="15" style="3141" bestFit="1" customWidth="1"/>
    <col min="21" max="21" width="10.625" style="3141" bestFit="1" customWidth="1"/>
    <col min="22" max="23" width="9.125" style="3141" bestFit="1" customWidth="1"/>
    <col min="24" max="24" width="14.625" style="3141" customWidth="1"/>
    <col min="25" max="28" width="9.125" style="3141" bestFit="1" customWidth="1"/>
    <col min="29" max="33" width="9" style="3141"/>
    <col min="34" max="34" width="10.5" style="3141" bestFit="1" customWidth="1"/>
    <col min="35" max="35" width="9" style="3141"/>
    <col min="36" max="36" width="13.75" style="3141" bestFit="1" customWidth="1"/>
    <col min="37" max="38" width="9.125" style="3141" bestFit="1" customWidth="1"/>
    <col min="39" max="55" width="9" style="3141"/>
    <col min="56" max="58" width="9.125" style="3141" bestFit="1" customWidth="1"/>
    <col min="59" max="59" width="13.75" style="3141" bestFit="1" customWidth="1"/>
    <col min="60" max="61" width="9" style="3141"/>
    <col min="62" max="62" width="13.75" style="3141" bestFit="1" customWidth="1"/>
    <col min="63" max="68" width="9" style="3141"/>
    <col min="69" max="70" width="9.125" style="3141" bestFit="1" customWidth="1"/>
    <col min="71" max="16384" width="9" style="3141"/>
  </cols>
  <sheetData>
    <row r="1" spans="1:73">
      <c r="B1" s="1445" t="s">
        <v>3375</v>
      </c>
      <c r="C1" s="1445" t="s">
        <v>669</v>
      </c>
      <c r="D1" s="1445" t="s">
        <v>3376</v>
      </c>
      <c r="E1" s="1445" t="s">
        <v>3377</v>
      </c>
      <c r="F1" s="1445" t="s">
        <v>3436</v>
      </c>
      <c r="G1" s="1445" t="s">
        <v>3378</v>
      </c>
      <c r="H1" s="1445" t="s">
        <v>3379</v>
      </c>
      <c r="I1" s="1445" t="s">
        <v>3380</v>
      </c>
      <c r="J1" s="1445" t="s">
        <v>3381</v>
      </c>
      <c r="K1" s="1445" t="s">
        <v>3382</v>
      </c>
      <c r="L1" s="1445" t="s">
        <v>3383</v>
      </c>
      <c r="M1" s="1445" t="s">
        <v>3388</v>
      </c>
      <c r="N1" s="1445" t="s">
        <v>3389</v>
      </c>
      <c r="O1" s="1445" t="s">
        <v>3416</v>
      </c>
      <c r="P1" s="1445" t="s">
        <v>3458</v>
      </c>
      <c r="AD1" s="1445" t="s">
        <v>3470</v>
      </c>
    </row>
    <row r="2" spans="1:73" ht="24.75" customHeight="1">
      <c r="A2" s="3146">
        <v>1</v>
      </c>
      <c r="B2" s="1445" t="s">
        <v>3858</v>
      </c>
      <c r="C2" s="1445" t="s">
        <v>3859</v>
      </c>
      <c r="D2" s="1445" t="s">
        <v>3415</v>
      </c>
      <c r="E2" s="3333">
        <f>L25</f>
        <v>130.66</v>
      </c>
      <c r="F2" s="3174" t="str">
        <f>N25</f>
        <v>三室二厅二卫一厨</v>
      </c>
      <c r="G2" s="1445">
        <v>14</v>
      </c>
      <c r="H2" s="3141">
        <v>8</v>
      </c>
      <c r="I2" s="1445">
        <v>2004</v>
      </c>
      <c r="J2" s="3333">
        <f>R25</f>
        <v>4240</v>
      </c>
      <c r="K2" s="3334">
        <f>U25</f>
        <v>4190</v>
      </c>
      <c r="L2" s="3151">
        <f>BG25</f>
        <v>37976</v>
      </c>
      <c r="M2" s="3174" t="s">
        <v>3418</v>
      </c>
      <c r="N2" s="3174" t="s">
        <v>3825</v>
      </c>
      <c r="O2" s="1445" t="s">
        <v>3823</v>
      </c>
      <c r="P2" s="1445" t="s">
        <v>3459</v>
      </c>
    </row>
    <row r="3" spans="1:73" ht="34.5" customHeight="1">
      <c r="A3" s="3137">
        <v>2</v>
      </c>
      <c r="B3" s="1445" t="s">
        <v>3914</v>
      </c>
      <c r="C3" s="1445" t="s">
        <v>3913</v>
      </c>
      <c r="D3" s="1445" t="s">
        <v>3415</v>
      </c>
      <c r="E3" s="3333">
        <f>L26</f>
        <v>138.94</v>
      </c>
      <c r="F3" s="3174" t="str">
        <f>N26</f>
        <v>三室二厅二卫一厨</v>
      </c>
      <c r="G3" s="1445">
        <v>9</v>
      </c>
      <c r="H3" s="3141">
        <v>4</v>
      </c>
      <c r="I3" s="1445">
        <v>2004</v>
      </c>
      <c r="J3" s="3333">
        <v>4145</v>
      </c>
      <c r="K3" s="3335">
        <f>U26</f>
        <v>4096</v>
      </c>
      <c r="L3" s="3151">
        <f>BG26</f>
        <v>37959</v>
      </c>
      <c r="M3" s="3174" t="s">
        <v>3418</v>
      </c>
      <c r="N3" s="3174" t="s">
        <v>3825</v>
      </c>
      <c r="O3" s="1445" t="s">
        <v>3823</v>
      </c>
      <c r="P3" s="1445" t="s">
        <v>3459</v>
      </c>
    </row>
    <row r="4" spans="1:73">
      <c r="A4" s="3141">
        <v>3</v>
      </c>
      <c r="B4" s="1445" t="s">
        <v>3822</v>
      </c>
      <c r="C4" s="1445" t="s">
        <v>3696</v>
      </c>
      <c r="D4" s="1445" t="s">
        <v>3415</v>
      </c>
      <c r="E4" s="3333">
        <f>L24</f>
        <v>95.71</v>
      </c>
      <c r="F4" s="3174" t="str">
        <f>N24</f>
        <v>二室一厅一卫一厨</v>
      </c>
      <c r="G4" s="1445">
        <v>18</v>
      </c>
      <c r="H4" s="3141">
        <v>15</v>
      </c>
      <c r="I4" s="1445">
        <v>2004</v>
      </c>
      <c r="J4" s="3333">
        <f>R24</f>
        <v>4343</v>
      </c>
      <c r="K4" s="3335">
        <f>U24</f>
        <v>4294</v>
      </c>
      <c r="L4" s="3151">
        <f>BG24</f>
        <v>37992</v>
      </c>
      <c r="M4" s="3174" t="s">
        <v>3419</v>
      </c>
      <c r="N4" s="3174" t="s">
        <v>3825</v>
      </c>
      <c r="O4" s="1445" t="s">
        <v>3823</v>
      </c>
      <c r="P4" s="1445" t="s">
        <v>3459</v>
      </c>
    </row>
    <row r="6" spans="1:73">
      <c r="A6" s="3146"/>
    </row>
    <row r="7" spans="1:73" ht="43.5" customHeight="1">
      <c r="A7" s="3137"/>
    </row>
    <row r="10" spans="1:73" s="3192" customFormat="1" ht="12">
      <c r="A10" s="3193"/>
      <c r="B10" s="3194"/>
      <c r="C10" s="3193"/>
      <c r="D10" s="3193"/>
      <c r="E10" s="3193"/>
      <c r="F10" s="3193"/>
      <c r="G10" s="3193"/>
      <c r="H10" s="3193"/>
      <c r="I10" s="3193"/>
      <c r="J10" s="3193"/>
      <c r="K10" s="3194"/>
      <c r="L10" s="3195"/>
      <c r="M10" s="3194"/>
      <c r="N10" s="3194"/>
      <c r="O10" s="3194"/>
      <c r="P10" s="3194"/>
      <c r="Q10" s="3196"/>
      <c r="R10" s="3195"/>
      <c r="S10" s="3195"/>
      <c r="T10" s="3197"/>
      <c r="U10" s="3196"/>
      <c r="V10" s="3194" t="s">
        <v>3481</v>
      </c>
      <c r="W10" s="3194"/>
      <c r="X10" s="3197"/>
      <c r="Y10" s="3194"/>
      <c r="Z10" s="3194" t="s">
        <v>3482</v>
      </c>
      <c r="AA10" s="3194"/>
      <c r="AB10" s="3194"/>
      <c r="AC10" s="3194"/>
      <c r="AD10" s="3194"/>
      <c r="AE10" s="3194"/>
      <c r="AF10" s="3194"/>
      <c r="AG10" s="3194"/>
      <c r="AH10" s="3194"/>
      <c r="AI10" s="3194"/>
      <c r="AJ10" s="3198"/>
      <c r="AK10" s="3194"/>
      <c r="AL10" s="3644" t="s">
        <v>3483</v>
      </c>
      <c r="AM10" s="3645"/>
      <c r="AN10" s="3199" t="s">
        <v>3484</v>
      </c>
      <c r="AO10" s="3199" t="s">
        <v>3485</v>
      </c>
      <c r="AP10" s="3199"/>
      <c r="AQ10" s="3199"/>
      <c r="AR10" s="3200"/>
      <c r="AS10" s="3200" t="s">
        <v>3486</v>
      </c>
      <c r="AT10" s="3200"/>
      <c r="AU10" s="3200"/>
      <c r="AV10" s="3199"/>
      <c r="AW10" s="3201"/>
      <c r="AX10" s="3201"/>
      <c r="AY10" s="3202"/>
      <c r="AZ10" s="3201"/>
      <c r="BA10" s="3201"/>
      <c r="BB10" s="3202"/>
      <c r="BC10" s="3201"/>
      <c r="BD10" s="3203"/>
      <c r="BE10" s="3201"/>
      <c r="BF10" s="3204"/>
      <c r="BG10" s="3205"/>
      <c r="BH10" s="3201"/>
      <c r="BI10" s="3201"/>
      <c r="BJ10" s="3206" t="s">
        <v>3487</v>
      </c>
      <c r="BK10" s="3206" t="s">
        <v>3488</v>
      </c>
      <c r="BL10" s="3194"/>
      <c r="BM10" s="3207"/>
      <c r="BN10" s="3207"/>
      <c r="BO10" s="3207"/>
      <c r="BP10" s="3207"/>
      <c r="BQ10" s="3200"/>
      <c r="BR10" s="3200"/>
    </row>
    <row r="11" spans="1:73" s="3208" customFormat="1" ht="12">
      <c r="A11" s="3209" t="s">
        <v>3489</v>
      </c>
      <c r="B11" s="3199" t="s">
        <v>3490</v>
      </c>
      <c r="C11" s="3209" t="s">
        <v>3491</v>
      </c>
      <c r="D11" s="3209" t="s">
        <v>3492</v>
      </c>
      <c r="E11" s="3209" t="s">
        <v>3493</v>
      </c>
      <c r="F11" s="3209" t="s">
        <v>3494</v>
      </c>
      <c r="G11" s="3209" t="s">
        <v>3495</v>
      </c>
      <c r="H11" s="3209" t="s">
        <v>3496</v>
      </c>
      <c r="I11" s="3209" t="s">
        <v>3497</v>
      </c>
      <c r="J11" s="3209" t="s">
        <v>3498</v>
      </c>
      <c r="K11" s="3199" t="s">
        <v>3499</v>
      </c>
      <c r="L11" s="3210" t="s">
        <v>3500</v>
      </c>
      <c r="M11" s="3199" t="s">
        <v>3501</v>
      </c>
      <c r="N11" s="3199" t="s">
        <v>3502</v>
      </c>
      <c r="O11" s="3199" t="s">
        <v>3503</v>
      </c>
      <c r="P11" s="3199" t="s">
        <v>3504</v>
      </c>
      <c r="Q11" s="3211" t="s">
        <v>3505</v>
      </c>
      <c r="R11" s="3210" t="s">
        <v>3506</v>
      </c>
      <c r="S11" s="3210" t="s">
        <v>3507</v>
      </c>
      <c r="T11" s="3212" t="s">
        <v>3508</v>
      </c>
      <c r="U11" s="3211" t="s">
        <v>3509</v>
      </c>
      <c r="V11" s="3199" t="s">
        <v>3510</v>
      </c>
      <c r="W11" s="3199" t="s">
        <v>3511</v>
      </c>
      <c r="X11" s="3212" t="s">
        <v>3512</v>
      </c>
      <c r="Y11" s="3199" t="s">
        <v>3513</v>
      </c>
      <c r="Z11" s="3199" t="s">
        <v>3514</v>
      </c>
      <c r="AA11" s="3199" t="s">
        <v>3515</v>
      </c>
      <c r="AB11" s="3199" t="s">
        <v>3516</v>
      </c>
      <c r="AC11" s="3199" t="s">
        <v>3517</v>
      </c>
      <c r="AD11" s="3199" t="s">
        <v>3518</v>
      </c>
      <c r="AE11" s="3199" t="s">
        <v>3519</v>
      </c>
      <c r="AF11" s="3199" t="s">
        <v>3520</v>
      </c>
      <c r="AG11" s="3199" t="s">
        <v>3521</v>
      </c>
      <c r="AH11" s="3199" t="s">
        <v>3522</v>
      </c>
      <c r="AI11" s="3199" t="s">
        <v>3523</v>
      </c>
      <c r="AJ11" s="3213" t="s">
        <v>3524</v>
      </c>
      <c r="AK11" s="3199" t="s">
        <v>3525</v>
      </c>
      <c r="AL11" s="3199" t="s">
        <v>3526</v>
      </c>
      <c r="AM11" s="3199" t="s">
        <v>3527</v>
      </c>
      <c r="AN11" s="3199" t="s">
        <v>3528</v>
      </c>
      <c r="AO11" s="3199" t="s">
        <v>3529</v>
      </c>
      <c r="AP11" s="3199" t="s">
        <v>3530</v>
      </c>
      <c r="AQ11" s="3199" t="s">
        <v>3531</v>
      </c>
      <c r="AR11" s="3200" t="s">
        <v>3513</v>
      </c>
      <c r="AS11" s="3200" t="s">
        <v>3514</v>
      </c>
      <c r="AT11" s="3200" t="s">
        <v>3515</v>
      </c>
      <c r="AU11" s="3200" t="s">
        <v>3532</v>
      </c>
      <c r="AV11" s="3199" t="s">
        <v>3533</v>
      </c>
      <c r="AW11" s="3214" t="s">
        <v>3534</v>
      </c>
      <c r="AX11" s="3215" t="s">
        <v>3535</v>
      </c>
      <c r="AY11" s="3216" t="s">
        <v>3536</v>
      </c>
      <c r="AZ11" s="3214" t="s">
        <v>3537</v>
      </c>
      <c r="BA11" s="3214" t="s">
        <v>3538</v>
      </c>
      <c r="BB11" s="3216" t="s">
        <v>3539</v>
      </c>
      <c r="BC11" s="3214" t="s">
        <v>3540</v>
      </c>
      <c r="BD11" s="3217" t="s">
        <v>3541</v>
      </c>
      <c r="BE11" s="3214" t="s">
        <v>3492</v>
      </c>
      <c r="BF11" s="3218" t="s">
        <v>3542</v>
      </c>
      <c r="BG11" s="3219" t="s">
        <v>3543</v>
      </c>
      <c r="BH11" s="3219" t="s">
        <v>3544</v>
      </c>
      <c r="BI11" s="3219" t="s">
        <v>3545</v>
      </c>
      <c r="BJ11" s="3206" t="s">
        <v>3546</v>
      </c>
      <c r="BK11" s="3206" t="s">
        <v>3547</v>
      </c>
      <c r="BL11" s="3200" t="s">
        <v>3548</v>
      </c>
      <c r="BM11" s="3207" t="s">
        <v>3549</v>
      </c>
      <c r="BN11" s="3207" t="s">
        <v>3550</v>
      </c>
      <c r="BO11" s="3207" t="s">
        <v>3551</v>
      </c>
      <c r="BP11" s="3207"/>
      <c r="BQ11" s="3200" t="s">
        <v>3552</v>
      </c>
      <c r="BR11" s="3200" t="s">
        <v>3553</v>
      </c>
    </row>
    <row r="12" spans="1:73" s="3242" customFormat="1" ht="12">
      <c r="A12" s="3220" t="s">
        <v>3554</v>
      </c>
      <c r="B12" s="3221" t="s">
        <v>3555</v>
      </c>
      <c r="C12" s="3221" t="s">
        <v>3556</v>
      </c>
      <c r="D12" s="3221" t="s">
        <v>3557</v>
      </c>
      <c r="E12" s="3221" t="s">
        <v>3558</v>
      </c>
      <c r="F12" s="3221" t="s">
        <v>3559</v>
      </c>
      <c r="G12" s="3221"/>
      <c r="H12" s="3222" t="s">
        <v>3560</v>
      </c>
      <c r="I12" s="3222" t="s">
        <v>3561</v>
      </c>
      <c r="J12" s="3222" t="s">
        <v>3562</v>
      </c>
      <c r="K12" s="3220" t="s">
        <v>3563</v>
      </c>
      <c r="L12" s="3223">
        <v>63.43</v>
      </c>
      <c r="M12" s="3224" t="s">
        <v>3564</v>
      </c>
      <c r="N12" s="3225" t="s">
        <v>3565</v>
      </c>
      <c r="O12" s="3224" t="s">
        <v>3566</v>
      </c>
      <c r="P12" s="3220" t="s">
        <v>3567</v>
      </c>
      <c r="Q12" s="3226">
        <v>244459.22</v>
      </c>
      <c r="R12" s="3223">
        <v>3854</v>
      </c>
      <c r="S12" s="3223">
        <v>24.14</v>
      </c>
      <c r="T12" s="3227">
        <v>241400</v>
      </c>
      <c r="U12" s="3226">
        <v>3806</v>
      </c>
      <c r="V12" s="3228">
        <v>0.1</v>
      </c>
      <c r="W12" s="3229">
        <v>21.72</v>
      </c>
      <c r="X12" s="3230">
        <v>217200</v>
      </c>
      <c r="Y12" s="3231">
        <v>2004</v>
      </c>
      <c r="Z12" s="3231">
        <v>1</v>
      </c>
      <c r="AA12" s="3220">
        <v>5</v>
      </c>
      <c r="AB12" s="3232">
        <v>1205</v>
      </c>
      <c r="AC12" s="3220" t="s">
        <v>3568</v>
      </c>
      <c r="AD12" s="3221"/>
      <c r="AE12" s="3233" t="s">
        <v>3569</v>
      </c>
      <c r="AF12" s="3220" t="s">
        <v>3570</v>
      </c>
      <c r="AG12" s="3221" t="s">
        <v>3571</v>
      </c>
      <c r="AH12" s="3221"/>
      <c r="AI12" s="3220" t="s">
        <v>3572</v>
      </c>
      <c r="AJ12" s="3234">
        <v>38291</v>
      </c>
      <c r="AK12" s="3235">
        <v>1</v>
      </c>
      <c r="AL12" s="3231">
        <v>67641700</v>
      </c>
      <c r="AM12" s="3231"/>
      <c r="AN12" s="3236" t="s">
        <v>3573</v>
      </c>
      <c r="AO12" s="3231" t="s">
        <v>3574</v>
      </c>
      <c r="AP12" s="3237" t="s">
        <v>3575</v>
      </c>
      <c r="AQ12" s="3237" t="s">
        <v>3576</v>
      </c>
      <c r="AR12" s="3221"/>
      <c r="AS12" s="3221"/>
      <c r="AT12" s="3221"/>
      <c r="AU12" s="3221"/>
      <c r="AV12" s="3224"/>
      <c r="AW12" s="3221" t="s">
        <v>3577</v>
      </c>
      <c r="AX12" s="3221"/>
      <c r="AY12" s="3238" t="s">
        <v>3578</v>
      </c>
      <c r="AZ12" s="3220" t="s">
        <v>3563</v>
      </c>
      <c r="BA12" s="3221" t="s">
        <v>3579</v>
      </c>
      <c r="BB12" s="3237" t="s">
        <v>3580</v>
      </c>
      <c r="BC12" s="3221" t="s">
        <v>3581</v>
      </c>
      <c r="BD12" s="3221" t="s">
        <v>3582</v>
      </c>
      <c r="BE12" s="3221" t="s">
        <v>3583</v>
      </c>
      <c r="BF12" s="3239">
        <v>2.8</v>
      </c>
      <c r="BG12" s="3234">
        <v>37973</v>
      </c>
      <c r="BH12" s="3221"/>
      <c r="BI12" s="3236" t="s">
        <v>3575</v>
      </c>
      <c r="BJ12" s="3240">
        <v>37986</v>
      </c>
      <c r="BK12" s="3240"/>
      <c r="BL12" s="3231" t="s">
        <v>3584</v>
      </c>
      <c r="BM12" s="3231"/>
      <c r="BN12" s="3231"/>
      <c r="BO12" s="3231"/>
      <c r="BP12" s="3231"/>
      <c r="BQ12" s="3231"/>
      <c r="BR12" s="3231"/>
      <c r="BS12" s="3241"/>
      <c r="BT12" s="3241"/>
      <c r="BU12" s="3241"/>
    </row>
    <row r="13" spans="1:73" s="3267" customFormat="1" ht="12">
      <c r="A13" s="3246" t="s">
        <v>3585</v>
      </c>
      <c r="B13" s="3247" t="s">
        <v>3586</v>
      </c>
      <c r="C13" s="3247" t="s">
        <v>3587</v>
      </c>
      <c r="D13" s="3247" t="s">
        <v>3588</v>
      </c>
      <c r="E13" s="3247" t="s">
        <v>3558</v>
      </c>
      <c r="F13" s="3247" t="s">
        <v>3559</v>
      </c>
      <c r="G13" s="3247"/>
      <c r="H13" s="3248" t="s">
        <v>3560</v>
      </c>
      <c r="I13" s="3248" t="s">
        <v>3589</v>
      </c>
      <c r="J13" s="3248" t="s">
        <v>3590</v>
      </c>
      <c r="K13" s="3246" t="s">
        <v>3563</v>
      </c>
      <c r="L13" s="3249">
        <v>100.59</v>
      </c>
      <c r="M13" s="3250" t="s">
        <v>3591</v>
      </c>
      <c r="N13" s="3246" t="s">
        <v>3592</v>
      </c>
      <c r="O13" s="3250" t="s">
        <v>3593</v>
      </c>
      <c r="P13" s="3246" t="s">
        <v>3567</v>
      </c>
      <c r="Q13" s="3251">
        <v>377212.5</v>
      </c>
      <c r="R13" s="3249">
        <v>3750</v>
      </c>
      <c r="S13" s="3249">
        <v>37.26</v>
      </c>
      <c r="T13" s="3252">
        <v>372600</v>
      </c>
      <c r="U13" s="3251">
        <v>3705</v>
      </c>
      <c r="V13" s="3253">
        <v>0.1</v>
      </c>
      <c r="W13" s="3254">
        <v>33.53</v>
      </c>
      <c r="X13" s="3255">
        <v>335300</v>
      </c>
      <c r="Y13" s="3256">
        <v>2004</v>
      </c>
      <c r="Z13" s="3256">
        <v>1</v>
      </c>
      <c r="AA13" s="3246">
        <v>7</v>
      </c>
      <c r="AB13" s="3257">
        <v>1860</v>
      </c>
      <c r="AC13" s="3246" t="s">
        <v>3568</v>
      </c>
      <c r="AD13" s="3247"/>
      <c r="AE13" s="3258" t="s">
        <v>3569</v>
      </c>
      <c r="AF13" s="3246" t="s">
        <v>3570</v>
      </c>
      <c r="AG13" s="3247" t="s">
        <v>3571</v>
      </c>
      <c r="AH13" s="3247"/>
      <c r="AI13" s="3246" t="s">
        <v>3572</v>
      </c>
      <c r="AJ13" s="3259">
        <v>38291</v>
      </c>
      <c r="AK13" s="3260">
        <v>1</v>
      </c>
      <c r="AL13" s="3256">
        <v>67641700</v>
      </c>
      <c r="AM13" s="3256"/>
      <c r="AN13" s="3261" t="s">
        <v>3573</v>
      </c>
      <c r="AO13" s="3256" t="s">
        <v>3574</v>
      </c>
      <c r="AP13" s="3262" t="s">
        <v>3575</v>
      </c>
      <c r="AQ13" s="3262" t="s">
        <v>3576</v>
      </c>
      <c r="AR13" s="3247"/>
      <c r="AS13" s="3247"/>
      <c r="AT13" s="3247"/>
      <c r="AU13" s="3247"/>
      <c r="AV13" s="3250"/>
      <c r="AW13" s="3247" t="s">
        <v>3577</v>
      </c>
      <c r="AX13" s="3247"/>
      <c r="AY13" s="3263" t="s">
        <v>3594</v>
      </c>
      <c r="AZ13" s="3246" t="s">
        <v>3563</v>
      </c>
      <c r="BA13" s="3247" t="s">
        <v>3579</v>
      </c>
      <c r="BB13" s="3262" t="s">
        <v>3580</v>
      </c>
      <c r="BC13" s="3247" t="s">
        <v>3581</v>
      </c>
      <c r="BD13" s="3247" t="s">
        <v>3582</v>
      </c>
      <c r="BE13" s="3247" t="s">
        <v>3583</v>
      </c>
      <c r="BF13" s="3264">
        <v>2.8</v>
      </c>
      <c r="BG13" s="3259">
        <v>37974</v>
      </c>
      <c r="BH13" s="3247"/>
      <c r="BI13" s="3261" t="s">
        <v>3575</v>
      </c>
      <c r="BJ13" s="3265">
        <v>37992</v>
      </c>
      <c r="BK13" s="3265"/>
      <c r="BL13" s="3256" t="s">
        <v>3584</v>
      </c>
      <c r="BM13" s="3256"/>
      <c r="BN13" s="3256"/>
      <c r="BO13" s="3256"/>
      <c r="BP13" s="3256"/>
      <c r="BQ13" s="3256"/>
      <c r="BR13" s="3256"/>
      <c r="BS13" s="3266"/>
      <c r="BT13" s="3266"/>
      <c r="BU13" s="3266"/>
    </row>
    <row r="14" spans="1:73" s="3267" customFormat="1" ht="15.75" customHeight="1">
      <c r="A14" s="3246" t="s">
        <v>3595</v>
      </c>
      <c r="B14" s="3247" t="s">
        <v>3596</v>
      </c>
      <c r="C14" s="3247" t="s">
        <v>3597</v>
      </c>
      <c r="D14" s="3247" t="s">
        <v>3598</v>
      </c>
      <c r="E14" s="3247" t="s">
        <v>3558</v>
      </c>
      <c r="F14" s="3247" t="s">
        <v>3559</v>
      </c>
      <c r="G14" s="3247"/>
      <c r="H14" s="3248" t="s">
        <v>3599</v>
      </c>
      <c r="I14" s="3248" t="s">
        <v>3600</v>
      </c>
      <c r="J14" s="3248" t="s">
        <v>3601</v>
      </c>
      <c r="K14" s="3246" t="s">
        <v>3563</v>
      </c>
      <c r="L14" s="3249">
        <v>96.77</v>
      </c>
      <c r="M14" s="3250" t="s">
        <v>3602</v>
      </c>
      <c r="N14" s="3246" t="s">
        <v>3592</v>
      </c>
      <c r="O14" s="3250" t="s">
        <v>3603</v>
      </c>
      <c r="P14" s="3246" t="s">
        <v>3567</v>
      </c>
      <c r="Q14" s="3251">
        <v>342275.49</v>
      </c>
      <c r="R14" s="3249">
        <v>3537</v>
      </c>
      <c r="S14" s="3249">
        <v>33.79</v>
      </c>
      <c r="T14" s="3252">
        <v>337900</v>
      </c>
      <c r="U14" s="3251">
        <v>3492</v>
      </c>
      <c r="V14" s="3253">
        <v>0.1</v>
      </c>
      <c r="W14" s="3254">
        <v>30.41</v>
      </c>
      <c r="X14" s="3255">
        <v>304100</v>
      </c>
      <c r="Y14" s="3256">
        <v>2004</v>
      </c>
      <c r="Z14" s="3256">
        <v>1</v>
      </c>
      <c r="AA14" s="3246">
        <v>8</v>
      </c>
      <c r="AB14" s="3257">
        <v>1685</v>
      </c>
      <c r="AC14" s="3246" t="s">
        <v>3604</v>
      </c>
      <c r="AD14" s="3247"/>
      <c r="AE14" s="3258" t="s">
        <v>3569</v>
      </c>
      <c r="AF14" s="3246" t="s">
        <v>3570</v>
      </c>
      <c r="AG14" s="3247" t="s">
        <v>3571</v>
      </c>
      <c r="AH14" s="3247"/>
      <c r="AI14" s="3246" t="s">
        <v>3572</v>
      </c>
      <c r="AJ14" s="3259">
        <v>38291</v>
      </c>
      <c r="AK14" s="3260">
        <v>1</v>
      </c>
      <c r="AL14" s="3256">
        <v>67641700</v>
      </c>
      <c r="AM14" s="3256"/>
      <c r="AN14" s="3261" t="s">
        <v>3573</v>
      </c>
      <c r="AO14" s="3256" t="s">
        <v>3574</v>
      </c>
      <c r="AP14" s="3262" t="s">
        <v>3575</v>
      </c>
      <c r="AQ14" s="3262" t="s">
        <v>3576</v>
      </c>
      <c r="AR14" s="3247"/>
      <c r="AS14" s="3247"/>
      <c r="AT14" s="3247"/>
      <c r="AU14" s="3247"/>
      <c r="AV14" s="3250"/>
      <c r="AW14" s="3247" t="s">
        <v>3577</v>
      </c>
      <c r="AX14" s="3247"/>
      <c r="AY14" s="3263" t="s">
        <v>3605</v>
      </c>
      <c r="AZ14" s="3246" t="s">
        <v>3563</v>
      </c>
      <c r="BA14" s="3247" t="s">
        <v>3579</v>
      </c>
      <c r="BB14" s="3262" t="s">
        <v>3580</v>
      </c>
      <c r="BC14" s="3247" t="s">
        <v>3581</v>
      </c>
      <c r="BD14" s="3247" t="s">
        <v>3582</v>
      </c>
      <c r="BE14" s="3247" t="s">
        <v>3583</v>
      </c>
      <c r="BF14" s="3264">
        <v>2.8</v>
      </c>
      <c r="BG14" s="3259">
        <v>37956</v>
      </c>
      <c r="BH14" s="3247"/>
      <c r="BI14" s="3261" t="s">
        <v>3575</v>
      </c>
      <c r="BJ14" s="3265">
        <v>37984</v>
      </c>
      <c r="BK14" s="3265"/>
      <c r="BL14" s="3256" t="s">
        <v>3584</v>
      </c>
      <c r="BM14" s="3256"/>
      <c r="BN14" s="3256"/>
      <c r="BO14" s="3256"/>
      <c r="BP14" s="3256"/>
      <c r="BQ14" s="3256"/>
      <c r="BR14" s="3256"/>
      <c r="BS14" s="3266"/>
      <c r="BT14" s="3266"/>
      <c r="BU14" s="3266"/>
    </row>
    <row r="15" spans="1:73" s="3267" customFormat="1" ht="15.75" customHeight="1">
      <c r="A15" s="3246" t="s">
        <v>3606</v>
      </c>
      <c r="B15" s="3247" t="s">
        <v>3607</v>
      </c>
      <c r="C15" s="3247" t="s">
        <v>3608</v>
      </c>
      <c r="D15" s="3247" t="s">
        <v>3609</v>
      </c>
      <c r="E15" s="3247" t="s">
        <v>3558</v>
      </c>
      <c r="F15" s="3247" t="s">
        <v>3559</v>
      </c>
      <c r="G15" s="3247"/>
      <c r="H15" s="3248" t="s">
        <v>3599</v>
      </c>
      <c r="I15" s="3248" t="s">
        <v>3610</v>
      </c>
      <c r="J15" s="3248" t="s">
        <v>3611</v>
      </c>
      <c r="K15" s="3246" t="s">
        <v>3563</v>
      </c>
      <c r="L15" s="3249">
        <v>96.59</v>
      </c>
      <c r="M15" s="3250" t="s">
        <v>3612</v>
      </c>
      <c r="N15" s="3246" t="s">
        <v>3592</v>
      </c>
      <c r="O15" s="3250" t="s">
        <v>3613</v>
      </c>
      <c r="P15" s="3246" t="s">
        <v>3567</v>
      </c>
      <c r="Q15" s="3251">
        <v>409251.83</v>
      </c>
      <c r="R15" s="3249">
        <v>4237</v>
      </c>
      <c r="S15" s="3249">
        <v>40.450000000000003</v>
      </c>
      <c r="T15" s="3252">
        <v>404500</v>
      </c>
      <c r="U15" s="3251">
        <v>4188</v>
      </c>
      <c r="V15" s="3253">
        <v>0.1</v>
      </c>
      <c r="W15" s="3254">
        <v>36.4</v>
      </c>
      <c r="X15" s="3255">
        <v>364000</v>
      </c>
      <c r="Y15" s="3256">
        <v>2004</v>
      </c>
      <c r="Z15" s="3256">
        <v>1</v>
      </c>
      <c r="AA15" s="3246">
        <v>9</v>
      </c>
      <c r="AB15" s="3257">
        <v>2020</v>
      </c>
      <c r="AC15" s="3246" t="s">
        <v>3568</v>
      </c>
      <c r="AD15" s="3247"/>
      <c r="AE15" s="3258" t="s">
        <v>3569</v>
      </c>
      <c r="AF15" s="3246" t="s">
        <v>3570</v>
      </c>
      <c r="AG15" s="3247" t="s">
        <v>3571</v>
      </c>
      <c r="AH15" s="3247"/>
      <c r="AI15" s="3246" t="s">
        <v>3572</v>
      </c>
      <c r="AJ15" s="3259">
        <v>38291</v>
      </c>
      <c r="AK15" s="3260">
        <v>1</v>
      </c>
      <c r="AL15" s="3256">
        <v>67641700</v>
      </c>
      <c r="AM15" s="3256"/>
      <c r="AN15" s="3261" t="s">
        <v>3573</v>
      </c>
      <c r="AO15" s="3256" t="s">
        <v>3574</v>
      </c>
      <c r="AP15" s="3262" t="s">
        <v>3575</v>
      </c>
      <c r="AQ15" s="3262" t="s">
        <v>3576</v>
      </c>
      <c r="AR15" s="3247"/>
      <c r="AS15" s="3247"/>
      <c r="AT15" s="3247"/>
      <c r="AU15" s="3247"/>
      <c r="AV15" s="3250"/>
      <c r="AW15" s="3247" t="s">
        <v>3577</v>
      </c>
      <c r="AX15" s="3247"/>
      <c r="AY15" s="3263" t="s">
        <v>3614</v>
      </c>
      <c r="AZ15" s="3246" t="s">
        <v>3563</v>
      </c>
      <c r="BA15" s="3247" t="s">
        <v>3579</v>
      </c>
      <c r="BB15" s="3262" t="s">
        <v>3580</v>
      </c>
      <c r="BC15" s="3247" t="s">
        <v>3581</v>
      </c>
      <c r="BD15" s="3247" t="s">
        <v>3582</v>
      </c>
      <c r="BE15" s="3247" t="s">
        <v>3583</v>
      </c>
      <c r="BF15" s="3264">
        <v>2.8</v>
      </c>
      <c r="BG15" s="3259">
        <v>37974</v>
      </c>
      <c r="BH15" s="3247"/>
      <c r="BI15" s="3261" t="s">
        <v>3575</v>
      </c>
      <c r="BJ15" s="3265">
        <v>37991</v>
      </c>
      <c r="BK15" s="3265"/>
      <c r="BL15" s="3256" t="s">
        <v>3584</v>
      </c>
      <c r="BM15" s="3256"/>
      <c r="BN15" s="3256"/>
      <c r="BO15" s="3256"/>
      <c r="BP15" s="3256"/>
      <c r="BQ15" s="3256"/>
      <c r="BR15" s="3256"/>
      <c r="BS15" s="3266"/>
      <c r="BT15" s="3266"/>
      <c r="BU15" s="3266"/>
    </row>
    <row r="16" spans="1:73" s="3267" customFormat="1" ht="15.75" customHeight="1">
      <c r="A16" s="3246" t="s">
        <v>3615</v>
      </c>
      <c r="B16" s="3247" t="s">
        <v>3616</v>
      </c>
      <c r="C16" s="3247" t="s">
        <v>3617</v>
      </c>
      <c r="D16" s="3247" t="s">
        <v>3618</v>
      </c>
      <c r="E16" s="3247" t="s">
        <v>3558</v>
      </c>
      <c r="F16" s="3247" t="s">
        <v>3559</v>
      </c>
      <c r="G16" s="3247"/>
      <c r="H16" s="3248" t="s">
        <v>3599</v>
      </c>
      <c r="I16" s="3248" t="s">
        <v>3619</v>
      </c>
      <c r="J16" s="3248" t="s">
        <v>3620</v>
      </c>
      <c r="K16" s="3246" t="s">
        <v>3563</v>
      </c>
      <c r="L16" s="3249">
        <v>97.63</v>
      </c>
      <c r="M16" s="3250" t="s">
        <v>3621</v>
      </c>
      <c r="N16" s="3246" t="s">
        <v>3622</v>
      </c>
      <c r="O16" s="3250" t="s">
        <v>3623</v>
      </c>
      <c r="P16" s="3246" t="s">
        <v>3567</v>
      </c>
      <c r="Q16" s="3251">
        <v>414732</v>
      </c>
      <c r="R16" s="3249">
        <v>4248</v>
      </c>
      <c r="S16" s="3249">
        <v>40.98</v>
      </c>
      <c r="T16" s="3252">
        <v>409800</v>
      </c>
      <c r="U16" s="3251">
        <v>4198</v>
      </c>
      <c r="V16" s="3253">
        <v>0.1</v>
      </c>
      <c r="W16" s="3254">
        <v>36.880000000000003</v>
      </c>
      <c r="X16" s="3255">
        <v>368800</v>
      </c>
      <c r="Y16" s="3256">
        <v>2004</v>
      </c>
      <c r="Z16" s="3256">
        <v>1</v>
      </c>
      <c r="AA16" s="3246">
        <v>15</v>
      </c>
      <c r="AB16" s="3257">
        <v>2045</v>
      </c>
      <c r="AC16" s="3246" t="s">
        <v>3624</v>
      </c>
      <c r="AD16" s="3247"/>
      <c r="AE16" s="3258" t="s">
        <v>3569</v>
      </c>
      <c r="AF16" s="3246" t="s">
        <v>3570</v>
      </c>
      <c r="AG16" s="3247" t="s">
        <v>3571</v>
      </c>
      <c r="AH16" s="3247"/>
      <c r="AI16" s="3246" t="s">
        <v>3572</v>
      </c>
      <c r="AJ16" s="3259">
        <v>38291</v>
      </c>
      <c r="AK16" s="3260">
        <v>1</v>
      </c>
      <c r="AL16" s="3256">
        <v>67641700</v>
      </c>
      <c r="AM16" s="3256"/>
      <c r="AN16" s="3261" t="s">
        <v>3625</v>
      </c>
      <c r="AO16" s="3256" t="s">
        <v>3574</v>
      </c>
      <c r="AP16" s="3262" t="s">
        <v>3575</v>
      </c>
      <c r="AQ16" s="3262" t="s">
        <v>3576</v>
      </c>
      <c r="AR16" s="3247"/>
      <c r="AS16" s="3247"/>
      <c r="AT16" s="3247"/>
      <c r="AU16" s="3247"/>
      <c r="AV16" s="3250"/>
      <c r="AW16" s="3247" t="s">
        <v>3577</v>
      </c>
      <c r="AX16" s="3247"/>
      <c r="AY16" s="3263" t="s">
        <v>3626</v>
      </c>
      <c r="AZ16" s="3246" t="s">
        <v>3563</v>
      </c>
      <c r="BA16" s="3247" t="s">
        <v>3579</v>
      </c>
      <c r="BB16" s="3262" t="s">
        <v>3580</v>
      </c>
      <c r="BC16" s="3247" t="s">
        <v>3581</v>
      </c>
      <c r="BD16" s="3247" t="s">
        <v>3582</v>
      </c>
      <c r="BE16" s="3247" t="s">
        <v>3583</v>
      </c>
      <c r="BF16" s="3264">
        <v>2.8</v>
      </c>
      <c r="BG16" s="3259">
        <v>37963</v>
      </c>
      <c r="BH16" s="3247"/>
      <c r="BI16" s="3261" t="s">
        <v>3575</v>
      </c>
      <c r="BJ16" s="3265">
        <v>37995</v>
      </c>
      <c r="BK16" s="3265"/>
      <c r="BL16" s="3256" t="s">
        <v>3584</v>
      </c>
      <c r="BM16" s="3256"/>
      <c r="BN16" s="3256"/>
      <c r="BO16" s="3256"/>
      <c r="BP16" s="3256"/>
      <c r="BQ16" s="3256">
        <v>5292</v>
      </c>
      <c r="BR16" s="3256">
        <v>5356</v>
      </c>
      <c r="BS16" s="3266"/>
      <c r="BT16" s="3266"/>
      <c r="BU16" s="3266"/>
    </row>
    <row r="17" spans="1:73" s="3242" customFormat="1" ht="15.75" customHeight="1">
      <c r="A17" s="3220" t="s">
        <v>3627</v>
      </c>
      <c r="B17" s="3221" t="s">
        <v>3628</v>
      </c>
      <c r="C17" s="3221" t="s">
        <v>3629</v>
      </c>
      <c r="D17" s="3221" t="s">
        <v>3630</v>
      </c>
      <c r="E17" s="3221" t="s">
        <v>3558</v>
      </c>
      <c r="F17" s="3221" t="s">
        <v>3559</v>
      </c>
      <c r="G17" s="3221"/>
      <c r="H17" s="3222" t="s">
        <v>3631</v>
      </c>
      <c r="I17" s="3222" t="s">
        <v>3632</v>
      </c>
      <c r="J17" s="3222" t="s">
        <v>3590</v>
      </c>
      <c r="K17" s="3220" t="s">
        <v>3563</v>
      </c>
      <c r="L17" s="3223">
        <v>62.39</v>
      </c>
      <c r="M17" s="3224" t="s">
        <v>3633</v>
      </c>
      <c r="N17" s="3220" t="s">
        <v>3565</v>
      </c>
      <c r="O17" s="3224" t="s">
        <v>3634</v>
      </c>
      <c r="P17" s="3220" t="s">
        <v>3567</v>
      </c>
      <c r="Q17" s="3226">
        <v>251556</v>
      </c>
      <c r="R17" s="3223">
        <v>4032</v>
      </c>
      <c r="S17" s="3223">
        <v>24.86</v>
      </c>
      <c r="T17" s="3227">
        <v>248600</v>
      </c>
      <c r="U17" s="3226">
        <v>3985</v>
      </c>
      <c r="V17" s="3228">
        <v>0.1</v>
      </c>
      <c r="W17" s="3229">
        <v>22.37</v>
      </c>
      <c r="X17" s="3230">
        <v>223700</v>
      </c>
      <c r="Y17" s="3231">
        <v>2004</v>
      </c>
      <c r="Z17" s="3231">
        <v>1</v>
      </c>
      <c r="AA17" s="3220">
        <v>16</v>
      </c>
      <c r="AB17" s="3232">
        <v>1240</v>
      </c>
      <c r="AC17" s="3220" t="s">
        <v>3635</v>
      </c>
      <c r="AD17" s="3221"/>
      <c r="AE17" s="3233" t="s">
        <v>3569</v>
      </c>
      <c r="AF17" s="3220" t="s">
        <v>3570</v>
      </c>
      <c r="AG17" s="3221" t="s">
        <v>3571</v>
      </c>
      <c r="AH17" s="3221"/>
      <c r="AI17" s="3220" t="s">
        <v>3572</v>
      </c>
      <c r="AJ17" s="3234">
        <v>38291</v>
      </c>
      <c r="AK17" s="3235">
        <v>1</v>
      </c>
      <c r="AL17" s="3231">
        <v>67641700</v>
      </c>
      <c r="AM17" s="3231"/>
      <c r="AN17" s="3236" t="s">
        <v>3625</v>
      </c>
      <c r="AO17" s="3231" t="s">
        <v>3574</v>
      </c>
      <c r="AP17" s="3237" t="s">
        <v>3575</v>
      </c>
      <c r="AQ17" s="3237" t="s">
        <v>3576</v>
      </c>
      <c r="AR17" s="3221"/>
      <c r="AS17" s="3221"/>
      <c r="AT17" s="3221"/>
      <c r="AU17" s="3221"/>
      <c r="AV17" s="3224"/>
      <c r="AW17" s="3221" t="s">
        <v>3577</v>
      </c>
      <c r="AX17" s="3221"/>
      <c r="AY17" s="3238" t="s">
        <v>3636</v>
      </c>
      <c r="AZ17" s="3220" t="s">
        <v>3563</v>
      </c>
      <c r="BA17" s="3221" t="s">
        <v>3579</v>
      </c>
      <c r="BB17" s="3237" t="s">
        <v>3580</v>
      </c>
      <c r="BC17" s="3221" t="s">
        <v>3581</v>
      </c>
      <c r="BD17" s="3221" t="s">
        <v>3582</v>
      </c>
      <c r="BE17" s="3221" t="s">
        <v>3583</v>
      </c>
      <c r="BF17" s="3239">
        <v>2.8</v>
      </c>
      <c r="BG17" s="3234">
        <v>37950</v>
      </c>
      <c r="BH17" s="3221"/>
      <c r="BI17" s="3236" t="s">
        <v>3575</v>
      </c>
      <c r="BJ17" s="3240">
        <v>37980</v>
      </c>
      <c r="BK17" s="3240"/>
      <c r="BL17" s="3231" t="s">
        <v>3584</v>
      </c>
      <c r="BM17" s="3231"/>
      <c r="BN17" s="3231"/>
      <c r="BO17" s="3231"/>
      <c r="BP17" s="3231"/>
      <c r="BQ17" s="3231">
        <v>5024</v>
      </c>
      <c r="BR17" s="3231">
        <v>5083</v>
      </c>
      <c r="BS17" s="3241"/>
      <c r="BT17" s="3241"/>
      <c r="BU17" s="3241"/>
    </row>
    <row r="18" spans="1:73" s="3242" customFormat="1" ht="15.75" customHeight="1">
      <c r="A18" s="3220" t="s">
        <v>3637</v>
      </c>
      <c r="B18" s="3221" t="s">
        <v>3638</v>
      </c>
      <c r="C18" s="3221" t="s">
        <v>3639</v>
      </c>
      <c r="D18" s="3221" t="s">
        <v>3640</v>
      </c>
      <c r="E18" s="3221" t="s">
        <v>3558</v>
      </c>
      <c r="F18" s="3221" t="s">
        <v>3641</v>
      </c>
      <c r="G18" s="3221"/>
      <c r="H18" s="3222" t="s">
        <v>3642</v>
      </c>
      <c r="I18" s="3222" t="s">
        <v>3610</v>
      </c>
      <c r="J18" s="3222" t="s">
        <v>3643</v>
      </c>
      <c r="K18" s="3221" t="s">
        <v>3644</v>
      </c>
      <c r="L18" s="3223">
        <v>130.02000000000001</v>
      </c>
      <c r="M18" s="3224" t="s">
        <v>3612</v>
      </c>
      <c r="N18" s="3220" t="s">
        <v>3645</v>
      </c>
      <c r="O18" s="3224" t="s">
        <v>3646</v>
      </c>
      <c r="P18" s="3221" t="s">
        <v>3567</v>
      </c>
      <c r="Q18" s="3226">
        <v>487575</v>
      </c>
      <c r="R18" s="3223">
        <v>3750</v>
      </c>
      <c r="S18" s="3223">
        <v>48.17</v>
      </c>
      <c r="T18" s="3227">
        <v>481700</v>
      </c>
      <c r="U18" s="3226">
        <v>3705</v>
      </c>
      <c r="V18" s="3228">
        <v>0.05</v>
      </c>
      <c r="W18" s="3229">
        <v>45.76</v>
      </c>
      <c r="X18" s="3243">
        <v>457600</v>
      </c>
      <c r="Y18" s="3231">
        <v>2004</v>
      </c>
      <c r="Z18" s="3231">
        <v>2</v>
      </c>
      <c r="AA18" s="3220">
        <v>5</v>
      </c>
      <c r="AB18" s="3220">
        <v>2405</v>
      </c>
      <c r="AC18" s="3220" t="s">
        <v>3568</v>
      </c>
      <c r="AD18" s="3221"/>
      <c r="AE18" s="3233" t="s">
        <v>3569</v>
      </c>
      <c r="AF18" s="3222" t="s">
        <v>3647</v>
      </c>
      <c r="AG18" s="3221" t="s">
        <v>3571</v>
      </c>
      <c r="AH18" s="3221"/>
      <c r="AI18" s="3220" t="s">
        <v>3572</v>
      </c>
      <c r="AJ18" s="3234" t="s">
        <v>3574</v>
      </c>
      <c r="AK18" s="3244">
        <v>2</v>
      </c>
      <c r="AL18" s="3237">
        <v>67641700</v>
      </c>
      <c r="AM18" s="3237"/>
      <c r="AN18" s="3236" t="s">
        <v>3648</v>
      </c>
      <c r="AO18" s="3237"/>
      <c r="AP18" s="3237" t="s">
        <v>3575</v>
      </c>
      <c r="AQ18" s="3237" t="s">
        <v>3576</v>
      </c>
      <c r="AR18" s="3221"/>
      <c r="AS18" s="3221"/>
      <c r="AT18" s="3221"/>
      <c r="AU18" s="3221"/>
      <c r="AV18" s="3224"/>
      <c r="AW18" s="3221" t="s">
        <v>3577</v>
      </c>
      <c r="AX18" s="3221"/>
      <c r="AY18" s="3238" t="s">
        <v>3649</v>
      </c>
      <c r="AZ18" s="3221" t="s">
        <v>3644</v>
      </c>
      <c r="BA18" s="3221" t="s">
        <v>3650</v>
      </c>
      <c r="BB18" s="3237" t="s">
        <v>3651</v>
      </c>
      <c r="BC18" s="3221" t="s">
        <v>3652</v>
      </c>
      <c r="BD18" s="3221">
        <v>100041</v>
      </c>
      <c r="BE18" s="3221">
        <v>88793640</v>
      </c>
      <c r="BF18" s="3221">
        <v>2.7</v>
      </c>
      <c r="BG18" s="3234">
        <v>37999</v>
      </c>
      <c r="BH18" s="3221" t="s">
        <v>3535</v>
      </c>
      <c r="BI18" s="3245" t="s">
        <v>3575</v>
      </c>
      <c r="BJ18" s="3240">
        <v>38016</v>
      </c>
      <c r="BK18" s="3240"/>
      <c r="BL18" s="3220" t="s">
        <v>3584</v>
      </c>
      <c r="BM18" s="3231"/>
      <c r="BN18" s="3231"/>
      <c r="BO18" s="3231"/>
      <c r="BP18" s="3231"/>
      <c r="BQ18" s="3231">
        <v>4369</v>
      </c>
      <c r="BR18" s="3231">
        <v>4422</v>
      </c>
      <c r="BS18" s="3241"/>
      <c r="BT18" s="3241"/>
      <c r="BU18" s="3241"/>
    </row>
    <row r="19" spans="1:73" s="3242" customFormat="1" ht="15.75" customHeight="1">
      <c r="A19" s="3220" t="s">
        <v>3653</v>
      </c>
      <c r="B19" s="3221" t="s">
        <v>3654</v>
      </c>
      <c r="C19" s="3221" t="s">
        <v>3655</v>
      </c>
      <c r="D19" s="3221" t="s">
        <v>3656</v>
      </c>
      <c r="E19" s="3221" t="s">
        <v>3558</v>
      </c>
      <c r="F19" s="3221" t="s">
        <v>3559</v>
      </c>
      <c r="G19" s="3221"/>
      <c r="H19" s="3222" t="s">
        <v>3631</v>
      </c>
      <c r="I19" s="3222" t="s">
        <v>3657</v>
      </c>
      <c r="J19" s="3222" t="s">
        <v>3658</v>
      </c>
      <c r="K19" s="3220" t="s">
        <v>3563</v>
      </c>
      <c r="L19" s="3223">
        <v>59.27</v>
      </c>
      <c r="M19" s="3224" t="s">
        <v>3659</v>
      </c>
      <c r="N19" s="3220" t="s">
        <v>3565</v>
      </c>
      <c r="O19" s="3224" t="s">
        <v>3660</v>
      </c>
      <c r="P19" s="3220" t="s">
        <v>3567</v>
      </c>
      <c r="Q19" s="3226">
        <v>243896</v>
      </c>
      <c r="R19" s="3223">
        <v>4115</v>
      </c>
      <c r="S19" s="3223">
        <v>24.09</v>
      </c>
      <c r="T19" s="3227">
        <v>240900</v>
      </c>
      <c r="U19" s="3226">
        <v>4066</v>
      </c>
      <c r="V19" s="3228">
        <v>0.1</v>
      </c>
      <c r="W19" s="3229">
        <v>21.68</v>
      </c>
      <c r="X19" s="3230">
        <v>216800</v>
      </c>
      <c r="Y19" s="3231">
        <v>2004</v>
      </c>
      <c r="Z19" s="3231">
        <v>2</v>
      </c>
      <c r="AA19" s="3220">
        <v>9</v>
      </c>
      <c r="AB19" s="3232">
        <v>1200</v>
      </c>
      <c r="AC19" s="3220" t="s">
        <v>3661</v>
      </c>
      <c r="AD19" s="3221"/>
      <c r="AE19" s="3233" t="s">
        <v>3569</v>
      </c>
      <c r="AF19" s="3220" t="s">
        <v>3570</v>
      </c>
      <c r="AG19" s="3221" t="s">
        <v>3571</v>
      </c>
      <c r="AH19" s="3221"/>
      <c r="AI19" s="3220" t="s">
        <v>3572</v>
      </c>
      <c r="AJ19" s="3234">
        <v>38291</v>
      </c>
      <c r="AK19" s="3235">
        <v>2</v>
      </c>
      <c r="AL19" s="3231">
        <v>67641700</v>
      </c>
      <c r="AM19" s="3231"/>
      <c r="AN19" s="3236" t="s">
        <v>3573</v>
      </c>
      <c r="AO19" s="3231" t="s">
        <v>3574</v>
      </c>
      <c r="AP19" s="3237" t="s">
        <v>3575</v>
      </c>
      <c r="AQ19" s="3237" t="s">
        <v>3576</v>
      </c>
      <c r="AR19" s="3221"/>
      <c r="AS19" s="3221"/>
      <c r="AT19" s="3221"/>
      <c r="AU19" s="3221"/>
      <c r="AV19" s="3224"/>
      <c r="AW19" s="3221" t="s">
        <v>3577</v>
      </c>
      <c r="AX19" s="3221"/>
      <c r="AY19" s="3238" t="s">
        <v>3662</v>
      </c>
      <c r="AZ19" s="3220" t="s">
        <v>3563</v>
      </c>
      <c r="BA19" s="3221" t="s">
        <v>3579</v>
      </c>
      <c r="BB19" s="3237" t="s">
        <v>3580</v>
      </c>
      <c r="BC19" s="3221" t="s">
        <v>3581</v>
      </c>
      <c r="BD19" s="3221" t="s">
        <v>3582</v>
      </c>
      <c r="BE19" s="3221" t="s">
        <v>3583</v>
      </c>
      <c r="BF19" s="3239">
        <v>2.8</v>
      </c>
      <c r="BG19" s="3234">
        <v>37974</v>
      </c>
      <c r="BH19" s="3221"/>
      <c r="BI19" s="3236" t="s">
        <v>3575</v>
      </c>
      <c r="BJ19" s="3240">
        <v>38022</v>
      </c>
      <c r="BK19" s="3240"/>
      <c r="BL19" s="3231" t="s">
        <v>3584</v>
      </c>
      <c r="BM19" s="3231"/>
      <c r="BN19" s="3231"/>
      <c r="BO19" s="3231"/>
      <c r="BP19" s="3231"/>
      <c r="BQ19" s="3231">
        <v>5126</v>
      </c>
      <c r="BR19" s="3231">
        <v>5188</v>
      </c>
      <c r="BS19" s="3241"/>
      <c r="BT19" s="3241"/>
      <c r="BU19" s="3241"/>
    </row>
    <row r="20" spans="1:73" s="3267" customFormat="1" ht="15.75" customHeight="1">
      <c r="A20" s="3246" t="s">
        <v>3663</v>
      </c>
      <c r="B20" s="3247" t="s">
        <v>3664</v>
      </c>
      <c r="C20" s="3247" t="s">
        <v>3665</v>
      </c>
      <c r="D20" s="3247" t="s">
        <v>3666</v>
      </c>
      <c r="E20" s="3247" t="s">
        <v>3558</v>
      </c>
      <c r="F20" s="3247" t="s">
        <v>3559</v>
      </c>
      <c r="G20" s="3247"/>
      <c r="H20" s="3248" t="s">
        <v>3599</v>
      </c>
      <c r="I20" s="3248" t="s">
        <v>3667</v>
      </c>
      <c r="J20" s="3248" t="s">
        <v>3620</v>
      </c>
      <c r="K20" s="3246" t="s">
        <v>3563</v>
      </c>
      <c r="L20" s="3249">
        <v>97.63</v>
      </c>
      <c r="M20" s="3250" t="s">
        <v>3668</v>
      </c>
      <c r="N20" s="3246" t="s">
        <v>3592</v>
      </c>
      <c r="O20" s="3250" t="s">
        <v>3623</v>
      </c>
      <c r="P20" s="3246" t="s">
        <v>3567</v>
      </c>
      <c r="Q20" s="3251">
        <v>379683</v>
      </c>
      <c r="R20" s="3249">
        <v>3889</v>
      </c>
      <c r="S20" s="3249">
        <v>37.520000000000003</v>
      </c>
      <c r="T20" s="3252">
        <v>375200</v>
      </c>
      <c r="U20" s="3251">
        <v>3844</v>
      </c>
      <c r="V20" s="3253">
        <v>0.1</v>
      </c>
      <c r="W20" s="3254">
        <v>33.76</v>
      </c>
      <c r="X20" s="3255">
        <v>337600</v>
      </c>
      <c r="Y20" s="3256">
        <v>2004</v>
      </c>
      <c r="Z20" s="3256">
        <v>2</v>
      </c>
      <c r="AA20" s="3246">
        <v>25</v>
      </c>
      <c r="AB20" s="3257">
        <v>1875</v>
      </c>
      <c r="AC20" s="3246" t="s">
        <v>3568</v>
      </c>
      <c r="AD20" s="3247"/>
      <c r="AE20" s="3258" t="s">
        <v>3569</v>
      </c>
      <c r="AF20" s="3246" t="s">
        <v>3570</v>
      </c>
      <c r="AG20" s="3247" t="s">
        <v>3571</v>
      </c>
      <c r="AH20" s="3247"/>
      <c r="AI20" s="3246" t="s">
        <v>3572</v>
      </c>
      <c r="AJ20" s="3259">
        <v>38291</v>
      </c>
      <c r="AK20" s="3260">
        <v>2</v>
      </c>
      <c r="AL20" s="3256">
        <v>67641700</v>
      </c>
      <c r="AM20" s="3256"/>
      <c r="AN20" s="3261" t="s">
        <v>3669</v>
      </c>
      <c r="AO20" s="3256" t="s">
        <v>3574</v>
      </c>
      <c r="AP20" s="3262" t="s">
        <v>3575</v>
      </c>
      <c r="AQ20" s="3262" t="s">
        <v>3576</v>
      </c>
      <c r="AR20" s="3247"/>
      <c r="AS20" s="3247"/>
      <c r="AT20" s="3247"/>
      <c r="AU20" s="3247"/>
      <c r="AV20" s="3250"/>
      <c r="AW20" s="3247" t="s">
        <v>3577</v>
      </c>
      <c r="AX20" s="3247"/>
      <c r="AY20" s="3263" t="s">
        <v>3670</v>
      </c>
      <c r="AZ20" s="3246" t="s">
        <v>3563</v>
      </c>
      <c r="BA20" s="3247" t="s">
        <v>3579</v>
      </c>
      <c r="BB20" s="3262" t="s">
        <v>3580</v>
      </c>
      <c r="BC20" s="3247" t="s">
        <v>3581</v>
      </c>
      <c r="BD20" s="3247" t="s">
        <v>3582</v>
      </c>
      <c r="BE20" s="3247" t="s">
        <v>3583</v>
      </c>
      <c r="BF20" s="3264">
        <v>2.8</v>
      </c>
      <c r="BG20" s="3259">
        <v>37891</v>
      </c>
      <c r="BH20" s="3247"/>
      <c r="BI20" s="3261" t="s">
        <v>3671</v>
      </c>
      <c r="BJ20" s="3265">
        <v>38040</v>
      </c>
      <c r="BK20" s="3265"/>
      <c r="BL20" s="3256" t="s">
        <v>3584</v>
      </c>
      <c r="BM20" s="3256"/>
      <c r="BN20" s="3256"/>
      <c r="BO20" s="3256"/>
      <c r="BP20" s="3256"/>
      <c r="BQ20" s="3256">
        <v>4846</v>
      </c>
      <c r="BR20" s="3256">
        <v>4903</v>
      </c>
      <c r="BS20" s="3266"/>
      <c r="BT20" s="3266"/>
      <c r="BU20" s="3266"/>
    </row>
    <row r="21" spans="1:73" s="3242" customFormat="1" ht="15.75" customHeight="1">
      <c r="A21" s="3220" t="s">
        <v>3672</v>
      </c>
      <c r="B21" s="3221" t="s">
        <v>3673</v>
      </c>
      <c r="C21" s="3221" t="s">
        <v>3674</v>
      </c>
      <c r="D21" s="3221" t="s">
        <v>3675</v>
      </c>
      <c r="E21" s="3221" t="s">
        <v>3558</v>
      </c>
      <c r="F21" s="3221" t="s">
        <v>3559</v>
      </c>
      <c r="G21" s="3221"/>
      <c r="H21" s="3222" t="s">
        <v>3560</v>
      </c>
      <c r="I21" s="3222" t="s">
        <v>3667</v>
      </c>
      <c r="J21" s="3222" t="s">
        <v>3676</v>
      </c>
      <c r="K21" s="3220" t="s">
        <v>3563</v>
      </c>
      <c r="L21" s="3223">
        <v>63.43</v>
      </c>
      <c r="M21" s="3224" t="s">
        <v>3668</v>
      </c>
      <c r="N21" s="3220" t="s">
        <v>3677</v>
      </c>
      <c r="O21" s="3224" t="s">
        <v>3566</v>
      </c>
      <c r="P21" s="3220" t="s">
        <v>3567</v>
      </c>
      <c r="Q21" s="3226">
        <v>245664</v>
      </c>
      <c r="R21" s="3223">
        <v>3873</v>
      </c>
      <c r="S21" s="3223">
        <v>24.28</v>
      </c>
      <c r="T21" s="3227">
        <v>242800</v>
      </c>
      <c r="U21" s="3226">
        <v>3828</v>
      </c>
      <c r="V21" s="3228">
        <v>0.1</v>
      </c>
      <c r="W21" s="3229">
        <v>21.85</v>
      </c>
      <c r="X21" s="3230">
        <v>218500</v>
      </c>
      <c r="Y21" s="3231">
        <v>2004</v>
      </c>
      <c r="Z21" s="3231">
        <v>2</v>
      </c>
      <c r="AA21" s="3220">
        <v>25</v>
      </c>
      <c r="AB21" s="3232">
        <v>1210</v>
      </c>
      <c r="AC21" s="3220" t="s">
        <v>3661</v>
      </c>
      <c r="AD21" s="3221"/>
      <c r="AE21" s="3233" t="s">
        <v>3569</v>
      </c>
      <c r="AF21" s="3220" t="s">
        <v>3570</v>
      </c>
      <c r="AG21" s="3221" t="s">
        <v>3571</v>
      </c>
      <c r="AH21" s="3221"/>
      <c r="AI21" s="3220" t="s">
        <v>3572</v>
      </c>
      <c r="AJ21" s="3234">
        <v>38291</v>
      </c>
      <c r="AK21" s="3235">
        <v>2</v>
      </c>
      <c r="AL21" s="3231">
        <v>67641700</v>
      </c>
      <c r="AM21" s="3231"/>
      <c r="AN21" s="3236" t="s">
        <v>3669</v>
      </c>
      <c r="AO21" s="3231" t="s">
        <v>3574</v>
      </c>
      <c r="AP21" s="3237" t="s">
        <v>3575</v>
      </c>
      <c r="AQ21" s="3237" t="s">
        <v>3576</v>
      </c>
      <c r="AR21" s="3221"/>
      <c r="AS21" s="3221"/>
      <c r="AT21" s="3221"/>
      <c r="AU21" s="3221"/>
      <c r="AV21" s="3224"/>
      <c r="AW21" s="3221" t="s">
        <v>3577</v>
      </c>
      <c r="AX21" s="3221"/>
      <c r="AY21" s="3238" t="s">
        <v>3678</v>
      </c>
      <c r="AZ21" s="3220" t="s">
        <v>3563</v>
      </c>
      <c r="BA21" s="3221" t="s">
        <v>3579</v>
      </c>
      <c r="BB21" s="3237" t="s">
        <v>3580</v>
      </c>
      <c r="BC21" s="3221" t="s">
        <v>3581</v>
      </c>
      <c r="BD21" s="3221" t="s">
        <v>3582</v>
      </c>
      <c r="BE21" s="3221" t="s">
        <v>3583</v>
      </c>
      <c r="BF21" s="3239">
        <v>2.8</v>
      </c>
      <c r="BG21" s="3234">
        <v>37880</v>
      </c>
      <c r="BH21" s="3221"/>
      <c r="BI21" s="3236" t="s">
        <v>3671</v>
      </c>
      <c r="BJ21" s="3240">
        <v>38037</v>
      </c>
      <c r="BK21" s="3240"/>
      <c r="BL21" s="3231" t="s">
        <v>3584</v>
      </c>
      <c r="BM21" s="3231"/>
      <c r="BN21" s="3231"/>
      <c r="BO21" s="3231"/>
      <c r="BP21" s="3231"/>
      <c r="BQ21" s="3231">
        <v>4826</v>
      </c>
      <c r="BR21" s="3231">
        <v>4883</v>
      </c>
      <c r="BS21" s="3241"/>
      <c r="BT21" s="3241"/>
      <c r="BU21" s="3241"/>
    </row>
    <row r="22" spans="1:73" s="3312" customFormat="1" ht="15.75" customHeight="1">
      <c r="A22" s="3291" t="s">
        <v>3679</v>
      </c>
      <c r="B22" s="3292" t="s">
        <v>3680</v>
      </c>
      <c r="C22" s="3292" t="s">
        <v>3681</v>
      </c>
      <c r="D22" s="3292" t="s">
        <v>3682</v>
      </c>
      <c r="E22" s="3292" t="s">
        <v>3558</v>
      </c>
      <c r="F22" s="3292" t="s">
        <v>3559</v>
      </c>
      <c r="G22" s="3292"/>
      <c r="H22" s="3293" t="s">
        <v>3599</v>
      </c>
      <c r="I22" s="3293" t="s">
        <v>3561</v>
      </c>
      <c r="J22" s="3293" t="s">
        <v>3620</v>
      </c>
      <c r="K22" s="3291" t="s">
        <v>3563</v>
      </c>
      <c r="L22" s="3294">
        <v>97.63</v>
      </c>
      <c r="M22" s="3295" t="s">
        <v>3564</v>
      </c>
      <c r="N22" s="3291" t="s">
        <v>3592</v>
      </c>
      <c r="O22" s="3295" t="s">
        <v>3623</v>
      </c>
      <c r="P22" s="3291" t="s">
        <v>3567</v>
      </c>
      <c r="Q22" s="3296">
        <v>389837</v>
      </c>
      <c r="R22" s="3294">
        <v>3993</v>
      </c>
      <c r="S22" s="3294">
        <v>38.549999999999997</v>
      </c>
      <c r="T22" s="3297">
        <v>385500</v>
      </c>
      <c r="U22" s="3296">
        <v>3949</v>
      </c>
      <c r="V22" s="3298">
        <v>0.1</v>
      </c>
      <c r="W22" s="3299">
        <v>34.69</v>
      </c>
      <c r="X22" s="3300">
        <v>346900</v>
      </c>
      <c r="Y22" s="3301">
        <v>2004</v>
      </c>
      <c r="Z22" s="3301">
        <v>2</v>
      </c>
      <c r="AA22" s="3291">
        <v>25</v>
      </c>
      <c r="AB22" s="3302">
        <v>1925</v>
      </c>
      <c r="AC22" s="3291" t="s">
        <v>3568</v>
      </c>
      <c r="AD22" s="3292"/>
      <c r="AE22" s="3303" t="s">
        <v>3569</v>
      </c>
      <c r="AF22" s="3291" t="s">
        <v>3570</v>
      </c>
      <c r="AG22" s="3292" t="s">
        <v>3571</v>
      </c>
      <c r="AH22" s="3292"/>
      <c r="AI22" s="3291" t="s">
        <v>3572</v>
      </c>
      <c r="AJ22" s="3304">
        <v>38291</v>
      </c>
      <c r="AK22" s="3305">
        <v>2</v>
      </c>
      <c r="AL22" s="3301">
        <v>67641700</v>
      </c>
      <c r="AM22" s="3301"/>
      <c r="AN22" s="3306" t="s">
        <v>3669</v>
      </c>
      <c r="AO22" s="3301" t="s">
        <v>3574</v>
      </c>
      <c r="AP22" s="3307" t="s">
        <v>3575</v>
      </c>
      <c r="AQ22" s="3307" t="s">
        <v>3576</v>
      </c>
      <c r="AR22" s="3292"/>
      <c r="AS22" s="3292"/>
      <c r="AT22" s="3292"/>
      <c r="AU22" s="3292"/>
      <c r="AV22" s="3295"/>
      <c r="AW22" s="3292" t="s">
        <v>3577</v>
      </c>
      <c r="AX22" s="3292"/>
      <c r="AY22" s="3308" t="s">
        <v>3683</v>
      </c>
      <c r="AZ22" s="3291" t="s">
        <v>3563</v>
      </c>
      <c r="BA22" s="3292" t="s">
        <v>3579</v>
      </c>
      <c r="BB22" s="3307" t="s">
        <v>3580</v>
      </c>
      <c r="BC22" s="3292" t="s">
        <v>3581</v>
      </c>
      <c r="BD22" s="3292" t="s">
        <v>3582</v>
      </c>
      <c r="BE22" s="3292" t="s">
        <v>3583</v>
      </c>
      <c r="BF22" s="3309">
        <v>2.8</v>
      </c>
      <c r="BG22" s="3304">
        <v>37911</v>
      </c>
      <c r="BH22" s="3292"/>
      <c r="BI22" s="3306" t="s">
        <v>3671</v>
      </c>
      <c r="BJ22" s="3310">
        <v>38040</v>
      </c>
      <c r="BK22" s="3310"/>
      <c r="BL22" s="3301" t="s">
        <v>3584</v>
      </c>
      <c r="BM22" s="3301"/>
      <c r="BN22" s="3301"/>
      <c r="BO22" s="3301"/>
      <c r="BP22" s="3301"/>
      <c r="BQ22" s="3301">
        <v>4979</v>
      </c>
      <c r="BR22" s="3301">
        <v>5034</v>
      </c>
      <c r="BS22" s="3311"/>
      <c r="BT22" s="3311"/>
      <c r="BU22" s="3311"/>
    </row>
    <row r="23" spans="1:73" s="3312" customFormat="1" ht="15.75" customHeight="1">
      <c r="A23" s="3291" t="s">
        <v>3684</v>
      </c>
      <c r="B23" s="3292" t="s">
        <v>3685</v>
      </c>
      <c r="C23" s="3292" t="s">
        <v>3686</v>
      </c>
      <c r="D23" s="3292" t="s">
        <v>3687</v>
      </c>
      <c r="E23" s="3292" t="s">
        <v>3558</v>
      </c>
      <c r="F23" s="3292" t="s">
        <v>3559</v>
      </c>
      <c r="G23" s="3292"/>
      <c r="H23" s="3293" t="s">
        <v>3599</v>
      </c>
      <c r="I23" s="3293" t="s">
        <v>3657</v>
      </c>
      <c r="J23" s="3293" t="s">
        <v>3620</v>
      </c>
      <c r="K23" s="3291" t="s">
        <v>3563</v>
      </c>
      <c r="L23" s="3294">
        <v>97.63</v>
      </c>
      <c r="M23" s="3295" t="s">
        <v>3659</v>
      </c>
      <c r="N23" s="3291" t="s">
        <v>3592</v>
      </c>
      <c r="O23" s="3295" t="s">
        <v>3623</v>
      </c>
      <c r="P23" s="3291" t="s">
        <v>3567</v>
      </c>
      <c r="Q23" s="3296">
        <v>406727</v>
      </c>
      <c r="R23" s="3294">
        <v>4166</v>
      </c>
      <c r="S23" s="3294">
        <v>40.22</v>
      </c>
      <c r="T23" s="3297">
        <v>402200</v>
      </c>
      <c r="U23" s="3296">
        <v>4120</v>
      </c>
      <c r="V23" s="3298">
        <v>0.1</v>
      </c>
      <c r="W23" s="3299">
        <v>36.19</v>
      </c>
      <c r="X23" s="3300">
        <v>361900</v>
      </c>
      <c r="Y23" s="3301">
        <v>2004</v>
      </c>
      <c r="Z23" s="3301">
        <v>2</v>
      </c>
      <c r="AA23" s="3291">
        <v>25</v>
      </c>
      <c r="AB23" s="3302">
        <v>2010</v>
      </c>
      <c r="AC23" s="3291" t="s">
        <v>3568</v>
      </c>
      <c r="AD23" s="3292"/>
      <c r="AE23" s="3303" t="s">
        <v>3569</v>
      </c>
      <c r="AF23" s="3291" t="s">
        <v>3570</v>
      </c>
      <c r="AG23" s="3292" t="s">
        <v>3571</v>
      </c>
      <c r="AH23" s="3292"/>
      <c r="AI23" s="3291" t="s">
        <v>3572</v>
      </c>
      <c r="AJ23" s="3304">
        <v>38291</v>
      </c>
      <c r="AK23" s="3305">
        <v>2</v>
      </c>
      <c r="AL23" s="3301">
        <v>67641700</v>
      </c>
      <c r="AM23" s="3301"/>
      <c r="AN23" s="3306" t="s">
        <v>3669</v>
      </c>
      <c r="AO23" s="3301" t="s">
        <v>3574</v>
      </c>
      <c r="AP23" s="3307" t="s">
        <v>3575</v>
      </c>
      <c r="AQ23" s="3307" t="s">
        <v>3576</v>
      </c>
      <c r="AR23" s="3292"/>
      <c r="AS23" s="3292"/>
      <c r="AT23" s="3292"/>
      <c r="AU23" s="3292"/>
      <c r="AV23" s="3295"/>
      <c r="AW23" s="3292" t="s">
        <v>3577</v>
      </c>
      <c r="AX23" s="3292"/>
      <c r="AY23" s="3308" t="s">
        <v>3688</v>
      </c>
      <c r="AZ23" s="3291" t="s">
        <v>3563</v>
      </c>
      <c r="BA23" s="3292" t="s">
        <v>3579</v>
      </c>
      <c r="BB23" s="3307" t="s">
        <v>3580</v>
      </c>
      <c r="BC23" s="3292" t="s">
        <v>3581</v>
      </c>
      <c r="BD23" s="3292" t="s">
        <v>3582</v>
      </c>
      <c r="BE23" s="3292" t="s">
        <v>3583</v>
      </c>
      <c r="BF23" s="3309">
        <v>2.8</v>
      </c>
      <c r="BG23" s="3304">
        <v>37950</v>
      </c>
      <c r="BH23" s="3292"/>
      <c r="BI23" s="3306" t="s">
        <v>3671</v>
      </c>
      <c r="BJ23" s="3310">
        <v>38040</v>
      </c>
      <c r="BK23" s="3310"/>
      <c r="BL23" s="3301" t="s">
        <v>3584</v>
      </c>
      <c r="BM23" s="3301"/>
      <c r="BN23" s="3301"/>
      <c r="BO23" s="3301"/>
      <c r="BP23" s="3301"/>
      <c r="BQ23" s="3301">
        <v>5194</v>
      </c>
      <c r="BR23" s="3301">
        <v>5252</v>
      </c>
      <c r="BS23" s="3311"/>
      <c r="BT23" s="3311"/>
      <c r="BU23" s="3311"/>
    </row>
    <row r="24" spans="1:73" s="3289" customFormat="1" ht="15.75" customHeight="1">
      <c r="A24" s="3268" t="s">
        <v>3689</v>
      </c>
      <c r="B24" s="3269" t="s">
        <v>3690</v>
      </c>
      <c r="C24" s="3269" t="s">
        <v>3691</v>
      </c>
      <c r="D24" s="3269" t="s">
        <v>3692</v>
      </c>
      <c r="E24" s="3269" t="s">
        <v>3558</v>
      </c>
      <c r="F24" s="3269" t="s">
        <v>3559</v>
      </c>
      <c r="G24" s="3269"/>
      <c r="H24" s="3270" t="s">
        <v>3599</v>
      </c>
      <c r="I24" s="3270" t="s">
        <v>3619</v>
      </c>
      <c r="J24" s="3270" t="s">
        <v>3693</v>
      </c>
      <c r="K24" s="3268" t="s">
        <v>3563</v>
      </c>
      <c r="L24" s="3271">
        <v>95.71</v>
      </c>
      <c r="M24" s="3272" t="s">
        <v>3621</v>
      </c>
      <c r="N24" s="3268" t="s">
        <v>3592</v>
      </c>
      <c r="O24" s="3272" t="s">
        <v>3694</v>
      </c>
      <c r="P24" s="3268" t="s">
        <v>3567</v>
      </c>
      <c r="Q24" s="3273">
        <v>415669</v>
      </c>
      <c r="R24" s="3271">
        <v>4343</v>
      </c>
      <c r="S24" s="3271">
        <v>41.09</v>
      </c>
      <c r="T24" s="3274">
        <v>410900</v>
      </c>
      <c r="U24" s="3273">
        <v>4294</v>
      </c>
      <c r="V24" s="3275">
        <v>0.1</v>
      </c>
      <c r="W24" s="3276">
        <v>36.979999999999997</v>
      </c>
      <c r="X24" s="3277">
        <v>369800</v>
      </c>
      <c r="Y24" s="3278">
        <v>2004</v>
      </c>
      <c r="Z24" s="3278">
        <v>2</v>
      </c>
      <c r="AA24" s="3268">
        <v>27</v>
      </c>
      <c r="AB24" s="3279">
        <v>2050</v>
      </c>
      <c r="AC24" s="3268" t="s">
        <v>3568</v>
      </c>
      <c r="AD24" s="3269"/>
      <c r="AE24" s="3280" t="s">
        <v>3569</v>
      </c>
      <c r="AF24" s="3268" t="s">
        <v>3570</v>
      </c>
      <c r="AG24" s="3269" t="s">
        <v>3571</v>
      </c>
      <c r="AH24" s="3269"/>
      <c r="AI24" s="3268" t="s">
        <v>3572</v>
      </c>
      <c r="AJ24" s="3281">
        <v>38291</v>
      </c>
      <c r="AK24" s="3282">
        <v>2</v>
      </c>
      <c r="AL24" s="3278">
        <v>67641700</v>
      </c>
      <c r="AM24" s="3278"/>
      <c r="AN24" s="3283" t="s">
        <v>3669</v>
      </c>
      <c r="AO24" s="3278" t="s">
        <v>3574</v>
      </c>
      <c r="AP24" s="3284" t="s">
        <v>3575</v>
      </c>
      <c r="AQ24" s="3284" t="s">
        <v>3576</v>
      </c>
      <c r="AR24" s="3269"/>
      <c r="AS24" s="3269"/>
      <c r="AT24" s="3269"/>
      <c r="AU24" s="3269"/>
      <c r="AV24" s="3272"/>
      <c r="AW24" s="3269" t="s">
        <v>3577</v>
      </c>
      <c r="AX24" s="3269"/>
      <c r="AY24" s="3285" t="s">
        <v>3695</v>
      </c>
      <c r="AZ24" s="3268" t="s">
        <v>3563</v>
      </c>
      <c r="BA24" s="3269" t="s">
        <v>3579</v>
      </c>
      <c r="BB24" s="3284" t="s">
        <v>3580</v>
      </c>
      <c r="BC24" s="3269" t="s">
        <v>3581</v>
      </c>
      <c r="BD24" s="3269" t="s">
        <v>3582</v>
      </c>
      <c r="BE24" s="3269" t="s">
        <v>3583</v>
      </c>
      <c r="BF24" s="3286">
        <v>2.8</v>
      </c>
      <c r="BG24" s="3281">
        <v>37992</v>
      </c>
      <c r="BH24" s="3269"/>
      <c r="BI24" s="3283" t="s">
        <v>3575</v>
      </c>
      <c r="BJ24" s="3287">
        <v>38034</v>
      </c>
      <c r="BK24" s="3287"/>
      <c r="BL24" s="3278" t="s">
        <v>3584</v>
      </c>
      <c r="BM24" s="3278"/>
      <c r="BN24" s="3278"/>
      <c r="BO24" s="3278"/>
      <c r="BP24" s="3278"/>
      <c r="BQ24" s="3278">
        <v>5413</v>
      </c>
      <c r="BR24" s="3278">
        <v>5475</v>
      </c>
      <c r="BS24" s="3288"/>
      <c r="BT24" s="3288"/>
      <c r="BU24" s="3288"/>
    </row>
    <row r="25" spans="1:73" s="3289" customFormat="1" ht="15.75" customHeight="1">
      <c r="A25" s="3268" t="s">
        <v>3838</v>
      </c>
      <c r="B25" s="3269" t="s">
        <v>3839</v>
      </c>
      <c r="C25" s="3269" t="s">
        <v>3840</v>
      </c>
      <c r="D25" s="3269" t="s">
        <v>3841</v>
      </c>
      <c r="E25" s="3269" t="s">
        <v>2743</v>
      </c>
      <c r="F25" s="3269" t="s">
        <v>3842</v>
      </c>
      <c r="G25" s="3269"/>
      <c r="H25" s="3270" t="s">
        <v>3843</v>
      </c>
      <c r="I25" s="3270" t="s">
        <v>3844</v>
      </c>
      <c r="J25" s="3270" t="s">
        <v>3845</v>
      </c>
      <c r="K25" s="3268" t="s">
        <v>3846</v>
      </c>
      <c r="L25" s="3271">
        <v>130.66</v>
      </c>
      <c r="M25" s="3272">
        <v>8</v>
      </c>
      <c r="N25" s="3268" t="s">
        <v>3847</v>
      </c>
      <c r="O25" s="3272">
        <v>104.03</v>
      </c>
      <c r="P25" s="3268" t="s">
        <v>3567</v>
      </c>
      <c r="Q25" s="3273">
        <f t="shared" ref="Q25:Q26" si="0">R25*L25</f>
        <v>553998.4</v>
      </c>
      <c r="R25" s="3271">
        <v>4240</v>
      </c>
      <c r="S25" s="3271">
        <f t="shared" ref="S25:S26" si="1">ROUNDDOWN(U25*L25/10000,2)</f>
        <v>54.74</v>
      </c>
      <c r="T25" s="3274">
        <f t="shared" ref="T25:T26" si="2">S25*10000</f>
        <v>547400</v>
      </c>
      <c r="U25" s="3273">
        <v>4190</v>
      </c>
      <c r="V25" s="3275">
        <v>0.1</v>
      </c>
      <c r="W25" s="3276">
        <f t="shared" ref="W25:W26" si="3">ROUNDDOWN(S25*(1-V25),2)</f>
        <v>49.26</v>
      </c>
      <c r="X25" s="3277">
        <f t="shared" ref="X25:X26" si="4">W25*10000</f>
        <v>492600</v>
      </c>
      <c r="Y25" s="3278">
        <v>2003</v>
      </c>
      <c r="Z25" s="3278">
        <v>12</v>
      </c>
      <c r="AA25" s="3268">
        <v>26</v>
      </c>
      <c r="AB25" s="3279">
        <f t="shared" ref="AB25:AB26" si="5">AVERAGE(ROUNDDOWN((IF($S25&lt;=100,$S25*50,5000+($S25-100)*25)),-1),ROUND((IF($S25&lt;=100,$S25*50,5000+($S25-100)*25)),-1))</f>
        <v>2735</v>
      </c>
      <c r="AC25" s="3268" t="s">
        <v>3848</v>
      </c>
      <c r="AD25" s="3269"/>
      <c r="AE25" s="3280" t="s">
        <v>3569</v>
      </c>
      <c r="AF25" s="3268" t="s">
        <v>3849</v>
      </c>
      <c r="AG25" s="3269" t="s">
        <v>3571</v>
      </c>
      <c r="AH25" s="3269"/>
      <c r="AI25" s="3268" t="s">
        <v>3850</v>
      </c>
      <c r="AJ25" s="3281">
        <v>38411</v>
      </c>
      <c r="AK25" s="3282" t="s">
        <v>3851</v>
      </c>
      <c r="AL25" s="3278">
        <v>67641700</v>
      </c>
      <c r="AM25" s="3278"/>
      <c r="AN25" s="3283" t="s">
        <v>3669</v>
      </c>
      <c r="AO25" s="3278"/>
      <c r="AP25" s="3284" t="s">
        <v>3852</v>
      </c>
      <c r="AQ25" s="3284" t="s">
        <v>3576</v>
      </c>
      <c r="AR25" s="3269"/>
      <c r="AS25" s="3269"/>
      <c r="AT25" s="3269"/>
      <c r="AU25" s="3269" t="s">
        <v>3574</v>
      </c>
      <c r="AV25" s="3272" t="s">
        <v>3574</v>
      </c>
      <c r="AW25" s="3269" t="s">
        <v>3577</v>
      </c>
      <c r="AX25" s="3269"/>
      <c r="AY25" s="3285">
        <v>606243</v>
      </c>
      <c r="AZ25" s="3268" t="str">
        <f>K25</f>
        <v>北京宏鑫源房地产开发有限责任公司</v>
      </c>
      <c r="BA25" s="3269" t="s">
        <v>3853</v>
      </c>
      <c r="BB25" s="3284" t="s">
        <v>3854</v>
      </c>
      <c r="BC25" s="3269" t="s">
        <v>3855</v>
      </c>
      <c r="BD25" s="3269">
        <v>100043</v>
      </c>
      <c r="BE25" s="3269">
        <v>68666395</v>
      </c>
      <c r="BF25" s="3286">
        <v>2.8</v>
      </c>
      <c r="BG25" s="3281">
        <v>37976</v>
      </c>
      <c r="BH25" s="3269"/>
      <c r="BI25" s="3283" t="s">
        <v>3575</v>
      </c>
      <c r="BJ25" s="3287">
        <v>37979</v>
      </c>
      <c r="BK25" s="3287"/>
      <c r="BL25" s="3278" t="s">
        <v>3856</v>
      </c>
      <c r="BM25" s="3278"/>
      <c r="BN25" s="3278"/>
      <c r="BO25" s="3278"/>
      <c r="BP25" s="3278"/>
      <c r="BQ25" s="3278"/>
      <c r="BR25" s="3278"/>
      <c r="BS25" s="3288"/>
      <c r="BT25" s="3288"/>
      <c r="BU25" s="3288"/>
    </row>
    <row r="26" spans="1:73" s="3289" customFormat="1" ht="15.75" customHeight="1">
      <c r="A26" s="3268" t="s">
        <v>3896</v>
      </c>
      <c r="B26" s="3269" t="s">
        <v>3897</v>
      </c>
      <c r="C26" s="3269" t="s">
        <v>3898</v>
      </c>
      <c r="D26" s="3269" t="s">
        <v>3899</v>
      </c>
      <c r="E26" s="3269" t="s">
        <v>3558</v>
      </c>
      <c r="F26" s="3269" t="s">
        <v>3900</v>
      </c>
      <c r="G26" s="3269"/>
      <c r="H26" s="3270" t="s">
        <v>3901</v>
      </c>
      <c r="I26" s="3270" t="s">
        <v>3902</v>
      </c>
      <c r="J26" s="3270" t="s">
        <v>3903</v>
      </c>
      <c r="K26" s="3268" t="s">
        <v>3904</v>
      </c>
      <c r="L26" s="3271">
        <v>138.94</v>
      </c>
      <c r="M26" s="3272">
        <v>4</v>
      </c>
      <c r="N26" s="3290" t="s">
        <v>3847</v>
      </c>
      <c r="O26" s="3272">
        <v>118.3</v>
      </c>
      <c r="P26" s="3268" t="s">
        <v>3567</v>
      </c>
      <c r="Q26" s="3273">
        <f t="shared" si="0"/>
        <v>575961.87599999993</v>
      </c>
      <c r="R26" s="3271">
        <v>4145.3999999999996</v>
      </c>
      <c r="S26" s="3271">
        <f t="shared" si="1"/>
        <v>56.9</v>
      </c>
      <c r="T26" s="3274">
        <f t="shared" si="2"/>
        <v>569000</v>
      </c>
      <c r="U26" s="3273">
        <v>4096</v>
      </c>
      <c r="V26" s="3275">
        <v>0.1</v>
      </c>
      <c r="W26" s="3276">
        <f t="shared" si="3"/>
        <v>51.21</v>
      </c>
      <c r="X26" s="3277">
        <f t="shared" si="4"/>
        <v>512100</v>
      </c>
      <c r="Y26" s="3278">
        <v>2003</v>
      </c>
      <c r="Z26" s="3278">
        <v>12</v>
      </c>
      <c r="AA26" s="3278">
        <v>29</v>
      </c>
      <c r="AB26" s="3279">
        <f t="shared" si="5"/>
        <v>2845</v>
      </c>
      <c r="AC26" s="3268" t="s">
        <v>3848</v>
      </c>
      <c r="AD26" s="3269"/>
      <c r="AE26" s="3280" t="s">
        <v>3569</v>
      </c>
      <c r="AF26" s="3268" t="s">
        <v>3905</v>
      </c>
      <c r="AG26" s="3269" t="s">
        <v>3571</v>
      </c>
      <c r="AH26" s="3269"/>
      <c r="AI26" s="3268" t="s">
        <v>3850</v>
      </c>
      <c r="AJ26" s="3281">
        <v>38275</v>
      </c>
      <c r="AK26" s="3282" t="s">
        <v>3906</v>
      </c>
      <c r="AL26" s="3278">
        <v>67641700</v>
      </c>
      <c r="AM26" s="3278"/>
      <c r="AN26" s="3283" t="s">
        <v>3907</v>
      </c>
      <c r="AO26" s="3278"/>
      <c r="AP26" s="3284" t="s">
        <v>3575</v>
      </c>
      <c r="AQ26" s="3284" t="s">
        <v>3576</v>
      </c>
      <c r="AR26" s="3269"/>
      <c r="AS26" s="3269"/>
      <c r="AT26" s="3269"/>
      <c r="AU26" s="3269"/>
      <c r="AV26" s="3272"/>
      <c r="AW26" s="3269" t="s">
        <v>3577</v>
      </c>
      <c r="AX26" s="3269"/>
      <c r="AY26" s="3285" t="s">
        <v>3908</v>
      </c>
      <c r="AZ26" s="3268" t="s">
        <v>3904</v>
      </c>
      <c r="BA26" s="3269" t="s">
        <v>3909</v>
      </c>
      <c r="BB26" s="3284" t="s">
        <v>3910</v>
      </c>
      <c r="BC26" s="3269" t="s">
        <v>3911</v>
      </c>
      <c r="BD26" s="3269">
        <v>100041</v>
      </c>
      <c r="BE26" s="3269">
        <v>88291096</v>
      </c>
      <c r="BF26" s="3286">
        <v>2.8</v>
      </c>
      <c r="BG26" s="3281">
        <v>37959</v>
      </c>
      <c r="BH26" s="3269"/>
      <c r="BI26" s="3283" t="s">
        <v>3575</v>
      </c>
      <c r="BJ26" s="3287">
        <v>37980</v>
      </c>
      <c r="BK26" s="3287"/>
      <c r="BL26" s="3278" t="s">
        <v>3584</v>
      </c>
      <c r="BM26" s="3278"/>
      <c r="BN26" s="3278"/>
      <c r="BO26" s="3278"/>
      <c r="BP26" s="3278"/>
      <c r="BQ26" s="3278"/>
      <c r="BR26" s="3278"/>
      <c r="BS26" s="3288"/>
      <c r="BT26" s="3288"/>
      <c r="BU26" s="3288"/>
    </row>
    <row r="27" spans="1:73" s="3242" customFormat="1" ht="15.75" customHeight="1">
      <c r="A27" s="3220"/>
      <c r="B27" s="3221"/>
      <c r="C27" s="3221"/>
      <c r="D27" s="3221"/>
      <c r="E27" s="3221"/>
      <c r="F27" s="3221"/>
      <c r="G27" s="3221"/>
      <c r="H27" s="3222"/>
      <c r="I27" s="3222"/>
      <c r="J27" s="3222"/>
      <c r="K27" s="3221"/>
      <c r="L27" s="3223"/>
      <c r="M27" s="3224"/>
      <c r="N27" s="3220"/>
      <c r="O27" s="3224"/>
      <c r="P27" s="3221"/>
      <c r="Q27" s="3226"/>
      <c r="R27" s="3223"/>
      <c r="S27" s="3223"/>
      <c r="T27" s="3227"/>
      <c r="U27" s="3226"/>
      <c r="V27" s="3228"/>
      <c r="W27" s="3229"/>
      <c r="X27" s="3243"/>
      <c r="Y27" s="3231"/>
      <c r="Z27" s="3231"/>
      <c r="AA27" s="3220"/>
      <c r="AB27" s="3220"/>
      <c r="AC27" s="3220"/>
      <c r="AD27" s="3221"/>
      <c r="AE27" s="3233"/>
      <c r="AF27" s="3222"/>
      <c r="AG27" s="3221"/>
      <c r="AH27" s="3221"/>
      <c r="AI27" s="3220"/>
      <c r="AJ27" s="3234"/>
      <c r="AK27" s="3244"/>
      <c r="AL27" s="3237"/>
      <c r="AM27" s="3237"/>
      <c r="AN27" s="3236"/>
      <c r="AO27" s="3237"/>
      <c r="AP27" s="3237"/>
      <c r="AQ27" s="3237"/>
      <c r="AR27" s="3221"/>
      <c r="AS27" s="3221"/>
      <c r="AT27" s="3221"/>
      <c r="AU27" s="3221"/>
      <c r="AV27" s="3224"/>
      <c r="AW27" s="3221"/>
      <c r="AX27" s="3221"/>
      <c r="AY27" s="3238"/>
      <c r="AZ27" s="3221"/>
      <c r="BA27" s="3221"/>
      <c r="BB27" s="3237"/>
      <c r="BC27" s="3221"/>
      <c r="BD27" s="3221"/>
      <c r="BE27" s="3221"/>
      <c r="BF27" s="3221"/>
      <c r="BG27" s="3234"/>
      <c r="BH27" s="3221"/>
      <c r="BI27" s="3245"/>
      <c r="BJ27" s="3240"/>
      <c r="BK27" s="3240"/>
      <c r="BL27" s="3220"/>
      <c r="BM27" s="3231"/>
      <c r="BN27" s="3231"/>
      <c r="BO27" s="3231"/>
      <c r="BP27" s="3231"/>
      <c r="BQ27" s="3231"/>
      <c r="BR27" s="3231"/>
      <c r="BS27" s="3241"/>
      <c r="BT27" s="3241"/>
      <c r="BU27" s="3241"/>
    </row>
    <row r="28" spans="1:73" ht="15.75" customHeight="1"/>
    <row r="29" spans="1:73" ht="15.75" customHeight="1"/>
    <row r="30" spans="1:73" s="3313" customFormat="1" ht="24.75" customHeight="1">
      <c r="A30" s="3200"/>
      <c r="B30" s="3200"/>
      <c r="C30" s="3200"/>
      <c r="D30" s="3200"/>
      <c r="E30" s="3200"/>
      <c r="F30" s="3200"/>
      <c r="G30" s="3200"/>
      <c r="H30" s="3200"/>
      <c r="I30" s="3200" t="s">
        <v>3697</v>
      </c>
      <c r="J30" s="3200" t="s">
        <v>3698</v>
      </c>
      <c r="K30" s="3200" t="s">
        <v>3699</v>
      </c>
      <c r="L30" s="3200" t="s">
        <v>3697</v>
      </c>
      <c r="M30" s="3200" t="s">
        <v>3698</v>
      </c>
      <c r="N30" s="3200" t="s">
        <v>3699</v>
      </c>
      <c r="O30" s="3200" t="s">
        <v>3697</v>
      </c>
      <c r="P30" s="3200" t="s">
        <v>3698</v>
      </c>
      <c r="Q30" s="3200" t="s">
        <v>3699</v>
      </c>
      <c r="R30" s="3200"/>
      <c r="S30" s="3200" t="s">
        <v>3697</v>
      </c>
      <c r="T30" s="3200" t="s">
        <v>3698</v>
      </c>
      <c r="U30" s="3200" t="s">
        <v>3699</v>
      </c>
      <c r="V30" s="3200"/>
      <c r="W30" s="3200" t="s">
        <v>3700</v>
      </c>
      <c r="X30" s="3200"/>
      <c r="Y30" s="3200"/>
      <c r="Z30" s="3200"/>
      <c r="AA30" s="3200"/>
      <c r="AB30" s="3200"/>
      <c r="AC30" s="3200"/>
      <c r="AD30" s="3200"/>
      <c r="AE30" s="3200"/>
      <c r="AF30" s="3200"/>
      <c r="AG30" s="3200"/>
      <c r="AH30" s="3200"/>
      <c r="AI30" s="3200"/>
      <c r="AJ30" s="3200"/>
      <c r="AK30" s="3200"/>
      <c r="AL30" s="3200"/>
      <c r="AM30" s="3200"/>
      <c r="AN30" s="3200"/>
      <c r="AO30" s="3200"/>
      <c r="AP30" s="3314"/>
      <c r="AQ30" s="3200"/>
      <c r="AR30" s="3200"/>
      <c r="AS30" s="3200"/>
      <c r="AT30" s="3200"/>
      <c r="AU30" s="3200" t="s">
        <v>3701</v>
      </c>
      <c r="AV30" s="3200"/>
      <c r="AW30" s="3200"/>
      <c r="AX30" s="3200"/>
      <c r="AY30" s="3200"/>
    </row>
    <row r="31" spans="1:73" s="3313" customFormat="1" ht="24.75" customHeight="1">
      <c r="A31" s="3315" t="s">
        <v>3489</v>
      </c>
      <c r="B31" s="3315" t="s">
        <v>3702</v>
      </c>
      <c r="C31" s="3315" t="s">
        <v>3493</v>
      </c>
      <c r="D31" s="3315" t="s">
        <v>3496</v>
      </c>
      <c r="E31" s="3315" t="s">
        <v>3703</v>
      </c>
      <c r="F31" s="3315" t="s">
        <v>3704</v>
      </c>
      <c r="G31" s="3315" t="s">
        <v>3705</v>
      </c>
      <c r="H31" s="3315" t="s">
        <v>3706</v>
      </c>
      <c r="I31" s="3315" t="s">
        <v>3707</v>
      </c>
      <c r="J31" s="3315" t="s">
        <v>3707</v>
      </c>
      <c r="K31" s="3315" t="s">
        <v>3707</v>
      </c>
      <c r="L31" s="3315" t="s">
        <v>3708</v>
      </c>
      <c r="M31" s="3315" t="s">
        <v>3708</v>
      </c>
      <c r="N31" s="3315" t="s">
        <v>3708</v>
      </c>
      <c r="O31" s="3315" t="s">
        <v>3709</v>
      </c>
      <c r="P31" s="3315" t="s">
        <v>3709</v>
      </c>
      <c r="Q31" s="3315" t="s">
        <v>3709</v>
      </c>
      <c r="R31" s="3315" t="s">
        <v>3710</v>
      </c>
      <c r="S31" s="3315" t="s">
        <v>3711</v>
      </c>
      <c r="T31" s="3315" t="s">
        <v>3711</v>
      </c>
      <c r="U31" s="3315" t="s">
        <v>3711</v>
      </c>
      <c r="V31" s="3315" t="s">
        <v>3712</v>
      </c>
      <c r="W31" s="3315" t="s">
        <v>3713</v>
      </c>
      <c r="X31" s="3315" t="s">
        <v>3714</v>
      </c>
      <c r="Y31" s="3315" t="s">
        <v>3715</v>
      </c>
      <c r="Z31" s="3315" t="s">
        <v>3716</v>
      </c>
      <c r="AA31" s="3315" t="s">
        <v>3717</v>
      </c>
      <c r="AB31" s="3315" t="s">
        <v>3718</v>
      </c>
      <c r="AC31" s="3315" t="s">
        <v>3719</v>
      </c>
      <c r="AD31" s="3315" t="s">
        <v>3720</v>
      </c>
      <c r="AE31" s="3315" t="s">
        <v>3721</v>
      </c>
      <c r="AF31" s="3315" t="s">
        <v>3722</v>
      </c>
      <c r="AG31" s="3315" t="s">
        <v>3723</v>
      </c>
      <c r="AH31" s="3315" t="s">
        <v>3724</v>
      </c>
      <c r="AI31" s="3315" t="s">
        <v>3725</v>
      </c>
      <c r="AJ31" s="3315" t="s">
        <v>3726</v>
      </c>
      <c r="AK31" s="3315" t="s">
        <v>3727</v>
      </c>
      <c r="AL31" s="3315" t="s">
        <v>3728</v>
      </c>
      <c r="AM31" s="3315" t="s">
        <v>3729</v>
      </c>
      <c r="AN31" s="3315" t="s">
        <v>3730</v>
      </c>
      <c r="AO31" s="3315" t="s">
        <v>3731</v>
      </c>
      <c r="AP31" s="3316" t="s">
        <v>3732</v>
      </c>
      <c r="AQ31" s="3315" t="s">
        <v>3733</v>
      </c>
      <c r="AR31" s="3315" t="s">
        <v>3734</v>
      </c>
      <c r="AS31" s="3315" t="s">
        <v>3735</v>
      </c>
      <c r="AT31" s="3315" t="s">
        <v>3736</v>
      </c>
      <c r="AU31" s="3315" t="s">
        <v>3513</v>
      </c>
      <c r="AV31" s="3315" t="s">
        <v>3514</v>
      </c>
      <c r="AW31" s="3315" t="s">
        <v>3515</v>
      </c>
      <c r="AX31" s="3315" t="s">
        <v>3737</v>
      </c>
      <c r="AY31" s="3315" t="s">
        <v>3528</v>
      </c>
    </row>
    <row r="32" spans="1:73" s="3313" customFormat="1" ht="12" customHeight="1">
      <c r="A32" s="3352"/>
      <c r="B32" s="3352" t="s">
        <v>3857</v>
      </c>
      <c r="C32" s="3352" t="s">
        <v>3558</v>
      </c>
      <c r="D32" s="3352"/>
      <c r="E32" s="3352" t="s">
        <v>3824</v>
      </c>
      <c r="F32" s="3352" t="s">
        <v>3739</v>
      </c>
      <c r="G32" s="3352" t="s">
        <v>3875</v>
      </c>
      <c r="H32" s="3352" t="s">
        <v>3741</v>
      </c>
      <c r="I32" s="3352" t="s">
        <v>3876</v>
      </c>
      <c r="J32" s="3352" t="s">
        <v>3876</v>
      </c>
      <c r="K32" s="3352" t="s">
        <v>3876</v>
      </c>
      <c r="L32" s="3352" t="s">
        <v>3876</v>
      </c>
      <c r="M32" s="3352" t="s">
        <v>3877</v>
      </c>
      <c r="N32" s="3352" t="s">
        <v>3877</v>
      </c>
      <c r="O32" s="3352" t="s">
        <v>3744</v>
      </c>
      <c r="P32" s="3352" t="s">
        <v>3878</v>
      </c>
      <c r="Q32" s="3352" t="s">
        <v>3878</v>
      </c>
      <c r="R32" s="3352" t="s">
        <v>3398</v>
      </c>
      <c r="S32" s="3352" t="s">
        <v>3398</v>
      </c>
      <c r="T32" s="3352" t="s">
        <v>3398</v>
      </c>
      <c r="U32" s="3352" t="s">
        <v>3398</v>
      </c>
      <c r="V32" s="3352"/>
      <c r="W32" s="3352" t="s">
        <v>3879</v>
      </c>
      <c r="X32" s="3352" t="s">
        <v>3880</v>
      </c>
      <c r="Y32" s="3352"/>
      <c r="Z32" s="3352" t="s">
        <v>3747</v>
      </c>
      <c r="AA32" s="3352" t="s">
        <v>3881</v>
      </c>
      <c r="AB32" s="3352" t="s">
        <v>3882</v>
      </c>
      <c r="AC32" s="3352" t="s">
        <v>3750</v>
      </c>
      <c r="AD32" s="3352" t="s">
        <v>3751</v>
      </c>
      <c r="AE32" s="3352" t="s">
        <v>3883</v>
      </c>
      <c r="AF32" s="3352" t="s">
        <v>3752</v>
      </c>
      <c r="AG32" s="3352" t="s">
        <v>3884</v>
      </c>
      <c r="AH32" s="3352" t="s">
        <v>3885</v>
      </c>
      <c r="AI32" s="3352" t="s">
        <v>3886</v>
      </c>
      <c r="AJ32" s="3352" t="s">
        <v>3756</v>
      </c>
      <c r="AK32" s="3352" t="s">
        <v>3887</v>
      </c>
      <c r="AL32" s="3352" t="s">
        <v>3888</v>
      </c>
      <c r="AM32" s="3352" t="s">
        <v>3759</v>
      </c>
      <c r="AN32" s="3352" t="s">
        <v>3889</v>
      </c>
      <c r="AO32" s="3352" t="s">
        <v>3890</v>
      </c>
      <c r="AP32" s="3353"/>
      <c r="AQ32" s="3352"/>
      <c r="AR32" s="3352" t="s">
        <v>3762</v>
      </c>
      <c r="AS32" s="3352" t="s">
        <v>3872</v>
      </c>
      <c r="AT32" s="3352"/>
      <c r="AU32" s="3352">
        <v>2003</v>
      </c>
      <c r="AV32" s="3352">
        <v>12</v>
      </c>
      <c r="AW32" s="3352">
        <v>2</v>
      </c>
      <c r="AX32" s="3352" t="s">
        <v>3576</v>
      </c>
      <c r="AY32" s="3352"/>
    </row>
    <row r="33" spans="1:60" s="3313" customFormat="1" ht="12" customHeight="1">
      <c r="A33" s="3352"/>
      <c r="B33" s="3352" t="s">
        <v>3915</v>
      </c>
      <c r="C33" s="3352" t="s">
        <v>3558</v>
      </c>
      <c r="D33" s="3352" t="s">
        <v>3916</v>
      </c>
      <c r="E33" s="3352"/>
      <c r="F33" s="3352" t="s">
        <v>3739</v>
      </c>
      <c r="G33" s="3352" t="s">
        <v>3917</v>
      </c>
      <c r="H33" s="3352" t="s">
        <v>3918</v>
      </c>
      <c r="I33" s="3352" t="s">
        <v>3919</v>
      </c>
      <c r="J33" s="3352" t="s">
        <v>3919</v>
      </c>
      <c r="K33" s="3352" t="s">
        <v>3919</v>
      </c>
      <c r="L33" s="3352" t="s">
        <v>3919</v>
      </c>
      <c r="M33" s="3352" t="s">
        <v>3919</v>
      </c>
      <c r="N33" s="3352" t="s">
        <v>3919</v>
      </c>
      <c r="O33" s="3352" t="s">
        <v>3744</v>
      </c>
      <c r="P33" s="3352" t="s">
        <v>3744</v>
      </c>
      <c r="Q33" s="3352" t="s">
        <v>3920</v>
      </c>
      <c r="R33" s="3352" t="s">
        <v>3398</v>
      </c>
      <c r="S33" s="3352" t="s">
        <v>3398</v>
      </c>
      <c r="T33" s="3352" t="s">
        <v>3398</v>
      </c>
      <c r="U33" s="3352" t="s">
        <v>3398</v>
      </c>
      <c r="V33" s="3352"/>
      <c r="W33" s="3352"/>
      <c r="X33" s="3352" t="s">
        <v>3880</v>
      </c>
      <c r="Y33" s="3352"/>
      <c r="Z33" s="3352" t="s">
        <v>3747</v>
      </c>
      <c r="AA33" s="3352" t="s">
        <v>3921</v>
      </c>
      <c r="AB33" s="3352" t="s">
        <v>3922</v>
      </c>
      <c r="AC33" s="3352" t="s">
        <v>3750</v>
      </c>
      <c r="AD33" s="3352" t="s">
        <v>3751</v>
      </c>
      <c r="AE33" s="3352" t="s">
        <v>3883</v>
      </c>
      <c r="AF33" s="3352" t="s">
        <v>3752</v>
      </c>
      <c r="AG33" s="3352" t="s">
        <v>3923</v>
      </c>
      <c r="AH33" s="3352" t="s">
        <v>3924</v>
      </c>
      <c r="AI33" s="3352" t="s">
        <v>3925</v>
      </c>
      <c r="AJ33" s="3352" t="s">
        <v>3926</v>
      </c>
      <c r="AK33" s="3352" t="s">
        <v>3757</v>
      </c>
      <c r="AL33" s="3352" t="s">
        <v>3888</v>
      </c>
      <c r="AM33" s="3352" t="s">
        <v>3927</v>
      </c>
      <c r="AN33" s="3352" t="s">
        <v>3944</v>
      </c>
      <c r="AO33" s="3352" t="s">
        <v>3890</v>
      </c>
      <c r="AP33" s="3353"/>
      <c r="AQ33" s="3352"/>
      <c r="AR33" s="3352" t="s">
        <v>3762</v>
      </c>
      <c r="AS33" s="3352" t="s">
        <v>3569</v>
      </c>
      <c r="AT33" s="3352"/>
      <c r="AU33" s="3352">
        <v>2001</v>
      </c>
      <c r="AV33" s="3352">
        <v>10</v>
      </c>
      <c r="AW33" s="3352">
        <v>8</v>
      </c>
      <c r="AX33" s="3352"/>
      <c r="AY33" s="3352"/>
    </row>
    <row r="34" spans="1:60" s="3313" customFormat="1" ht="24.75" customHeight="1">
      <c r="A34" s="3317"/>
      <c r="B34" s="3317" t="s">
        <v>3837</v>
      </c>
      <c r="C34" s="3317" t="s">
        <v>3558</v>
      </c>
      <c r="D34" s="3317" t="s">
        <v>3738</v>
      </c>
      <c r="E34" s="3317"/>
      <c r="F34" s="3317" t="s">
        <v>3739</v>
      </c>
      <c r="G34" s="3317" t="s">
        <v>3740</v>
      </c>
      <c r="H34" s="3317" t="s">
        <v>3741</v>
      </c>
      <c r="I34" s="3317" t="s">
        <v>3742</v>
      </c>
      <c r="J34" s="3317" t="s">
        <v>3743</v>
      </c>
      <c r="K34" s="3317" t="s">
        <v>3743</v>
      </c>
      <c r="L34" s="3317" t="s">
        <v>3742</v>
      </c>
      <c r="M34" s="3317" t="s">
        <v>3743</v>
      </c>
      <c r="N34" s="3317" t="s">
        <v>3743</v>
      </c>
      <c r="O34" s="3317" t="s">
        <v>3744</v>
      </c>
      <c r="P34" s="3317" t="s">
        <v>3744</v>
      </c>
      <c r="Q34" s="3317" t="s">
        <v>3744</v>
      </c>
      <c r="R34" s="3317" t="s">
        <v>3398</v>
      </c>
      <c r="S34" s="3317" t="s">
        <v>3398</v>
      </c>
      <c r="T34" s="3317" t="s">
        <v>3398</v>
      </c>
      <c r="U34" s="3317" t="s">
        <v>3398</v>
      </c>
      <c r="V34" s="3317" t="s">
        <v>3745</v>
      </c>
      <c r="W34" s="3317" t="s">
        <v>3746</v>
      </c>
      <c r="X34" s="3317"/>
      <c r="Y34" s="3317"/>
      <c r="Z34" s="3317" t="s">
        <v>3747</v>
      </c>
      <c r="AA34" s="3317" t="s">
        <v>3748</v>
      </c>
      <c r="AB34" s="3317" t="s">
        <v>3749</v>
      </c>
      <c r="AC34" s="3317" t="s">
        <v>3750</v>
      </c>
      <c r="AD34" s="3317" t="s">
        <v>3751</v>
      </c>
      <c r="AE34" s="3317"/>
      <c r="AF34" s="3317" t="s">
        <v>3752</v>
      </c>
      <c r="AG34" s="3317" t="s">
        <v>3753</v>
      </c>
      <c r="AH34" s="3317" t="s">
        <v>3754</v>
      </c>
      <c r="AI34" s="3317" t="s">
        <v>3755</v>
      </c>
      <c r="AJ34" s="3317" t="s">
        <v>3756</v>
      </c>
      <c r="AK34" s="3317" t="s">
        <v>3757</v>
      </c>
      <c r="AL34" s="3317" t="s">
        <v>3758</v>
      </c>
      <c r="AM34" s="3317" t="s">
        <v>3759</v>
      </c>
      <c r="AN34" s="3317" t="s">
        <v>3760</v>
      </c>
      <c r="AO34" s="3317" t="s">
        <v>3761</v>
      </c>
      <c r="AP34" s="3318"/>
      <c r="AQ34" s="3317"/>
      <c r="AR34" s="3317" t="s">
        <v>3762</v>
      </c>
      <c r="AS34" s="3317" t="s">
        <v>3763</v>
      </c>
      <c r="AT34" s="3317"/>
      <c r="AU34" s="3317">
        <v>2003</v>
      </c>
      <c r="AV34" s="3317">
        <v>10</v>
      </c>
      <c r="AW34" s="3317">
        <v>28</v>
      </c>
      <c r="AX34" s="3317" t="s">
        <v>3576</v>
      </c>
      <c r="AY34" s="3317" t="s">
        <v>3669</v>
      </c>
    </row>
    <row r="35" spans="1:60" ht="24.75" customHeight="1"/>
    <row r="36" spans="1:60" s="3319" customFormat="1" ht="24.75" customHeight="1">
      <c r="A36" s="3200"/>
      <c r="B36" s="3200"/>
      <c r="C36" s="3200"/>
      <c r="D36" s="3200"/>
      <c r="E36" s="3200"/>
      <c r="F36" s="3200"/>
      <c r="G36" s="3200"/>
      <c r="H36" s="3200"/>
      <c r="I36" s="3200"/>
      <c r="J36" s="3200"/>
      <c r="K36" s="3200"/>
      <c r="L36" s="3200"/>
      <c r="M36" s="3200"/>
      <c r="N36" s="3200"/>
      <c r="O36" s="3200"/>
      <c r="P36" s="3200"/>
      <c r="Q36" s="3200"/>
      <c r="R36" s="3200"/>
      <c r="S36" s="3200"/>
      <c r="T36" s="3200"/>
      <c r="U36" s="3200"/>
      <c r="V36" s="3200"/>
      <c r="W36" s="3320"/>
      <c r="X36" s="3200"/>
      <c r="Y36" s="3200"/>
      <c r="Z36" s="3200"/>
      <c r="AA36" s="3200"/>
      <c r="AB36" s="3200"/>
      <c r="AC36" s="3321"/>
      <c r="AD36" s="3200"/>
      <c r="AE36" s="3200"/>
      <c r="AF36" s="3321"/>
      <c r="AG36" s="3200"/>
      <c r="AH36" s="3200"/>
      <c r="AI36" s="3200"/>
      <c r="AJ36" s="3200"/>
      <c r="AK36" s="3200"/>
      <c r="AL36" s="3200"/>
      <c r="AM36" s="3200"/>
      <c r="AN36" s="3200"/>
      <c r="AO36" s="3200"/>
      <c r="AP36" s="3200"/>
      <c r="AQ36" s="3200"/>
      <c r="AR36" s="3200"/>
      <c r="AS36" s="3200"/>
      <c r="AT36" s="3322"/>
      <c r="AU36" s="3323"/>
      <c r="AV36" s="3200" t="s">
        <v>3764</v>
      </c>
      <c r="AW36" s="3200"/>
      <c r="AX36" s="3321"/>
      <c r="AY36" s="3200" t="s">
        <v>3765</v>
      </c>
      <c r="AZ36" s="3200"/>
      <c r="BA36" s="3321"/>
      <c r="BB36" s="3200" t="s">
        <v>3766</v>
      </c>
      <c r="BC36" s="3200"/>
      <c r="BD36" s="3321"/>
      <c r="BE36" s="3200" t="s">
        <v>3767</v>
      </c>
      <c r="BF36" s="3200"/>
      <c r="BG36" s="3321"/>
      <c r="BH36" s="3321"/>
    </row>
    <row r="37" spans="1:60" s="3319" customFormat="1" ht="24.75" customHeight="1">
      <c r="A37" s="3200" t="s">
        <v>3529</v>
      </c>
      <c r="B37" s="3200" t="s">
        <v>3702</v>
      </c>
      <c r="C37" s="3200" t="s">
        <v>3496</v>
      </c>
      <c r="D37" s="3200" t="s">
        <v>3493</v>
      </c>
      <c r="E37" s="3200" t="s">
        <v>3768</v>
      </c>
      <c r="F37" s="3200" t="s">
        <v>3769</v>
      </c>
      <c r="G37" s="3200" t="s">
        <v>3770</v>
      </c>
      <c r="H37" s="3200" t="s">
        <v>3771</v>
      </c>
      <c r="I37" s="3200" t="s">
        <v>3772</v>
      </c>
      <c r="J37" s="3200" t="s">
        <v>3773</v>
      </c>
      <c r="K37" s="3200" t="s">
        <v>3774</v>
      </c>
      <c r="L37" s="3200" t="s">
        <v>3775</v>
      </c>
      <c r="M37" s="3200" t="s">
        <v>3776</v>
      </c>
      <c r="N37" s="3200" t="s">
        <v>3777</v>
      </c>
      <c r="O37" s="3200" t="s">
        <v>3778</v>
      </c>
      <c r="P37" s="3200" t="s">
        <v>3779</v>
      </c>
      <c r="Q37" s="3200" t="s">
        <v>3780</v>
      </c>
      <c r="R37" s="3200" t="s">
        <v>3514</v>
      </c>
      <c r="S37" s="3200" t="s">
        <v>3515</v>
      </c>
      <c r="T37" s="3200" t="s">
        <v>3781</v>
      </c>
      <c r="U37" s="3200" t="s">
        <v>3514</v>
      </c>
      <c r="V37" s="3200" t="s">
        <v>3515</v>
      </c>
      <c r="W37" s="3320" t="s">
        <v>3782</v>
      </c>
      <c r="X37" s="3200" t="s">
        <v>3783</v>
      </c>
      <c r="Y37" s="3200" t="s">
        <v>3784</v>
      </c>
      <c r="Z37" s="3200" t="s">
        <v>3785</v>
      </c>
      <c r="AA37" s="3200" t="s">
        <v>3786</v>
      </c>
      <c r="AB37" s="3200" t="s">
        <v>3522</v>
      </c>
      <c r="AC37" s="3321" t="s">
        <v>3787</v>
      </c>
      <c r="AD37" s="3200" t="s">
        <v>3788</v>
      </c>
      <c r="AE37" s="3200" t="s">
        <v>3789</v>
      </c>
      <c r="AF37" s="3321" t="s">
        <v>3790</v>
      </c>
      <c r="AG37" s="3200" t="s">
        <v>3791</v>
      </c>
      <c r="AH37" s="3200" t="s">
        <v>3735</v>
      </c>
      <c r="AI37" s="3200" t="s">
        <v>3736</v>
      </c>
      <c r="AJ37" s="3200" t="s">
        <v>3792</v>
      </c>
      <c r="AK37" s="3200" t="s">
        <v>3514</v>
      </c>
      <c r="AL37" s="3200" t="s">
        <v>3515</v>
      </c>
      <c r="AM37" s="3200" t="s">
        <v>3793</v>
      </c>
      <c r="AN37" s="3200" t="s">
        <v>3528</v>
      </c>
      <c r="AO37" s="3200" t="s">
        <v>3794</v>
      </c>
      <c r="AP37" s="3200" t="s">
        <v>3795</v>
      </c>
      <c r="AQ37" s="3200" t="s">
        <v>3796</v>
      </c>
      <c r="AR37" s="3200" t="s">
        <v>3797</v>
      </c>
      <c r="AS37" s="3200" t="s">
        <v>3798</v>
      </c>
      <c r="AT37" s="3322" t="s">
        <v>3799</v>
      </c>
      <c r="AU37" s="3323" t="s">
        <v>3800</v>
      </c>
      <c r="AV37" s="3200" t="s">
        <v>3801</v>
      </c>
      <c r="AW37" s="3200" t="s">
        <v>3802</v>
      </c>
      <c r="AX37" s="3321" t="s">
        <v>3803</v>
      </c>
      <c r="AY37" s="3200" t="s">
        <v>3801</v>
      </c>
      <c r="AZ37" s="3200" t="s">
        <v>3802</v>
      </c>
      <c r="BA37" s="3321" t="s">
        <v>3803</v>
      </c>
      <c r="BB37" s="3200" t="s">
        <v>3801</v>
      </c>
      <c r="BC37" s="3200" t="s">
        <v>3802</v>
      </c>
      <c r="BD37" s="3321" t="s">
        <v>3803</v>
      </c>
      <c r="BE37" s="3200" t="s">
        <v>3801</v>
      </c>
      <c r="BF37" s="3200" t="s">
        <v>3802</v>
      </c>
      <c r="BG37" s="3321" t="s">
        <v>3803</v>
      </c>
      <c r="BH37" s="3321" t="s">
        <v>3804</v>
      </c>
    </row>
    <row r="38" spans="1:60" s="3313" customFormat="1" ht="12" customHeight="1">
      <c r="A38" s="3342" t="s">
        <v>3860</v>
      </c>
      <c r="B38" s="3343" t="s">
        <v>3857</v>
      </c>
      <c r="C38" s="3343" t="s">
        <v>3861</v>
      </c>
      <c r="D38" s="3343" t="s">
        <v>3558</v>
      </c>
      <c r="E38" s="3343" t="s">
        <v>3862</v>
      </c>
      <c r="F38" s="3343"/>
      <c r="G38" s="3344">
        <v>14</v>
      </c>
      <c r="H38" s="3343"/>
      <c r="I38" s="3343" t="s">
        <v>3863</v>
      </c>
      <c r="J38" s="3343" t="s">
        <v>3864</v>
      </c>
      <c r="K38" s="3343" t="s">
        <v>3865</v>
      </c>
      <c r="L38" s="3344">
        <v>10386.120000000001</v>
      </c>
      <c r="M38" s="3343"/>
      <c r="N38" s="3343"/>
      <c r="O38" s="3343"/>
      <c r="P38" s="3343"/>
      <c r="Q38" s="3344">
        <v>2002</v>
      </c>
      <c r="R38" s="3344">
        <v>9</v>
      </c>
      <c r="S38" s="3344">
        <v>30</v>
      </c>
      <c r="T38" s="3344">
        <v>2072</v>
      </c>
      <c r="U38" s="3344">
        <v>9</v>
      </c>
      <c r="V38" s="3344">
        <v>29</v>
      </c>
      <c r="W38" s="3345">
        <f t="shared" ref="W38:W39" ca="1" si="6">YEAR(TODAY())-Q38+(MONTH(TODAY())-R38)/12</f>
        <v>22.666666666666668</v>
      </c>
      <c r="X38" s="3343" t="s">
        <v>3866</v>
      </c>
      <c r="Y38" s="3343" t="s">
        <v>3867</v>
      </c>
      <c r="Z38" s="3343" t="s">
        <v>3868</v>
      </c>
      <c r="AA38" s="3343" t="s">
        <v>3869</v>
      </c>
      <c r="AB38" s="3343" t="s">
        <v>3870</v>
      </c>
      <c r="AC38" s="3346" t="s">
        <v>3871</v>
      </c>
      <c r="AD38" s="3343" t="s">
        <v>3632</v>
      </c>
      <c r="AE38" s="3347"/>
      <c r="AF38" s="3348"/>
      <c r="AG38" s="3344">
        <v>60</v>
      </c>
      <c r="AH38" s="3343" t="s">
        <v>3872</v>
      </c>
      <c r="AI38" s="3343"/>
      <c r="AJ38" s="3344">
        <v>2003</v>
      </c>
      <c r="AK38" s="3344">
        <v>12</v>
      </c>
      <c r="AL38" s="3344">
        <v>2</v>
      </c>
      <c r="AM38" s="3343" t="s">
        <v>3576</v>
      </c>
      <c r="AN38" s="3343"/>
      <c r="AO38" s="3343"/>
      <c r="AP38" s="3343"/>
      <c r="AQ38" s="3343"/>
      <c r="AR38" s="3343" t="s">
        <v>3818</v>
      </c>
      <c r="AS38" s="3343" t="s">
        <v>3873</v>
      </c>
      <c r="AT38" s="3349"/>
      <c r="AU38" s="3350"/>
      <c r="AV38" s="3343"/>
      <c r="AW38" s="3343"/>
      <c r="AX38" s="3346"/>
      <c r="AY38" s="3343"/>
      <c r="AZ38" s="3343"/>
      <c r="BA38" s="3346"/>
      <c r="BB38" s="3343"/>
      <c r="BC38" s="3343"/>
      <c r="BD38" s="3346"/>
      <c r="BE38" s="3343">
        <v>4100</v>
      </c>
      <c r="BF38" s="3343"/>
      <c r="BG38" s="3346">
        <v>37957</v>
      </c>
      <c r="BH38" s="3351" t="s">
        <v>3874</v>
      </c>
    </row>
    <row r="39" spans="1:60" s="3313" customFormat="1" ht="12" customHeight="1">
      <c r="A39" s="3343" t="s">
        <v>3928</v>
      </c>
      <c r="B39" s="3343" t="s">
        <v>3912</v>
      </c>
      <c r="C39" s="3343" t="s">
        <v>3929</v>
      </c>
      <c r="D39" s="3343" t="s">
        <v>3558</v>
      </c>
      <c r="E39" s="3343" t="s">
        <v>3904</v>
      </c>
      <c r="F39" s="3343" t="s">
        <v>3806</v>
      </c>
      <c r="G39" s="3344">
        <v>9</v>
      </c>
      <c r="H39" s="3343"/>
      <c r="I39" s="3343" t="s">
        <v>3930</v>
      </c>
      <c r="J39" s="3343" t="s">
        <v>3931</v>
      </c>
      <c r="K39" s="3343" t="s">
        <v>3932</v>
      </c>
      <c r="L39" s="3344">
        <v>11573.05</v>
      </c>
      <c r="M39" s="3343"/>
      <c r="N39" s="3343"/>
      <c r="O39" s="3343"/>
      <c r="P39" s="3343"/>
      <c r="Q39" s="3344">
        <v>2002</v>
      </c>
      <c r="R39" s="3344">
        <v>6</v>
      </c>
      <c r="S39" s="3344">
        <v>25</v>
      </c>
      <c r="T39" s="3344">
        <v>2072</v>
      </c>
      <c r="U39" s="3344">
        <v>6</v>
      </c>
      <c r="V39" s="3344">
        <v>24</v>
      </c>
      <c r="W39" s="3345">
        <f t="shared" ca="1" si="6"/>
        <v>22.916666666666668</v>
      </c>
      <c r="X39" s="3343" t="s">
        <v>3933</v>
      </c>
      <c r="Y39" s="3343" t="s">
        <v>3934</v>
      </c>
      <c r="Z39" s="3343" t="s">
        <v>3935</v>
      </c>
      <c r="AA39" s="3343" t="s">
        <v>3936</v>
      </c>
      <c r="AB39" s="3343" t="s">
        <v>3937</v>
      </c>
      <c r="AC39" s="3346" t="s">
        <v>3871</v>
      </c>
      <c r="AD39" s="3343" t="s">
        <v>3938</v>
      </c>
      <c r="AE39" s="3347">
        <v>20040532</v>
      </c>
      <c r="AF39" s="3348">
        <v>38273</v>
      </c>
      <c r="AG39" s="3344">
        <v>60</v>
      </c>
      <c r="AH39" s="3343" t="s">
        <v>3763</v>
      </c>
      <c r="AI39" s="3343" t="s">
        <v>3763</v>
      </c>
      <c r="AJ39" s="3344">
        <v>2004</v>
      </c>
      <c r="AK39" s="3344">
        <v>11</v>
      </c>
      <c r="AL39" s="3344">
        <v>8</v>
      </c>
      <c r="AM39" s="3343" t="s">
        <v>3939</v>
      </c>
      <c r="AN39" s="3343" t="s">
        <v>3940</v>
      </c>
      <c r="AO39" s="3343"/>
      <c r="AP39" s="3343"/>
      <c r="AQ39" s="3343"/>
      <c r="AR39" s="3343"/>
      <c r="AS39" s="3343"/>
      <c r="AT39" s="3349"/>
      <c r="AU39" s="3350"/>
      <c r="AV39" s="3343"/>
      <c r="AW39" s="3343"/>
      <c r="AX39" s="3346"/>
      <c r="AY39" s="3343"/>
      <c r="AZ39" s="3343"/>
      <c r="BA39" s="3346"/>
      <c r="BB39" s="3343"/>
      <c r="BC39" s="3343"/>
      <c r="BD39" s="3346"/>
      <c r="BE39" s="3343" t="s">
        <v>3941</v>
      </c>
      <c r="BF39" s="3343"/>
      <c r="BG39" s="3346">
        <v>37974</v>
      </c>
      <c r="BH39" s="3354" t="s">
        <v>3942</v>
      </c>
    </row>
    <row r="40" spans="1:60" s="3313" customFormat="1" ht="24.75" customHeight="1">
      <c r="A40" s="3324" t="s">
        <v>3805</v>
      </c>
      <c r="B40" s="3325" t="s">
        <v>3476</v>
      </c>
      <c r="C40" s="3325" t="s">
        <v>3738</v>
      </c>
      <c r="D40" s="3325" t="s">
        <v>3558</v>
      </c>
      <c r="E40" s="3325" t="s">
        <v>3563</v>
      </c>
      <c r="F40" s="3325" t="s">
        <v>3806</v>
      </c>
      <c r="G40" s="3326" t="s">
        <v>3807</v>
      </c>
      <c r="H40" s="3325"/>
      <c r="I40" s="3325" t="s">
        <v>3808</v>
      </c>
      <c r="J40" s="3325" t="s">
        <v>3559</v>
      </c>
      <c r="K40" s="3325" t="s">
        <v>3809</v>
      </c>
      <c r="L40" s="3326">
        <v>7673.36</v>
      </c>
      <c r="M40" s="3325"/>
      <c r="N40" s="3325"/>
      <c r="O40" s="3325"/>
      <c r="P40" s="3325"/>
      <c r="Q40" s="3326">
        <v>2003</v>
      </c>
      <c r="R40" s="3326">
        <v>3</v>
      </c>
      <c r="S40" s="3326">
        <v>20</v>
      </c>
      <c r="T40" s="3326">
        <v>2073</v>
      </c>
      <c r="U40" s="3326">
        <v>3</v>
      </c>
      <c r="V40" s="3326">
        <v>19</v>
      </c>
      <c r="W40" s="3327">
        <v>22.0833333333333</v>
      </c>
      <c r="X40" s="3325" t="s">
        <v>3810</v>
      </c>
      <c r="Y40" s="3325" t="s">
        <v>3811</v>
      </c>
      <c r="Z40" s="3325" t="s">
        <v>3812</v>
      </c>
      <c r="AA40" s="3325" t="s">
        <v>3813</v>
      </c>
      <c r="AB40" s="3325" t="s">
        <v>3814</v>
      </c>
      <c r="AC40" s="3328" t="s">
        <v>3815</v>
      </c>
      <c r="AD40" s="3325" t="s">
        <v>3647</v>
      </c>
      <c r="AE40" s="3329">
        <v>20040741</v>
      </c>
      <c r="AF40" s="3330">
        <v>38310</v>
      </c>
      <c r="AG40" s="3326">
        <v>60</v>
      </c>
      <c r="AH40" s="3325" t="s">
        <v>3763</v>
      </c>
      <c r="AI40" s="3325" t="s">
        <v>3816</v>
      </c>
      <c r="AJ40" s="3326">
        <v>2004</v>
      </c>
      <c r="AK40" s="3326">
        <v>12</v>
      </c>
      <c r="AL40" s="3326">
        <v>13</v>
      </c>
      <c r="AM40" s="3325" t="s">
        <v>3817</v>
      </c>
      <c r="AN40" s="3325" t="s">
        <v>3625</v>
      </c>
      <c r="AO40" s="3325"/>
      <c r="AP40" s="3325"/>
      <c r="AQ40" s="3325"/>
      <c r="AR40" s="3325" t="s">
        <v>3818</v>
      </c>
      <c r="AS40" s="3325" t="s">
        <v>3819</v>
      </c>
      <c r="AT40" s="3331"/>
      <c r="AU40" s="3332"/>
      <c r="AV40" s="3325"/>
      <c r="AW40" s="3325"/>
      <c r="AX40" s="3328"/>
      <c r="AY40" s="3325"/>
      <c r="AZ40" s="3325"/>
      <c r="BA40" s="3328"/>
      <c r="BB40" s="3325"/>
      <c r="BC40" s="3325"/>
      <c r="BD40" s="3328"/>
      <c r="BE40" s="3325">
        <v>3850</v>
      </c>
      <c r="BF40" s="3325"/>
      <c r="BG40" s="3328" t="s">
        <v>3820</v>
      </c>
      <c r="BH40" s="3205" t="s">
        <v>3821</v>
      </c>
    </row>
    <row r="41" spans="1:60" ht="24.75" customHeight="1"/>
    <row r="42" spans="1:60" ht="24.75" customHeight="1"/>
    <row r="64" spans="10:11">
      <c r="J64" s="1445" t="s">
        <v>3947</v>
      </c>
      <c r="K64" s="1445" t="s">
        <v>3835</v>
      </c>
    </row>
    <row r="65" spans="1:15">
      <c r="A65" s="1445" t="s">
        <v>3826</v>
      </c>
      <c r="B65" s="1445" t="s">
        <v>3421</v>
      </c>
      <c r="K65" s="3141">
        <v>1</v>
      </c>
      <c r="L65" s="1445" t="s">
        <v>3421</v>
      </c>
    </row>
    <row r="66" spans="1:15">
      <c r="K66" s="3141">
        <v>2</v>
      </c>
      <c r="L66" s="1445" t="s">
        <v>3424</v>
      </c>
    </row>
    <row r="67" spans="1:15">
      <c r="K67" s="3141">
        <v>3</v>
      </c>
      <c r="L67" s="1445" t="s">
        <v>3426</v>
      </c>
    </row>
    <row r="68" spans="1:15">
      <c r="K68" s="3141">
        <v>4</v>
      </c>
      <c r="L68" s="1445" t="s">
        <v>3423</v>
      </c>
    </row>
    <row r="76" spans="1:15">
      <c r="O76" s="3337">
        <f>291/4747/4</f>
        <v>1.5325468717084475E-2</v>
      </c>
    </row>
    <row r="119" spans="2:11">
      <c r="B119" s="1153"/>
      <c r="C119" s="1153"/>
      <c r="D119" s="1153"/>
      <c r="E119" s="1153"/>
      <c r="F119" s="1153"/>
      <c r="G119" s="1153"/>
      <c r="H119" s="1153"/>
      <c r="I119" s="1153"/>
      <c r="J119" s="1153"/>
      <c r="K119" s="1153"/>
    </row>
    <row r="120" spans="2:11">
      <c r="B120" s="1153"/>
      <c r="C120" s="1153"/>
      <c r="D120" s="1153"/>
      <c r="E120" s="1153"/>
      <c r="F120" s="1153"/>
      <c r="G120" s="1153"/>
      <c r="H120" s="1153"/>
      <c r="I120" s="1153"/>
      <c r="J120" s="1153"/>
      <c r="K120" s="1153"/>
    </row>
  </sheetData>
  <mergeCells count="1">
    <mergeCell ref="AL10:AM10"/>
  </mergeCells>
  <phoneticPr fontId="134"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120.79</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53"/>
      <c r="B4" s="3654"/>
      <c r="C4" s="3654"/>
      <c r="D4" s="3655"/>
      <c r="E4" s="3655"/>
      <c r="F4" s="3655"/>
      <c r="G4" s="3655"/>
      <c r="H4" s="3655"/>
      <c r="I4" s="3655"/>
      <c r="J4" s="3656"/>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50" t="s">
        <v>1956</v>
      </c>
      <c r="X8" s="3651"/>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52"/>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5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57" t="s">
        <v>3253</v>
      </c>
      <c r="B20" s="157" t="s">
        <v>1990</v>
      </c>
      <c r="C20" s="3024">
        <f>ROUND(IF(F21="与级别开发程度一致",0,(G21-E21)/C21),0)</f>
        <v>0</v>
      </c>
      <c r="D20" s="3039" t="s">
        <v>1994</v>
      </c>
      <c r="E20" s="3040"/>
      <c r="F20" s="3663" t="s">
        <v>1991</v>
      </c>
      <c r="G20" s="3664"/>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58"/>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38017</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120.79</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5.4900000000000004E-2</v>
      </c>
      <c r="M36" s="2359">
        <f ca="1">ROUND($L$36*(1+M31),3)</f>
        <v>6.9000000000000006E-2</v>
      </c>
      <c r="N36" s="2359">
        <f ca="1">ROUND($L$36*(1+N31),3)</f>
        <v>6.6000000000000003E-2</v>
      </c>
      <c r="O36" s="2359">
        <f ca="1">ROUND($L$36*(1+O31),3)</f>
        <v>6.3E-2</v>
      </c>
      <c r="P36" s="2359">
        <f ca="1">ROUND($L$36*(1+P31),3)</f>
        <v>0.06</v>
      </c>
      <c r="Q36" s="2359">
        <f ca="1">ROUND($L$36*(1+Q31),3)</f>
        <v>6.3E-2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61"/>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5.9900000000000002E-2</v>
      </c>
      <c r="M37" s="2359">
        <f ca="1">ROUND($L$37*(1+M31),3)</f>
        <v>7.4999999999999997E-2</v>
      </c>
      <c r="N37" s="2359">
        <f ca="1">ROUND($L$37*(1+N31),3)</f>
        <v>7.1999999999999995E-2</v>
      </c>
      <c r="O37" s="2359">
        <f ca="1">ROUND($L$37*(1+O31),3)</f>
        <v>6.9000000000000006E-2</v>
      </c>
      <c r="P37" s="2359">
        <f ca="1">ROUND($L$37*(1+P31),3)</f>
        <v>6.6000000000000003E-2</v>
      </c>
      <c r="Q37" s="2359">
        <f ca="1">ROUND($L$37*(1+Q31),3)</f>
        <v>6.9000000000000006E-2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62"/>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62"/>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周边有399路、965路、985路等多条公交线路，综合评价交通便捷度一般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27.5" hidden="1">
      <c r="A56" s="1970" t="s">
        <v>2055</v>
      </c>
      <c r="B5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周边有八大处公园及永定河引水渠等自然及人文景观，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周边有399路、965路、985路等多条公交线路，综合评价交通便捷度一般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27.5" hidden="1">
      <c r="A67" s="1964" t="s">
        <v>2055</v>
      </c>
      <c r="B67"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周边有八大处公园及永定河引水渠等自然及人文景观，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周边有海特花园、西黄新村北里、八大处路33号院、黄南苑小区等住宅小区，居住社区成熟度较好。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周边有399路、965路、985路等多条公交线路，综合评价交通便捷度一般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27.5">
      <c r="A76" s="1964" t="s">
        <v>2055</v>
      </c>
      <c r="B7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周边有八大处公园及永定河引水渠等自然及人文景观，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周边有399路、965路、985路等多条公交线路，综合评价交通便捷度一般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27.5">
      <c r="A99" s="3073" t="s">
        <v>3276</v>
      </c>
      <c r="B99" s="3064"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周边有八大处公园及永定河引水渠等自然及人文景观，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59" t="s">
        <v>3293</v>
      </c>
      <c r="B103" s="3659"/>
      <c r="C103" s="3659"/>
      <c r="D103" s="3659"/>
      <c r="E103" s="3659"/>
      <c r="F103" s="3659"/>
      <c r="G103" s="3659"/>
      <c r="H103" s="3659"/>
      <c r="I103" s="3659"/>
      <c r="J103" s="3659"/>
      <c r="K103" s="1664"/>
      <c r="L103" s="1664"/>
      <c r="M103" s="1664"/>
      <c r="N103" s="1664"/>
    </row>
    <row r="104" spans="1:14">
      <c r="A104" s="3660" t="s">
        <v>3294</v>
      </c>
      <c r="B104" s="3660" t="s">
        <v>3295</v>
      </c>
      <c r="C104" s="3083" t="s">
        <v>3296</v>
      </c>
      <c r="D104" s="3084"/>
      <c r="E104" s="3084"/>
      <c r="F104" s="3084"/>
      <c r="G104" s="3084"/>
      <c r="H104" s="3084"/>
      <c r="I104" s="3084"/>
      <c r="J104" s="3085"/>
      <c r="K104" s="3086"/>
      <c r="L104" s="3086"/>
      <c r="M104" s="3086"/>
      <c r="N104" s="3086"/>
    </row>
    <row r="105" spans="1:14">
      <c r="A105" s="3660"/>
      <c r="B105" s="3660"/>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46"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4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4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4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4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47"/>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48"/>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49" t="s">
        <v>3310</v>
      </c>
      <c r="B113" s="3649"/>
      <c r="C113" s="3649"/>
      <c r="D113" s="3649"/>
      <c r="E113" s="3649"/>
      <c r="F113" s="3649"/>
      <c r="G113" s="3649"/>
      <c r="H113" s="3649"/>
      <c r="I113" s="3649"/>
      <c r="J113" s="3649"/>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74" t="s">
        <v>2604</v>
      </c>
      <c r="B20" s="3669" t="s">
        <v>2625</v>
      </c>
      <c r="C20" s="2835" t="s">
        <v>2436</v>
      </c>
      <c r="D20" s="2836"/>
      <c r="E20" s="2837">
        <v>1</v>
      </c>
      <c r="F20" s="2838" t="s">
        <v>2437</v>
      </c>
      <c r="G20" s="2838"/>
    </row>
    <row r="21" spans="1:13" ht="19.5" customHeight="1">
      <c r="A21" s="3675"/>
      <c r="B21" s="3668"/>
      <c r="C21" s="2839" t="s">
        <v>2438</v>
      </c>
      <c r="D21" s="2840"/>
      <c r="E21" s="2841">
        <v>1</v>
      </c>
      <c r="F21" s="2838" t="s">
        <v>2439</v>
      </c>
      <c r="G21" s="2838"/>
    </row>
    <row r="22" spans="1:13" ht="19.5" customHeight="1">
      <c r="A22" s="3675"/>
      <c r="B22" s="3668"/>
      <c r="C22" s="2839" t="s">
        <v>2440</v>
      </c>
      <c r="D22" s="2840"/>
      <c r="E22" s="2841">
        <v>0.9</v>
      </c>
      <c r="F22" s="2838" t="s">
        <v>2441</v>
      </c>
      <c r="G22" s="2838"/>
    </row>
    <row r="23" spans="1:13" ht="19.5" customHeight="1">
      <c r="A23" s="3675"/>
      <c r="B23" s="3668"/>
      <c r="C23" s="2839" t="s">
        <v>2442</v>
      </c>
      <c r="D23" s="2840"/>
      <c r="E23" s="2841">
        <v>0.9</v>
      </c>
      <c r="F23" s="2838" t="s">
        <v>2443</v>
      </c>
      <c r="G23" s="2838"/>
    </row>
    <row r="24" spans="1:13" ht="19.5" customHeight="1">
      <c r="A24" s="3675"/>
      <c r="B24" s="3668"/>
      <c r="C24" s="2839" t="s">
        <v>2444</v>
      </c>
      <c r="D24" s="2840"/>
      <c r="E24" s="2841">
        <v>0.8</v>
      </c>
      <c r="F24" s="2838" t="s">
        <v>2445</v>
      </c>
      <c r="G24" s="2838"/>
    </row>
    <row r="25" spans="1:13" ht="19.5" customHeight="1" thickBot="1">
      <c r="A25" s="3676"/>
      <c r="B25" s="3670"/>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71" t="s">
        <v>2628</v>
      </c>
      <c r="B27" s="3669" t="s">
        <v>2609</v>
      </c>
      <c r="C27" s="2835" t="s">
        <v>2449</v>
      </c>
      <c r="D27" s="2836"/>
      <c r="E27" s="2837">
        <v>1</v>
      </c>
      <c r="F27" s="2838" t="s">
        <v>2450</v>
      </c>
      <c r="G27" s="2838"/>
    </row>
    <row r="28" spans="1:13" ht="19.5" customHeight="1">
      <c r="A28" s="3672"/>
      <c r="B28" s="3668"/>
      <c r="C28" s="2839" t="s">
        <v>2451</v>
      </c>
      <c r="D28" s="2840"/>
      <c r="E28" s="2841">
        <v>1</v>
      </c>
      <c r="F28" s="2838" t="s">
        <v>2452</v>
      </c>
      <c r="G28" s="2838"/>
    </row>
    <row r="29" spans="1:13" ht="19.5" customHeight="1">
      <c r="A29" s="3672"/>
      <c r="B29" s="3668"/>
      <c r="C29" s="2839" t="s">
        <v>2453</v>
      </c>
      <c r="D29" s="2840"/>
      <c r="E29" s="2841">
        <v>0.8</v>
      </c>
      <c r="F29" s="2838" t="s">
        <v>2454</v>
      </c>
      <c r="G29" s="2838"/>
    </row>
    <row r="30" spans="1:13" ht="19.5" customHeight="1">
      <c r="A30" s="3672"/>
      <c r="B30" s="3668"/>
      <c r="C30" s="2839" t="s">
        <v>2455</v>
      </c>
      <c r="D30" s="2840"/>
      <c r="E30" s="2841">
        <v>0.8</v>
      </c>
      <c r="F30" s="2838" t="s">
        <v>2456</v>
      </c>
      <c r="G30" s="2838"/>
    </row>
    <row r="31" spans="1:13" ht="19.5" customHeight="1">
      <c r="A31" s="3672"/>
      <c r="B31" s="3668"/>
      <c r="C31" s="2839" t="s">
        <v>2457</v>
      </c>
      <c r="D31" s="2840"/>
      <c r="E31" s="2841">
        <v>0.8</v>
      </c>
      <c r="F31" s="2838" t="s">
        <v>2458</v>
      </c>
      <c r="G31" s="2838"/>
    </row>
    <row r="32" spans="1:13" ht="19.5" customHeight="1">
      <c r="A32" s="3672"/>
      <c r="B32" s="3668"/>
      <c r="C32" s="2839" t="s">
        <v>2459</v>
      </c>
      <c r="D32" s="2840"/>
      <c r="E32" s="2841">
        <v>0.7</v>
      </c>
      <c r="F32" s="2838" t="s">
        <v>2460</v>
      </c>
      <c r="G32" s="2838"/>
    </row>
    <row r="33" spans="1:7" ht="19.5" customHeight="1">
      <c r="A33" s="3672"/>
      <c r="B33" s="3668"/>
      <c r="C33" s="2839" t="s">
        <v>2461</v>
      </c>
      <c r="D33" s="2840"/>
      <c r="E33" s="2841">
        <v>0.8</v>
      </c>
      <c r="F33" s="2838" t="s">
        <v>2462</v>
      </c>
      <c r="G33" s="2838"/>
    </row>
    <row r="34" spans="1:7" ht="19.5" customHeight="1">
      <c r="A34" s="3672"/>
      <c r="B34" s="3668"/>
      <c r="C34" s="2839" t="s">
        <v>2463</v>
      </c>
      <c r="D34" s="2840"/>
      <c r="E34" s="2841">
        <v>0.6</v>
      </c>
      <c r="F34" s="2838" t="s">
        <v>2464</v>
      </c>
      <c r="G34" s="2838"/>
    </row>
    <row r="35" spans="1:7" ht="19.5" customHeight="1">
      <c r="A35" s="3672"/>
      <c r="B35" s="3668"/>
      <c r="C35" s="2839" t="s">
        <v>2465</v>
      </c>
      <c r="D35" s="2840"/>
      <c r="E35" s="2841">
        <v>0.2</v>
      </c>
      <c r="F35" s="2838" t="s">
        <v>2466</v>
      </c>
      <c r="G35" s="2838"/>
    </row>
    <row r="36" spans="1:7" ht="19.5" customHeight="1">
      <c r="A36" s="3672"/>
      <c r="B36" s="3668"/>
      <c r="C36" s="2839" t="s">
        <v>2467</v>
      </c>
      <c r="D36" s="2840"/>
      <c r="E36" s="2841">
        <v>0.2</v>
      </c>
      <c r="F36" s="2838" t="s">
        <v>2468</v>
      </c>
      <c r="G36" s="2838"/>
    </row>
    <row r="37" spans="1:7" ht="19.5" customHeight="1">
      <c r="A37" s="3672"/>
      <c r="B37" s="3666" t="s">
        <v>2629</v>
      </c>
      <c r="C37" s="2839" t="s">
        <v>2469</v>
      </c>
      <c r="D37" s="2840"/>
      <c r="E37" s="2841">
        <v>0.6</v>
      </c>
      <c r="F37" s="2838" t="s">
        <v>2470</v>
      </c>
      <c r="G37" s="2838"/>
    </row>
    <row r="38" spans="1:7" ht="19.5" customHeight="1">
      <c r="A38" s="3672"/>
      <c r="B38" s="3668"/>
      <c r="C38" s="2839" t="s">
        <v>2471</v>
      </c>
      <c r="D38" s="2840"/>
      <c r="E38" s="2841">
        <v>0.6</v>
      </c>
      <c r="F38" s="2838" t="s">
        <v>2472</v>
      </c>
      <c r="G38" s="2838"/>
    </row>
    <row r="39" spans="1:7" ht="19.5" customHeight="1" thickBot="1">
      <c r="A39" s="3673"/>
      <c r="B39" s="3670"/>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74" t="s">
        <v>2607</v>
      </c>
      <c r="B41" s="3669" t="s">
        <v>2631</v>
      </c>
      <c r="C41" s="2835" t="s">
        <v>2476</v>
      </c>
      <c r="D41" s="2836"/>
      <c r="E41" s="2837">
        <v>1</v>
      </c>
      <c r="F41" s="2838" t="s">
        <v>2477</v>
      </c>
      <c r="G41" s="2838"/>
    </row>
    <row r="42" spans="1:7" ht="19.5" customHeight="1">
      <c r="A42" s="3675"/>
      <c r="B42" s="3668"/>
      <c r="C42" s="2839" t="s">
        <v>2478</v>
      </c>
      <c r="D42" s="2840"/>
      <c r="E42" s="2841">
        <v>1</v>
      </c>
      <c r="F42" s="2838" t="s">
        <v>2479</v>
      </c>
      <c r="G42" s="2838"/>
    </row>
    <row r="43" spans="1:7" ht="19.5" customHeight="1">
      <c r="A43" s="3675"/>
      <c r="B43" s="3667"/>
      <c r="C43" s="2839" t="s">
        <v>2480</v>
      </c>
      <c r="D43" s="2840"/>
      <c r="E43" s="2841">
        <v>1.5</v>
      </c>
      <c r="F43" s="2838" t="s">
        <v>2481</v>
      </c>
      <c r="G43" s="2838"/>
    </row>
    <row r="44" spans="1:7" ht="19.5" customHeight="1">
      <c r="A44" s="3675"/>
      <c r="B44" s="2850" t="s">
        <v>2632</v>
      </c>
      <c r="C44" s="2839" t="s">
        <v>2633</v>
      </c>
      <c r="D44" s="2840"/>
      <c r="E44" s="2841">
        <v>2</v>
      </c>
      <c r="F44" s="2838" t="s">
        <v>2482</v>
      </c>
      <c r="G44" s="2838"/>
    </row>
    <row r="45" spans="1:7" ht="19.5" customHeight="1">
      <c r="A45" s="3675"/>
      <c r="B45" s="3666" t="s">
        <v>2634</v>
      </c>
      <c r="C45" s="2839" t="s">
        <v>2483</v>
      </c>
      <c r="D45" s="2840"/>
      <c r="E45" s="2841">
        <v>1</v>
      </c>
      <c r="F45" s="2838" t="s">
        <v>2484</v>
      </c>
      <c r="G45" s="2838"/>
    </row>
    <row r="46" spans="1:7" ht="19.5" customHeight="1">
      <c r="A46" s="3675"/>
      <c r="B46" s="3668"/>
      <c r="C46" s="2839" t="s">
        <v>2485</v>
      </c>
      <c r="D46" s="2840"/>
      <c r="E46" s="2841">
        <v>1</v>
      </c>
      <c r="F46" s="2838" t="s">
        <v>2486</v>
      </c>
      <c r="G46" s="2838"/>
    </row>
    <row r="47" spans="1:7" ht="19.5" customHeight="1">
      <c r="A47" s="3675"/>
      <c r="B47" s="3668"/>
      <c r="C47" s="2839" t="s">
        <v>2487</v>
      </c>
      <c r="D47" s="2840"/>
      <c r="E47" s="2841">
        <v>1</v>
      </c>
      <c r="F47" s="2838" t="s">
        <v>2488</v>
      </c>
      <c r="G47" s="2838"/>
    </row>
    <row r="48" spans="1:7" ht="19.5" customHeight="1">
      <c r="A48" s="3675"/>
      <c r="B48" s="3668"/>
      <c r="C48" s="2839" t="s">
        <v>2489</v>
      </c>
      <c r="D48" s="2840"/>
      <c r="E48" s="2841">
        <v>1</v>
      </c>
      <c r="F48" s="2838" t="s">
        <v>2490</v>
      </c>
      <c r="G48" s="2838"/>
    </row>
    <row r="49" spans="1:7" ht="19.5" customHeight="1">
      <c r="A49" s="3675"/>
      <c r="B49" s="3668"/>
      <c r="C49" s="2839" t="s">
        <v>2491</v>
      </c>
      <c r="D49" s="2840"/>
      <c r="E49" s="2841">
        <v>1</v>
      </c>
      <c r="F49" s="2838" t="s">
        <v>2492</v>
      </c>
      <c r="G49" s="2838"/>
    </row>
    <row r="50" spans="1:7" ht="19.5" customHeight="1">
      <c r="A50" s="3675"/>
      <c r="B50" s="3668"/>
      <c r="C50" s="2839" t="s">
        <v>2493</v>
      </c>
      <c r="D50" s="2840"/>
      <c r="E50" s="2841">
        <v>1</v>
      </c>
      <c r="F50" s="2838" t="s">
        <v>2494</v>
      </c>
      <c r="G50" s="2838"/>
    </row>
    <row r="51" spans="1:7" ht="19.5" customHeight="1" thickBot="1">
      <c r="A51" s="3676"/>
      <c r="B51" s="3670"/>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66" t="s">
        <v>2648</v>
      </c>
      <c r="C73" s="2824" t="s">
        <v>2649</v>
      </c>
      <c r="D73" s="2824" t="s">
        <v>2650</v>
      </c>
      <c r="E73" s="2850">
        <v>0.2</v>
      </c>
      <c r="F73" s="2850">
        <v>25</v>
      </c>
    </row>
    <row r="74" spans="1:7" ht="24">
      <c r="A74" s="2850">
        <v>2</v>
      </c>
      <c r="B74" s="3668"/>
      <c r="C74" s="2824" t="s">
        <v>2651</v>
      </c>
      <c r="D74" s="2824" t="s">
        <v>2652</v>
      </c>
      <c r="E74" s="2850">
        <v>0.2</v>
      </c>
      <c r="F74" s="2850">
        <v>25</v>
      </c>
    </row>
    <row r="75" spans="1:7" ht="24">
      <c r="A75" s="2850">
        <v>3</v>
      </c>
      <c r="B75" s="3668"/>
      <c r="C75" s="2824" t="s">
        <v>2653</v>
      </c>
      <c r="D75" s="2824" t="s">
        <v>2654</v>
      </c>
      <c r="E75" s="2850">
        <v>0.2</v>
      </c>
      <c r="F75" s="2850">
        <v>25</v>
      </c>
    </row>
    <row r="76" spans="1:7" ht="13.5">
      <c r="A76" s="2850">
        <v>4</v>
      </c>
      <c r="B76" s="3668"/>
      <c r="C76" s="2824" t="s">
        <v>2655</v>
      </c>
      <c r="D76" s="2824" t="s">
        <v>2656</v>
      </c>
      <c r="E76" s="2850">
        <v>0.15</v>
      </c>
      <c r="F76" s="2850">
        <v>20</v>
      </c>
    </row>
    <row r="77" spans="1:7" ht="24">
      <c r="A77" s="2850">
        <v>5</v>
      </c>
      <c r="B77" s="3668"/>
      <c r="C77" s="2824" t="s">
        <v>2657</v>
      </c>
      <c r="D77" s="2824" t="s">
        <v>2658</v>
      </c>
      <c r="E77" s="2850">
        <v>0.15</v>
      </c>
      <c r="F77" s="2850">
        <v>20</v>
      </c>
    </row>
    <row r="78" spans="1:7" ht="24">
      <c r="A78" s="2850">
        <v>6</v>
      </c>
      <c r="B78" s="3668"/>
      <c r="C78" s="2824" t="s">
        <v>2659</v>
      </c>
      <c r="D78" s="2824" t="s">
        <v>2660</v>
      </c>
      <c r="E78" s="2850">
        <v>0.15</v>
      </c>
      <c r="F78" s="2850">
        <v>20</v>
      </c>
    </row>
    <row r="79" spans="1:7" ht="24">
      <c r="A79" s="2850">
        <v>7</v>
      </c>
      <c r="B79" s="3668"/>
      <c r="C79" s="2824" t="s">
        <v>2661</v>
      </c>
      <c r="D79" s="2824" t="s">
        <v>2662</v>
      </c>
      <c r="E79" s="2850">
        <v>0.15</v>
      </c>
      <c r="F79" s="2850">
        <v>20</v>
      </c>
    </row>
    <row r="80" spans="1:7" ht="24">
      <c r="A80" s="2850">
        <v>8</v>
      </c>
      <c r="B80" s="3668"/>
      <c r="C80" s="2824" t="s">
        <v>2663</v>
      </c>
      <c r="D80" s="2824" t="s">
        <v>2664</v>
      </c>
      <c r="E80" s="2850">
        <v>0.1</v>
      </c>
      <c r="F80" s="2850">
        <v>15</v>
      </c>
    </row>
    <row r="81" spans="1:6" ht="24">
      <c r="A81" s="2850">
        <v>9</v>
      </c>
      <c r="B81" s="3668"/>
      <c r="C81" s="2824" t="s">
        <v>2665</v>
      </c>
      <c r="D81" s="2824" t="s">
        <v>2666</v>
      </c>
      <c r="E81" s="2850">
        <v>0.1</v>
      </c>
      <c r="F81" s="2850">
        <v>15</v>
      </c>
    </row>
    <row r="82" spans="1:6" ht="24">
      <c r="A82" s="2850">
        <v>10</v>
      </c>
      <c r="B82" s="3668"/>
      <c r="C82" s="2824" t="s">
        <v>2667</v>
      </c>
      <c r="D82" s="2824" t="s">
        <v>2668</v>
      </c>
      <c r="E82" s="2850">
        <v>0.1</v>
      </c>
      <c r="F82" s="2850">
        <v>15</v>
      </c>
    </row>
    <row r="83" spans="1:6" ht="24">
      <c r="A83" s="2850">
        <v>11</v>
      </c>
      <c r="B83" s="3668"/>
      <c r="C83" s="2824" t="s">
        <v>2669</v>
      </c>
      <c r="D83" s="2824" t="s">
        <v>2670</v>
      </c>
      <c r="E83" s="2850">
        <v>0.1</v>
      </c>
      <c r="F83" s="2850">
        <v>15</v>
      </c>
    </row>
    <row r="84" spans="1:6" ht="24">
      <c r="A84" s="2850">
        <v>12</v>
      </c>
      <c r="B84" s="3668"/>
      <c r="C84" s="2824" t="s">
        <v>2671</v>
      </c>
      <c r="D84" s="2824" t="s">
        <v>2672</v>
      </c>
      <c r="E84" s="2850">
        <v>0.1</v>
      </c>
      <c r="F84" s="2850">
        <v>15</v>
      </c>
    </row>
    <row r="85" spans="1:6" ht="13.5">
      <c r="A85" s="2850">
        <v>13</v>
      </c>
      <c r="B85" s="3668"/>
      <c r="C85" s="2824" t="s">
        <v>2673</v>
      </c>
      <c r="D85" s="2824" t="s">
        <v>2674</v>
      </c>
      <c r="E85" s="2850">
        <v>0.1</v>
      </c>
      <c r="F85" s="2850">
        <v>15</v>
      </c>
    </row>
    <row r="86" spans="1:6" ht="13.5">
      <c r="A86" s="2850">
        <v>14</v>
      </c>
      <c r="B86" s="3668"/>
      <c r="C86" s="2824" t="s">
        <v>2675</v>
      </c>
      <c r="D86" s="2824" t="s">
        <v>2676</v>
      </c>
      <c r="E86" s="2850">
        <v>0.1</v>
      </c>
      <c r="F86" s="2850">
        <v>15</v>
      </c>
    </row>
    <row r="87" spans="1:6" ht="13.5">
      <c r="A87" s="2850">
        <v>15</v>
      </c>
      <c r="B87" s="3668"/>
      <c r="C87" s="2824" t="s">
        <v>2677</v>
      </c>
      <c r="D87" s="2824" t="s">
        <v>2678</v>
      </c>
      <c r="E87" s="2850">
        <v>0.1</v>
      </c>
      <c r="F87" s="2850">
        <v>15</v>
      </c>
    </row>
    <row r="88" spans="1:6" ht="24">
      <c r="A88" s="2850">
        <v>16</v>
      </c>
      <c r="B88" s="3668"/>
      <c r="C88" s="2824" t="s">
        <v>2679</v>
      </c>
      <c r="D88" s="2824" t="s">
        <v>2680</v>
      </c>
      <c r="E88" s="2850">
        <v>0.1</v>
      </c>
      <c r="F88" s="2850">
        <v>15</v>
      </c>
    </row>
    <row r="89" spans="1:6" ht="24">
      <c r="A89" s="2850">
        <v>17</v>
      </c>
      <c r="B89" s="3667"/>
      <c r="C89" s="2824" t="s">
        <v>2681</v>
      </c>
      <c r="D89" s="2824" t="s">
        <v>2682</v>
      </c>
      <c r="E89" s="2850">
        <v>0.1</v>
      </c>
      <c r="F89" s="2850">
        <v>15</v>
      </c>
    </row>
    <row r="90" spans="1:6" ht="13.5">
      <c r="A90" s="2850">
        <v>18</v>
      </c>
      <c r="B90" s="3666" t="s">
        <v>2683</v>
      </c>
      <c r="C90" s="2824" t="s">
        <v>2684</v>
      </c>
      <c r="D90" s="2824" t="s">
        <v>2685</v>
      </c>
      <c r="E90" s="2850">
        <v>0.2</v>
      </c>
      <c r="F90" s="2850">
        <v>25</v>
      </c>
    </row>
    <row r="91" spans="1:6" ht="24">
      <c r="A91" s="2850">
        <v>19</v>
      </c>
      <c r="B91" s="3668"/>
      <c r="C91" s="2824" t="s">
        <v>2686</v>
      </c>
      <c r="D91" s="2824" t="s">
        <v>2687</v>
      </c>
      <c r="E91" s="2850">
        <v>0.2</v>
      </c>
      <c r="F91" s="2850">
        <v>25</v>
      </c>
    </row>
    <row r="92" spans="1:6" ht="13.5">
      <c r="A92" s="2850">
        <v>20</v>
      </c>
      <c r="B92" s="3668"/>
      <c r="C92" s="2824" t="s">
        <v>2688</v>
      </c>
      <c r="D92" s="2824" t="s">
        <v>2689</v>
      </c>
      <c r="E92" s="2850">
        <v>0.15</v>
      </c>
      <c r="F92" s="2850">
        <v>20</v>
      </c>
    </row>
    <row r="93" spans="1:6" ht="13.5">
      <c r="A93" s="2850">
        <v>21</v>
      </c>
      <c r="B93" s="3668"/>
      <c r="C93" s="2824" t="s">
        <v>2690</v>
      </c>
      <c r="D93" s="2824" t="s">
        <v>2691</v>
      </c>
      <c r="E93" s="2850">
        <v>0.15</v>
      </c>
      <c r="F93" s="2850">
        <v>20</v>
      </c>
    </row>
    <row r="94" spans="1:6" ht="13.5">
      <c r="A94" s="2850">
        <v>22</v>
      </c>
      <c r="B94" s="3668"/>
      <c r="C94" s="2824" t="s">
        <v>2692</v>
      </c>
      <c r="D94" s="2824" t="s">
        <v>2693</v>
      </c>
      <c r="E94" s="2850">
        <v>0.15</v>
      </c>
      <c r="F94" s="2850">
        <v>20</v>
      </c>
    </row>
    <row r="95" spans="1:6" ht="36">
      <c r="A95" s="2850">
        <v>23</v>
      </c>
      <c r="B95" s="3668"/>
      <c r="C95" s="2824" t="s">
        <v>2694</v>
      </c>
      <c r="D95" s="2824" t="s">
        <v>2695</v>
      </c>
      <c r="E95" s="2850">
        <v>0.15</v>
      </c>
      <c r="F95" s="2850">
        <v>20</v>
      </c>
    </row>
    <row r="96" spans="1:6" ht="13.5">
      <c r="A96" s="2850">
        <v>24</v>
      </c>
      <c r="B96" s="3668"/>
      <c r="C96" s="2824" t="s">
        <v>2696</v>
      </c>
      <c r="D96" s="2824" t="s">
        <v>2697</v>
      </c>
      <c r="E96" s="2850">
        <v>0.1</v>
      </c>
      <c r="F96" s="2850">
        <v>15</v>
      </c>
    </row>
    <row r="97" spans="1:6" ht="13.5">
      <c r="A97" s="2850">
        <v>25</v>
      </c>
      <c r="B97" s="3668"/>
      <c r="C97" s="2824" t="s">
        <v>2698</v>
      </c>
      <c r="D97" s="2824" t="s">
        <v>2699</v>
      </c>
      <c r="E97" s="2850">
        <v>0.1</v>
      </c>
      <c r="F97" s="2850">
        <v>15</v>
      </c>
    </row>
    <row r="98" spans="1:6" ht="24">
      <c r="A98" s="2850">
        <v>26</v>
      </c>
      <c r="B98" s="3668"/>
      <c r="C98" s="2824" t="s">
        <v>2700</v>
      </c>
      <c r="D98" s="2824" t="s">
        <v>2701</v>
      </c>
      <c r="E98" s="2850">
        <v>0.1</v>
      </c>
      <c r="F98" s="2850">
        <v>15</v>
      </c>
    </row>
    <row r="99" spans="1:6" ht="24">
      <c r="A99" s="2850">
        <v>27</v>
      </c>
      <c r="B99" s="3668"/>
      <c r="C99" s="2824" t="s">
        <v>2702</v>
      </c>
      <c r="D99" s="2824" t="s">
        <v>2703</v>
      </c>
      <c r="E99" s="2850">
        <v>0.1</v>
      </c>
      <c r="F99" s="2850">
        <v>15</v>
      </c>
    </row>
    <row r="100" spans="1:6" ht="13.5">
      <c r="A100" s="2850">
        <v>28</v>
      </c>
      <c r="B100" s="3668"/>
      <c r="C100" s="2824" t="s">
        <v>2704</v>
      </c>
      <c r="D100" s="2824" t="s">
        <v>2705</v>
      </c>
      <c r="E100" s="2850">
        <v>0.1</v>
      </c>
      <c r="F100" s="2850">
        <v>15</v>
      </c>
    </row>
    <row r="101" spans="1:6" ht="13.5">
      <c r="A101" s="2850">
        <v>29</v>
      </c>
      <c r="B101" s="3668"/>
      <c r="C101" s="2824" t="s">
        <v>2706</v>
      </c>
      <c r="D101" s="2824" t="s">
        <v>2707</v>
      </c>
      <c r="E101" s="2850">
        <v>0.1</v>
      </c>
      <c r="F101" s="2850">
        <v>15</v>
      </c>
    </row>
    <row r="102" spans="1:6" ht="13.5">
      <c r="A102" s="2850">
        <v>30</v>
      </c>
      <c r="B102" s="3668"/>
      <c r="C102" s="2824" t="s">
        <v>2708</v>
      </c>
      <c r="D102" s="2824" t="s">
        <v>2709</v>
      </c>
      <c r="E102" s="2850">
        <v>0.1</v>
      </c>
      <c r="F102" s="2850">
        <v>15</v>
      </c>
    </row>
    <row r="103" spans="1:6" ht="24">
      <c r="A103" s="2850">
        <v>31</v>
      </c>
      <c r="B103" s="3668"/>
      <c r="C103" s="2824" t="s">
        <v>2710</v>
      </c>
      <c r="D103" s="2824" t="s">
        <v>2711</v>
      </c>
      <c r="E103" s="2850">
        <v>0.1</v>
      </c>
      <c r="F103" s="2850">
        <v>15</v>
      </c>
    </row>
    <row r="104" spans="1:6" ht="24">
      <c r="A104" s="2850">
        <v>32</v>
      </c>
      <c r="B104" s="3668"/>
      <c r="C104" s="2824" t="s">
        <v>2712</v>
      </c>
      <c r="D104" s="2824" t="s">
        <v>2713</v>
      </c>
      <c r="E104" s="2850">
        <v>0.1</v>
      </c>
      <c r="F104" s="2850">
        <v>15</v>
      </c>
    </row>
    <row r="105" spans="1:6" ht="24">
      <c r="A105" s="2850">
        <v>33</v>
      </c>
      <c r="B105" s="3668"/>
      <c r="C105" s="2824" t="s">
        <v>2714</v>
      </c>
      <c r="D105" s="2824" t="s">
        <v>2715</v>
      </c>
      <c r="E105" s="2850">
        <v>0.1</v>
      </c>
      <c r="F105" s="2850">
        <v>15</v>
      </c>
    </row>
    <row r="106" spans="1:6" ht="24">
      <c r="A106" s="2850">
        <v>34</v>
      </c>
      <c r="B106" s="3667"/>
      <c r="C106" s="2824" t="s">
        <v>2716</v>
      </c>
      <c r="D106" s="2824" t="s">
        <v>2717</v>
      </c>
      <c r="E106" s="2850">
        <v>0.1</v>
      </c>
      <c r="F106" s="2850">
        <v>15</v>
      </c>
    </row>
    <row r="107" spans="1:6" ht="24">
      <c r="A107" s="2850">
        <v>35</v>
      </c>
      <c r="B107" s="3666" t="s">
        <v>2718</v>
      </c>
      <c r="C107" s="2850" t="s">
        <v>2719</v>
      </c>
      <c r="D107" s="2824" t="s">
        <v>2720</v>
      </c>
      <c r="E107" s="2850">
        <v>0.15</v>
      </c>
      <c r="F107" s="2850">
        <v>20</v>
      </c>
    </row>
    <row r="108" spans="1:6" ht="13.5">
      <c r="A108" s="2850">
        <v>36</v>
      </c>
      <c r="B108" s="3668"/>
      <c r="C108" s="2850" t="s">
        <v>2721</v>
      </c>
      <c r="D108" s="2824" t="s">
        <v>2722</v>
      </c>
      <c r="E108" s="2850">
        <v>0.15</v>
      </c>
      <c r="F108" s="2850">
        <v>20</v>
      </c>
    </row>
    <row r="109" spans="1:6" ht="13.5">
      <c r="A109" s="2850">
        <v>37</v>
      </c>
      <c r="B109" s="3668"/>
      <c r="C109" s="2850" t="s">
        <v>2723</v>
      </c>
      <c r="D109" s="2824" t="s">
        <v>2724</v>
      </c>
      <c r="E109" s="2850">
        <v>0.15</v>
      </c>
      <c r="F109" s="2850">
        <v>20</v>
      </c>
    </row>
    <row r="110" spans="1:6" ht="13.5">
      <c r="A110" s="2850">
        <v>38</v>
      </c>
      <c r="B110" s="3668"/>
      <c r="C110" s="2850" t="s">
        <v>2725</v>
      </c>
      <c r="D110" s="2824" t="s">
        <v>2726</v>
      </c>
      <c r="E110" s="2850">
        <v>0.1</v>
      </c>
      <c r="F110" s="2850">
        <v>15</v>
      </c>
    </row>
    <row r="111" spans="1:6" ht="24">
      <c r="A111" s="2850">
        <v>39</v>
      </c>
      <c r="B111" s="3668"/>
      <c r="C111" s="2850" t="s">
        <v>2727</v>
      </c>
      <c r="D111" s="2824" t="s">
        <v>2728</v>
      </c>
      <c r="E111" s="2850">
        <v>0.1</v>
      </c>
      <c r="F111" s="2850">
        <v>15</v>
      </c>
    </row>
    <row r="112" spans="1:6" ht="24">
      <c r="A112" s="2850">
        <v>40</v>
      </c>
      <c r="B112" s="3667"/>
      <c r="C112" s="2850" t="s">
        <v>2729</v>
      </c>
      <c r="D112" s="2824" t="s">
        <v>2730</v>
      </c>
      <c r="E112" s="2850">
        <v>0.1</v>
      </c>
      <c r="F112" s="2850">
        <v>15</v>
      </c>
    </row>
    <row r="113" spans="1:6" ht="13.5">
      <c r="A113" s="2850">
        <v>41</v>
      </c>
      <c r="B113" s="3665" t="s">
        <v>2731</v>
      </c>
      <c r="C113" s="2850" t="s">
        <v>2732</v>
      </c>
      <c r="D113" s="2824" t="s">
        <v>2733</v>
      </c>
      <c r="E113" s="2850">
        <v>0.1</v>
      </c>
      <c r="F113" s="2850">
        <v>15</v>
      </c>
    </row>
    <row r="114" spans="1:6" ht="13.5">
      <c r="A114" s="2850">
        <v>42</v>
      </c>
      <c r="B114" s="3665"/>
      <c r="C114" s="2850" t="s">
        <v>2734</v>
      </c>
      <c r="D114" s="2824" t="s">
        <v>2735</v>
      </c>
      <c r="E114" s="2850">
        <v>0.1</v>
      </c>
      <c r="F114" s="2850">
        <v>15</v>
      </c>
    </row>
    <row r="115" spans="1:6" ht="24">
      <c r="A115" s="2850">
        <v>43</v>
      </c>
      <c r="B115" s="3665"/>
      <c r="C115" s="2850" t="s">
        <v>2736</v>
      </c>
      <c r="D115" s="2824" t="s">
        <v>2737</v>
      </c>
      <c r="E115" s="2850">
        <v>0.1</v>
      </c>
      <c r="F115" s="2850">
        <v>15</v>
      </c>
    </row>
    <row r="116" spans="1:6" ht="13.5">
      <c r="A116" s="2850">
        <v>44</v>
      </c>
      <c r="B116" s="3666" t="s">
        <v>2738</v>
      </c>
      <c r="C116" s="2850" t="s">
        <v>2739</v>
      </c>
      <c r="D116" s="2824" t="s">
        <v>2740</v>
      </c>
      <c r="E116" s="2850">
        <v>0.1</v>
      </c>
      <c r="F116" s="2850">
        <v>15</v>
      </c>
    </row>
    <row r="117" spans="1:6" ht="24">
      <c r="A117" s="2850">
        <v>45</v>
      </c>
      <c r="B117" s="3667"/>
      <c r="C117" s="2824" t="s">
        <v>2741</v>
      </c>
      <c r="D117" s="2824" t="s">
        <v>2742</v>
      </c>
      <c r="E117" s="2850">
        <v>0.1</v>
      </c>
      <c r="F117" s="2850">
        <v>15</v>
      </c>
    </row>
    <row r="118" spans="1:6" ht="24">
      <c r="A118" s="2850">
        <v>46</v>
      </c>
      <c r="B118" s="3666" t="s">
        <v>2743</v>
      </c>
      <c r="C118" s="2850" t="s">
        <v>2744</v>
      </c>
      <c r="D118" s="2824" t="s">
        <v>2745</v>
      </c>
      <c r="E118" s="2850">
        <v>0.1</v>
      </c>
      <c r="F118" s="2850">
        <v>15</v>
      </c>
    </row>
    <row r="119" spans="1:6" ht="24">
      <c r="A119" s="2850">
        <v>47</v>
      </c>
      <c r="B119" s="3667"/>
      <c r="C119" s="2850" t="s">
        <v>2746</v>
      </c>
      <c r="D119" s="2824" t="s">
        <v>2747</v>
      </c>
      <c r="E119" s="2850">
        <v>0.1</v>
      </c>
      <c r="F119" s="2850">
        <v>15</v>
      </c>
    </row>
    <row r="120" spans="1:6" ht="13.5">
      <c r="A120" s="2850">
        <v>48</v>
      </c>
      <c r="B120" s="3666" t="s">
        <v>2748</v>
      </c>
      <c r="C120" s="2850" t="s">
        <v>2749</v>
      </c>
      <c r="D120" s="2824" t="s">
        <v>2750</v>
      </c>
      <c r="E120" s="2850">
        <v>0.1</v>
      </c>
      <c r="F120" s="2850">
        <v>15</v>
      </c>
    </row>
    <row r="121" spans="1:6" ht="13.5">
      <c r="A121" s="2850">
        <v>49</v>
      </c>
      <c r="B121" s="3667"/>
      <c r="C121" s="2850" t="s">
        <v>2751</v>
      </c>
      <c r="D121" s="2824" t="s">
        <v>2752</v>
      </c>
      <c r="E121" s="2850">
        <v>0.1</v>
      </c>
      <c r="F121" s="2850">
        <v>15</v>
      </c>
    </row>
    <row r="122" spans="1:6" ht="24">
      <c r="A122" s="2850">
        <v>50</v>
      </c>
      <c r="B122" s="3665" t="s">
        <v>2753</v>
      </c>
      <c r="C122" s="2850" t="s">
        <v>2754</v>
      </c>
      <c r="D122" s="2824" t="s">
        <v>2755</v>
      </c>
      <c r="E122" s="2850">
        <v>0.1</v>
      </c>
      <c r="F122" s="2850">
        <v>15</v>
      </c>
    </row>
    <row r="123" spans="1:6" ht="24">
      <c r="A123" s="2850">
        <v>51</v>
      </c>
      <c r="B123" s="3665"/>
      <c r="C123" s="2850" t="s">
        <v>2756</v>
      </c>
      <c r="D123" s="2824" t="s">
        <v>2757</v>
      </c>
      <c r="E123" s="2850">
        <v>0.1</v>
      </c>
      <c r="F123" s="2850">
        <v>15</v>
      </c>
    </row>
    <row r="124" spans="1:6" ht="24">
      <c r="A124" s="2850">
        <v>52</v>
      </c>
      <c r="B124" s="3665" t="s">
        <v>2758</v>
      </c>
      <c r="C124" s="2850" t="s">
        <v>2759</v>
      </c>
      <c r="D124" s="2824" t="s">
        <v>2760</v>
      </c>
      <c r="E124" s="2850">
        <v>0.1</v>
      </c>
      <c r="F124" s="2850">
        <v>15</v>
      </c>
    </row>
    <row r="125" spans="1:6" ht="24">
      <c r="A125" s="2850">
        <v>53</v>
      </c>
      <c r="B125" s="3665"/>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65" t="s">
        <v>2766</v>
      </c>
      <c r="C127" s="2850" t="s">
        <v>2767</v>
      </c>
      <c r="D127" s="2824" t="s">
        <v>2768</v>
      </c>
      <c r="E127" s="2850">
        <v>0.1</v>
      </c>
      <c r="F127" s="2850">
        <v>15</v>
      </c>
    </row>
    <row r="128" spans="1:6" ht="13.5">
      <c r="A128" s="2850">
        <v>56</v>
      </c>
      <c r="B128" s="3665"/>
      <c r="C128" s="2850" t="s">
        <v>2769</v>
      </c>
      <c r="D128" s="2824" t="s">
        <v>2770</v>
      </c>
      <c r="E128" s="2850">
        <v>0.1</v>
      </c>
      <c r="F128" s="2850">
        <v>15</v>
      </c>
    </row>
    <row r="129" spans="1:6" ht="24">
      <c r="A129" s="2850">
        <v>57</v>
      </c>
      <c r="B129" s="3665"/>
      <c r="C129" s="2850" t="s">
        <v>2771</v>
      </c>
      <c r="D129" s="2824" t="s">
        <v>2772</v>
      </c>
      <c r="E129" s="2850">
        <v>0.1</v>
      </c>
      <c r="F129" s="2850">
        <v>15</v>
      </c>
    </row>
    <row r="130" spans="1:6" ht="24">
      <c r="A130" s="2850">
        <v>58</v>
      </c>
      <c r="B130" s="3665" t="s">
        <v>2773</v>
      </c>
      <c r="C130" s="2850" t="s">
        <v>2774</v>
      </c>
      <c r="D130" s="2824" t="s">
        <v>2775</v>
      </c>
      <c r="E130" s="2850">
        <v>0.1</v>
      </c>
      <c r="F130" s="2850">
        <v>15</v>
      </c>
    </row>
    <row r="131" spans="1:6" ht="13.5">
      <c r="A131" s="2850">
        <v>59</v>
      </c>
      <c r="B131" s="3665"/>
      <c r="C131" s="2850" t="s">
        <v>2776</v>
      </c>
      <c r="D131" s="2824" t="s">
        <v>2777</v>
      </c>
      <c r="E131" s="2850">
        <v>0.1</v>
      </c>
      <c r="F131" s="2850">
        <v>15</v>
      </c>
    </row>
    <row r="132" spans="1:6" ht="13.5">
      <c r="A132" s="2850">
        <v>60</v>
      </c>
      <c r="B132" s="3666" t="s">
        <v>2778</v>
      </c>
      <c r="C132" s="2850" t="s">
        <v>2779</v>
      </c>
      <c r="D132" s="2824" t="s">
        <v>2780</v>
      </c>
      <c r="E132" s="2850">
        <v>0.1</v>
      </c>
      <c r="F132" s="2850">
        <v>15</v>
      </c>
    </row>
    <row r="133" spans="1:6" ht="13.5">
      <c r="A133" s="2850">
        <v>61</v>
      </c>
      <c r="B133" s="3667"/>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65" t="s">
        <v>2786</v>
      </c>
      <c r="C135" s="2850" t="s">
        <v>2787</v>
      </c>
      <c r="D135" s="2824" t="s">
        <v>2788</v>
      </c>
      <c r="E135" s="2850">
        <v>0.1</v>
      </c>
      <c r="F135" s="2850">
        <v>15</v>
      </c>
    </row>
    <row r="136" spans="1:6" ht="13.5">
      <c r="A136" s="2850">
        <v>64</v>
      </c>
      <c r="B136" s="3665"/>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8">
      <c r="A3" s="3362" t="str">
        <f>IF(项目基本情况!B9="房地产市场价值","估价结果一览表（市场价值不需“结果表-1”）","估价结果一览表")</f>
        <v>估价结果一览表</v>
      </c>
      <c r="B3" s="3362"/>
      <c r="C3" s="3362"/>
      <c r="D3" s="3362"/>
      <c r="E3" s="3362"/>
    </row>
    <row r="4" spans="1:5" ht="19.5" thickBot="1">
      <c r="A4" s="1388"/>
      <c r="B4" s="3360" t="s">
        <v>917</v>
      </c>
      <c r="C4" s="3360"/>
      <c r="D4" s="3360"/>
      <c r="E4" s="1388"/>
    </row>
    <row r="5" spans="1:5" ht="16.5" thickTop="1">
      <c r="B5" s="3358" t="s">
        <v>909</v>
      </c>
      <c r="C5" s="1389" t="s">
        <v>910</v>
      </c>
      <c r="D5" s="795" t="e">
        <f ca="1">结果表!H101</f>
        <v>#REF!</v>
      </c>
    </row>
    <row r="6" spans="1:5" ht="15.75">
      <c r="B6" s="3358"/>
      <c r="C6" s="1389" t="s">
        <v>911</v>
      </c>
      <c r="D6" s="795" t="e">
        <f ca="1">NUMBERSTRING(INT(D5*10000),2)&amp;"元整"</f>
        <v>#REF!</v>
      </c>
    </row>
    <row r="7" spans="1:5" ht="15.75">
      <c r="B7" s="3363"/>
      <c r="C7" s="1390" t="s">
        <v>912</v>
      </c>
      <c r="D7" s="796" t="e">
        <f ca="1">结果表!H102</f>
        <v>#REF!</v>
      </c>
    </row>
    <row r="8" spans="1:5" ht="15.75">
      <c r="B8" s="3364" t="str">
        <f>结果表!E103</f>
        <v>2.估价师知悉的法定优先受偿款</v>
      </c>
      <c r="C8" s="1391" t="s">
        <v>913</v>
      </c>
      <c r="D8" s="796">
        <f>结果表!H103</f>
        <v>0</v>
      </c>
    </row>
    <row r="9" spans="1:5" ht="15.75">
      <c r="B9" s="3366"/>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57" t="str">
        <f>结果表!E107</f>
        <v>3.房地产抵押价值</v>
      </c>
      <c r="C13" s="1394" t="s">
        <v>910</v>
      </c>
      <c r="D13" s="798" t="e">
        <f ca="1">结果表!H107</f>
        <v>#REF!</v>
      </c>
    </row>
    <row r="14" spans="1:5" ht="15.75">
      <c r="B14" s="3358"/>
      <c r="C14" s="1389" t="s">
        <v>911</v>
      </c>
      <c r="D14" s="795" t="e">
        <f ca="1">NUMBERSTRING(INT(D13*10000),2)&amp;"元整"</f>
        <v>#REF!</v>
      </c>
    </row>
    <row r="15" spans="1:5" ht="15">
      <c r="B15" s="3363"/>
      <c r="C15" s="1390" t="s">
        <v>921</v>
      </c>
      <c r="D15" s="804" t="e">
        <f ca="1">结果表!H108</f>
        <v>#REF!</v>
      </c>
    </row>
    <row r="16" spans="1:5" ht="15">
      <c r="B16" s="3364" t="str">
        <f>结果表!E109</f>
        <v>——</v>
      </c>
      <c r="C16" s="1394" t="s">
        <v>922</v>
      </c>
      <c r="D16" s="1395" t="str">
        <f>结果表!H109</f>
        <v>——</v>
      </c>
    </row>
    <row r="17" spans="1:5" ht="15.75">
      <c r="B17" s="3365"/>
      <c r="C17" s="1389" t="s">
        <v>923</v>
      </c>
      <c r="D17" s="795" t="e">
        <f>NUMBERSTRING(INT(D16*10000),2)&amp;"元整"</f>
        <v>#VALUE!</v>
      </c>
    </row>
    <row r="18" spans="1:5" ht="15">
      <c r="B18" s="3366"/>
      <c r="C18" s="1390" t="s">
        <v>912</v>
      </c>
      <c r="D18" s="804" t="str">
        <f>结果表!H110</f>
        <v>——</v>
      </c>
    </row>
    <row r="19" spans="1:5" ht="15.75">
      <c r="B19" s="3357" t="str">
        <f>结果表!E111</f>
        <v>——</v>
      </c>
      <c r="C19" s="1394" t="s">
        <v>910</v>
      </c>
      <c r="D19" s="796" t="str">
        <f>结果表!H111</f>
        <v>——</v>
      </c>
    </row>
    <row r="20" spans="1:5" ht="15.75">
      <c r="B20" s="3358"/>
      <c r="C20" s="1389" t="s">
        <v>923</v>
      </c>
      <c r="D20" s="795" t="e">
        <f>NUMBERSTRING(INT(D19*10000),2)&amp;"元整"</f>
        <v>#VALUE!</v>
      </c>
    </row>
    <row r="21" spans="1:5" ht="15.75" thickBot="1">
      <c r="B21" s="3359"/>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28758</v>
      </c>
      <c r="C2" s="2" t="s">
        <v>106</v>
      </c>
      <c r="D2" s="189"/>
      <c r="E2" s="189"/>
      <c r="F2" s="189"/>
      <c r="G2" s="189"/>
    </row>
    <row r="3" spans="1:7" s="190" customFormat="1" ht="18" customHeight="1" thickBot="1">
      <c r="A3" s="193" t="s">
        <v>58</v>
      </c>
      <c r="B3" s="194">
        <f ca="1">ROUND(B2*10000/'数据-汇总表'!E3,0)</f>
        <v>2380826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120.79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120.79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2348</v>
      </c>
      <c r="D22" s="225">
        <f ca="1">C26</f>
        <v>1.1000000000000001E-3</v>
      </c>
      <c r="E22" s="226" t="s">
        <v>99</v>
      </c>
      <c r="F22" s="227">
        <f ca="1">'数据-取费表'!B40</f>
        <v>5.4900000000000004E-2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2325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23</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3154</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3154</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28723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120.79</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38" t="s">
        <v>94</v>
      </c>
    </row>
    <row r="43" spans="1:7" ht="13.5" customHeight="1">
      <c r="A43" s="732" t="s">
        <v>347</v>
      </c>
      <c r="B43" s="205" t="s">
        <v>426</v>
      </c>
      <c r="C43" s="228">
        <f ca="1">ROUND(IF('数据-取费表'!B22&lt;=1,C39*F22*'数据-取费表'!B21/2,C39*(POWER((1+F22),'数据-取费表'!B21/2)-1)),0)</f>
        <v>0</v>
      </c>
      <c r="D43" s="228"/>
      <c r="E43" s="228"/>
      <c r="F43" s="229"/>
      <c r="G43" s="3539"/>
    </row>
    <row r="44" spans="1:7" ht="13.5" customHeight="1">
      <c r="A44" s="732" t="s">
        <v>348</v>
      </c>
      <c r="B44" s="205" t="s">
        <v>428</v>
      </c>
      <c r="C44" s="228">
        <f ca="1">ROUND(IF('数据-取费表'!B22&lt;=1,C40*F22*'数据-取费表'!B21/2,C40*(POWER((1+F22),'数据-取费表'!B21/2)-1)),4)</f>
        <v>1.1000000000000001E-3</v>
      </c>
      <c r="D44" s="228"/>
      <c r="E44" s="228"/>
      <c r="F44" s="229"/>
      <c r="G44" s="3540"/>
    </row>
    <row r="45" spans="1:7" s="204" customFormat="1" ht="13.5" customHeight="1">
      <c r="A45" s="729" t="s">
        <v>341</v>
      </c>
      <c r="B45" s="234" t="s">
        <v>85</v>
      </c>
      <c r="C45" s="235">
        <f>C46</f>
        <v>4</v>
      </c>
      <c r="D45" s="225">
        <f>C47</f>
        <v>3.0000000000000001E-3</v>
      </c>
      <c r="E45" s="226" t="s">
        <v>102</v>
      </c>
      <c r="F45" s="236"/>
      <c r="G45" s="237" t="s">
        <v>434</v>
      </c>
    </row>
    <row r="46" spans="1:7" s="204" customFormat="1" ht="13.5" customHeight="1">
      <c r="A46" s="732" t="s">
        <v>349</v>
      </c>
      <c r="B46" s="238" t="s">
        <v>427</v>
      </c>
      <c r="C46" s="239">
        <f>ROUND((C33+C39)*F27,0)</f>
        <v>4</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35</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35</v>
      </c>
      <c r="D51" s="222"/>
      <c r="E51" s="222"/>
      <c r="F51" s="254"/>
      <c r="G51" s="224" t="s">
        <v>37</v>
      </c>
    </row>
    <row r="52" spans="1:7" s="198" customFormat="1" ht="16.5" thickBot="1">
      <c r="A52" s="255" t="s">
        <v>38</v>
      </c>
      <c r="B52" s="256"/>
      <c r="C52" s="257">
        <f ca="1">C31+C51</f>
        <v>28758</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79" t="s">
        <v>2838</v>
      </c>
      <c r="B1" s="3679"/>
      <c r="C1" s="3679"/>
      <c r="D1" s="3679"/>
      <c r="E1" s="3679"/>
      <c r="F1" s="3679"/>
      <c r="G1" s="3680"/>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77"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78"/>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81" t="s">
        <v>3180</v>
      </c>
      <c r="B1" s="3681"/>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82" t="s">
        <v>3231</v>
      </c>
      <c r="B1" s="3682"/>
      <c r="C1" s="3682"/>
      <c r="D1" s="3682"/>
      <c r="E1" s="3682"/>
      <c r="F1" s="3683"/>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38017</v>
      </c>
      <c r="B1" s="2922" t="s">
        <v>2837</v>
      </c>
      <c r="C1" s="2923"/>
      <c r="D1" s="2923"/>
      <c r="E1" s="2923"/>
      <c r="F1" s="2923"/>
      <c r="G1" s="2923"/>
      <c r="H1" s="2923"/>
      <c r="I1" s="2923"/>
      <c r="J1" s="2889"/>
      <c r="K1" s="2923" t="s">
        <v>454</v>
      </c>
      <c r="L1" s="2923"/>
      <c r="M1" s="2923"/>
      <c r="N1" s="2923"/>
      <c r="O1" s="2923"/>
      <c r="P1" s="2923"/>
      <c r="Q1" s="2889"/>
      <c r="R1" s="3684" t="s">
        <v>456</v>
      </c>
      <c r="S1" s="3685"/>
      <c r="T1" s="3685"/>
      <c r="U1" s="3685"/>
      <c r="V1" s="3685"/>
      <c r="W1" s="3685"/>
      <c r="X1" s="2889"/>
      <c r="Y1" s="3684" t="s">
        <v>457</v>
      </c>
      <c r="Z1" s="3685"/>
      <c r="AA1" s="3685"/>
      <c r="AB1" s="3685"/>
      <c r="AC1" s="3685"/>
      <c r="AD1" s="3685"/>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84" t="s">
        <v>2825</v>
      </c>
      <c r="S21" s="3685"/>
      <c r="T21" s="3685"/>
      <c r="U21" s="3685"/>
      <c r="V21" s="3685"/>
      <c r="W21" s="3685"/>
      <c r="X21" s="2889"/>
      <c r="Y21" s="3684" t="s">
        <v>2826</v>
      </c>
      <c r="Z21" s="3685"/>
      <c r="AA21" s="3685"/>
      <c r="AB21" s="3685"/>
      <c r="AC21" s="3685"/>
      <c r="AD21" s="3685"/>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89" t="s">
        <v>452</v>
      </c>
      <c r="C1" s="3689"/>
      <c r="D1" s="3689"/>
      <c r="E1" s="3689"/>
      <c r="F1" s="3689"/>
      <c r="G1" s="3685" t="s">
        <v>453</v>
      </c>
      <c r="H1" s="3685"/>
      <c r="I1" s="3685"/>
      <c r="J1" s="3685"/>
      <c r="K1" s="3685"/>
      <c r="L1" s="3685"/>
      <c r="N1" s="3685" t="s">
        <v>454</v>
      </c>
      <c r="O1" s="3685"/>
      <c r="P1" s="3685"/>
      <c r="Q1" s="3685"/>
      <c r="S1" s="3685" t="s">
        <v>455</v>
      </c>
      <c r="T1" s="3685"/>
      <c r="U1" s="3685"/>
      <c r="V1" s="3685"/>
      <c r="X1" s="3684" t="s">
        <v>456</v>
      </c>
      <c r="Y1" s="3685"/>
      <c r="Z1" s="3685"/>
      <c r="AA1" s="3685"/>
      <c r="AB1" s="3685"/>
      <c r="AD1" s="3684" t="s">
        <v>457</v>
      </c>
      <c r="AE1" s="3685"/>
      <c r="AF1" s="3685"/>
      <c r="AG1" s="3685"/>
      <c r="AH1" s="3685"/>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87">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87"/>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87"/>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94"/>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90">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87"/>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87"/>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94"/>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90">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87"/>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87"/>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88"/>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86">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87"/>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87"/>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88"/>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86">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87"/>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87"/>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88"/>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91">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92"/>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92"/>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93"/>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86">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87"/>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87"/>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88"/>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86">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87">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87">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88">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86">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87">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87">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88">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86">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87">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87">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88">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86">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87">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87">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88">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86">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87">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87">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88">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86">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87">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87">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88">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86">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87">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87">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88">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86">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87">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87">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88">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86">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87">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87">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88">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86">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87">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87">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88">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928</v>
      </c>
      <c r="B2" s="3375" t="s">
        <v>929</v>
      </c>
      <c r="C2" s="3375" t="s">
        <v>930</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spans="1:9" ht="15">
      <c r="A3" s="3370"/>
      <c r="B3" s="3370"/>
      <c r="C3" s="3370"/>
      <c r="D3" s="799" t="s">
        <v>925</v>
      </c>
      <c r="E3" s="799" t="s">
        <v>931</v>
      </c>
      <c r="F3" s="799" t="s">
        <v>925</v>
      </c>
      <c r="G3" s="799" t="s">
        <v>926</v>
      </c>
      <c r="H3" s="799" t="s">
        <v>925</v>
      </c>
      <c r="I3" s="799" t="s">
        <v>926</v>
      </c>
    </row>
    <row r="4" spans="1:9" ht="15">
      <c r="A4" s="1400" t="str">
        <f>项目基本情况!S2</f>
        <v>北京市房地产</v>
      </c>
      <c r="B4" s="799">
        <f>项目基本情况!C17</f>
        <v>120.79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70" t="s">
        <v>927</v>
      </c>
      <c r="B5" s="3370"/>
      <c r="C5" s="3370"/>
      <c r="D5" s="3370" t="e">
        <f ca="1">结果表!D119</f>
        <v>#REF!</v>
      </c>
      <c r="E5" s="3370"/>
      <c r="F5" s="3370" t="e">
        <f ca="1">结果表!F119</f>
        <v>#REF!</v>
      </c>
      <c r="G5" s="3370"/>
      <c r="H5" s="3370" t="e">
        <f ca="1">结果表!H119</f>
        <v>#REF!</v>
      </c>
      <c r="I5" s="3370"/>
    </row>
    <row r="6" spans="1:9" ht="15.75">
      <c r="A6" s="3369" t="str">
        <f>结果表!A120</f>
        <v>估价师知悉的法定优先受偿款</v>
      </c>
      <c r="B6" s="3369"/>
      <c r="C6" s="3369"/>
      <c r="D6" s="3369">
        <f>结果表!D120</f>
        <v>0</v>
      </c>
      <c r="E6" s="3369"/>
      <c r="F6" s="3369"/>
      <c r="G6" s="3369"/>
      <c r="H6" s="3369"/>
      <c r="I6" s="3369"/>
    </row>
    <row r="7" spans="1:9" ht="15">
      <c r="A7" s="3370" t="s">
        <v>927</v>
      </c>
      <c r="B7" s="3370"/>
      <c r="C7" s="3370"/>
      <c r="D7" s="3371" t="str">
        <f>结果表!D121</f>
        <v>零元整</v>
      </c>
      <c r="E7" s="3372"/>
      <c r="F7" s="3372"/>
      <c r="G7" s="3372"/>
      <c r="H7" s="3372"/>
      <c r="I7" s="3373"/>
    </row>
    <row r="8" spans="1:9" ht="15.75">
      <c r="A8" s="3369" t="str">
        <f>结果表!A122</f>
        <v>房地产抵押价值</v>
      </c>
      <c r="B8" s="3369"/>
      <c r="C8" s="3369"/>
      <c r="D8" s="3369" t="e">
        <f ca="1">结果表!D122</f>
        <v>#REF!</v>
      </c>
      <c r="E8" s="3369"/>
      <c r="F8" s="3369"/>
      <c r="G8" s="3369"/>
      <c r="H8" s="3369"/>
      <c r="I8" s="3369"/>
    </row>
    <row r="9" spans="1:9" ht="15">
      <c r="A9" s="3370" t="s">
        <v>927</v>
      </c>
      <c r="B9" s="3370"/>
      <c r="C9" s="3370"/>
      <c r="D9" s="3370" t="e">
        <f ca="1">结果表!D123</f>
        <v>#REF!</v>
      </c>
      <c r="E9" s="3370"/>
      <c r="F9" s="3370"/>
      <c r="G9" s="3370"/>
      <c r="H9" s="3370"/>
      <c r="I9" s="3370"/>
    </row>
    <row r="10" spans="1:9" ht="15.75">
      <c r="A10" s="3369" t="str">
        <f>结果表!A124</f>
        <v/>
      </c>
      <c r="B10" s="3369"/>
      <c r="C10" s="3369"/>
      <c r="D10" s="3369" t="str">
        <f>结果表!D124</f>
        <v>——</v>
      </c>
      <c r="E10" s="3369"/>
      <c r="F10" s="3369"/>
      <c r="G10" s="3369"/>
      <c r="H10" s="3369"/>
      <c r="I10" s="3369"/>
    </row>
    <row r="11" spans="1:9" ht="15">
      <c r="A11" s="3370" t="s">
        <v>927</v>
      </c>
      <c r="B11" s="3370"/>
      <c r="C11" s="3370"/>
      <c r="D11" s="3370" t="e">
        <f>结果表!D125</f>
        <v>#VALUE!</v>
      </c>
      <c r="E11" s="3370"/>
      <c r="F11" s="3370"/>
      <c r="G11" s="3370"/>
      <c r="H11" s="3370"/>
      <c r="I11" s="3370"/>
    </row>
    <row r="12" spans="1:9" ht="15.75">
      <c r="A12" s="3369" t="str">
        <f>结果表!A126</f>
        <v/>
      </c>
      <c r="B12" s="3369"/>
      <c r="C12" s="3369"/>
      <c r="D12" s="3369" t="str">
        <f>结果表!D126</f>
        <v>——</v>
      </c>
      <c r="E12" s="3369"/>
      <c r="F12" s="3369"/>
      <c r="G12" s="3369"/>
      <c r="H12" s="3369"/>
      <c r="I12" s="3369"/>
    </row>
    <row r="13" spans="1:9" ht="15.75" thickBot="1">
      <c r="A13" s="3367" t="s">
        <v>927</v>
      </c>
      <c r="B13" s="3367"/>
      <c r="C13" s="3367"/>
      <c r="D13" s="3367" t="e">
        <f>结果表!D127</f>
        <v>#VALUE!</v>
      </c>
      <c r="E13" s="3367"/>
      <c r="F13" s="3367"/>
      <c r="G13" s="3367"/>
      <c r="H13" s="3367"/>
      <c r="I13" s="3367"/>
    </row>
    <row r="14" spans="1:9" ht="15" thickTop="1">
      <c r="A14" s="3368" t="s">
        <v>932</v>
      </c>
      <c r="B14" s="3368"/>
      <c r="C14" s="3368"/>
      <c r="D14" s="3368"/>
      <c r="E14" s="3368"/>
      <c r="F14" s="3368"/>
      <c r="G14" s="3368"/>
      <c r="H14" s="3368"/>
      <c r="I14" s="336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82" t="s">
        <v>949</v>
      </c>
      <c r="B1" s="3382"/>
      <c r="C1" s="3382"/>
      <c r="D1" s="3382"/>
    </row>
    <row r="2" spans="1:4" ht="18">
      <c r="A2" s="3383" t="s">
        <v>933</v>
      </c>
      <c r="B2" s="3383"/>
      <c r="C2" s="3383"/>
      <c r="D2" s="3383"/>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83" t="s">
        <v>939</v>
      </c>
      <c r="B6" s="3383"/>
      <c r="C6" s="3383"/>
      <c r="D6" s="338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84" t="s">
        <v>942</v>
      </c>
      <c r="B11" s="3376"/>
      <c r="C11" s="3376"/>
      <c r="D11" s="3376"/>
    </row>
    <row r="12" spans="1:4" ht="15.75">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spans="1:4" ht="30" customHeight="1">
      <c r="A13" s="3376" t="str">
        <f>IF(项目基本情况!B8="抵押","3.抵押双方在办理抵押登记手续时，应使用本公司出具的正式《房地产评估报告》，特提醒报告使用者注意。","——")</f>
        <v>——</v>
      </c>
      <c r="B13" s="3381"/>
      <c r="C13" s="3381"/>
      <c r="D13" s="3381"/>
    </row>
    <row r="14" spans="1:4" ht="15.75" customHeight="1">
      <c r="A14" s="3376" t="str">
        <f>IF(项目基本情况!B8="抵押","4.本次评估估价师所知悉的法定优先受偿款情况说明如下：","——")</f>
        <v>——</v>
      </c>
      <c r="B14" s="3381"/>
      <c r="C14" s="3381"/>
      <c r="D14" s="3381"/>
    </row>
    <row r="15" spans="1:4" ht="42" customHeight="1">
      <c r="A15" s="3376" t="str">
        <f>IF(项目基本情况!B8="抵押","（1）"&amp;CONCATENATE(项目基本情况!L20,项目基本情况!L21,项目基本情况!L22),"——")</f>
        <v>——</v>
      </c>
      <c r="B15" s="3376"/>
      <c r="C15" s="3376"/>
      <c r="D15" s="3376"/>
    </row>
    <row r="16" spans="1:4" ht="30" customHeight="1">
      <c r="A16" s="3378" t="s">
        <v>943</v>
      </c>
      <c r="B16" s="3378"/>
      <c r="C16" s="3378"/>
      <c r="D16" s="3378"/>
    </row>
    <row r="17" spans="1:4" ht="144" customHeight="1">
      <c r="A17" s="3378" t="s">
        <v>944</v>
      </c>
      <c r="B17" s="3378"/>
      <c r="C17" s="3378"/>
      <c r="D17" s="3378"/>
    </row>
    <row r="18" spans="1:4" ht="15.75" customHeight="1">
      <c r="A18" s="3376" t="str">
        <f>IF(项目基本情况!B8="抵押",结果表!K120,"——")</f>
        <v>——</v>
      </c>
      <c r="B18" s="3376"/>
      <c r="C18" s="3376"/>
      <c r="D18" s="3376"/>
    </row>
    <row r="19" spans="1:4" ht="46.5" customHeight="1">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spans="1:4" ht="18.75" customHeight="1">
      <c r="A22" s="3380" t="s">
        <v>945</v>
      </c>
      <c r="B22" s="3380"/>
      <c r="C22" s="3380"/>
      <c r="D22" s="338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77">
        <v>42551</v>
      </c>
      <c r="D31" s="33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90" t="s">
        <v>956</v>
      </c>
      <c r="B15" s="3385" t="s">
        <v>109</v>
      </c>
      <c r="C15" s="3386"/>
    </row>
    <row r="16" spans="1:7" ht="13.5">
      <c r="A16" s="3391"/>
      <c r="B16" s="3385" t="s">
        <v>42</v>
      </c>
      <c r="C16" s="3386"/>
    </row>
    <row r="17" spans="1:3" ht="13.5">
      <c r="A17" s="3391"/>
      <c r="B17" s="3388" t="s">
        <v>957</v>
      </c>
      <c r="C17" s="1426" t="s">
        <v>956</v>
      </c>
    </row>
    <row r="18" spans="1:3" ht="13.5">
      <c r="A18" s="3391"/>
      <c r="B18" s="3388"/>
      <c r="C18" s="1426" t="s">
        <v>958</v>
      </c>
    </row>
    <row r="19" spans="1:3" ht="13.5">
      <c r="A19" s="3391"/>
      <c r="B19" s="3388"/>
      <c r="C19" s="1426" t="s">
        <v>959</v>
      </c>
    </row>
    <row r="20" spans="1:3" ht="13.5">
      <c r="A20" s="3392"/>
      <c r="B20" s="3387" t="s">
        <v>960</v>
      </c>
      <c r="C20" s="3386"/>
    </row>
    <row r="21" spans="1:3" ht="13.5">
      <c r="A21" s="1427" t="s">
        <v>961</v>
      </c>
      <c r="B21" s="1428"/>
      <c r="C21" s="1429"/>
    </row>
    <row r="22" spans="1:3" ht="13.5">
      <c r="A22" s="3389" t="s">
        <v>962</v>
      </c>
      <c r="B22" s="3387" t="s">
        <v>963</v>
      </c>
      <c r="C22" s="3386"/>
    </row>
    <row r="23" spans="1:3" ht="13.5">
      <c r="A23" s="3389"/>
      <c r="B23" s="3387" t="s">
        <v>964</v>
      </c>
      <c r="C23" s="3386"/>
    </row>
    <row r="24" spans="1:3" ht="13.5">
      <c r="A24" s="3389"/>
      <c r="B24" s="3387" t="s">
        <v>965</v>
      </c>
      <c r="C24" s="3386"/>
    </row>
    <row r="25" spans="1:3" ht="13.5">
      <c r="A25" s="3389"/>
      <c r="B25" s="3388" t="s">
        <v>966</v>
      </c>
      <c r="C25" s="1426" t="s">
        <v>967</v>
      </c>
    </row>
    <row r="26" spans="1:3" ht="13.5">
      <c r="A26" s="3389"/>
      <c r="B26" s="3388"/>
      <c r="C26" s="1426" t="s">
        <v>968</v>
      </c>
    </row>
    <row r="27" spans="1:3" ht="13.5">
      <c r="A27" s="3389"/>
      <c r="B27" s="3388"/>
      <c r="C27" s="1426" t="s">
        <v>969</v>
      </c>
    </row>
    <row r="28" spans="1:3" ht="13.5">
      <c r="A28" s="3389"/>
      <c r="B28" s="3388"/>
      <c r="C28" s="1426" t="s">
        <v>970</v>
      </c>
    </row>
    <row r="29" spans="1:3" ht="13.5">
      <c r="A29" s="3389"/>
      <c r="B29" s="3388"/>
      <c r="C29" s="1426" t="s">
        <v>971</v>
      </c>
    </row>
    <row r="30" spans="1:3" ht="13.5">
      <c r="A30" s="3389"/>
      <c r="B30" s="3388"/>
      <c r="C30" s="1426" t="s">
        <v>972</v>
      </c>
    </row>
    <row r="31" spans="1:3" ht="13.5">
      <c r="A31" s="3389"/>
      <c r="B31" s="3388"/>
      <c r="C31" s="1426" t="s">
        <v>973</v>
      </c>
    </row>
    <row r="32" spans="1:3" ht="13.5">
      <c r="A32" s="3389"/>
      <c r="B32" s="3388"/>
      <c r="C32" s="1426" t="s">
        <v>974</v>
      </c>
    </row>
    <row r="33" spans="1:3" ht="13.5">
      <c r="A33" s="3389"/>
      <c r="B33" s="338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45785</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93" t="s">
        <v>2156</v>
      </c>
      <c r="B17" s="3393"/>
      <c r="C17" s="3393"/>
      <c r="D17" s="3393"/>
      <c r="E17" s="3393"/>
      <c r="F17" s="3393"/>
      <c r="G17" s="3393"/>
      <c r="H17" s="3393"/>
    </row>
    <row r="18" spans="1:8" ht="24" customHeight="1">
      <c r="A18" s="3394" t="s">
        <v>2157</v>
      </c>
      <c r="B18" s="3394"/>
      <c r="C18" s="3394"/>
      <c r="D18" s="2154"/>
      <c r="E18" s="3395" t="s">
        <v>2158</v>
      </c>
      <c r="F18" s="3394"/>
      <c r="G18" s="3394"/>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2025-05-08T02:10:06Z</dcterms:modified>
</cp:coreProperties>
</file>