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军队-石景山区香山南路168号院\测算\"/>
    </mc:Choice>
  </mc:AlternateContent>
  <xr:revisionPtr revIDLastSave="0" documentId="13_ncr:1_{764A58FB-4078-4C66-B597-BF39051A2816}" xr6:coauthVersionLast="47" xr6:coauthVersionMax="47" xr10:uidLastSave="{00000000-0000-0000-0000-000000000000}"/>
  <bookViews>
    <workbookView xWindow="12855" yWindow="180" windowWidth="20880" windowHeight="20925" tabRatio="787" firstSheet="4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B4" i="59" l="1"/>
  <c r="A70" i="66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J17" i="43"/>
  <c r="E17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H19" i="43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F35" i="43" l="1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D8" i="65"/>
  <c r="G4" i="65"/>
  <c r="D6" i="65"/>
  <c r="D5" i="65"/>
  <c r="G8" i="65"/>
  <c r="D7" i="65"/>
  <c r="G6" i="65"/>
  <c r="D4" i="65"/>
  <c r="G5" i="65"/>
  <c r="F33" i="59" l="1"/>
  <c r="B17" i="9" s="1"/>
  <c r="D110" i="43"/>
  <c r="K2" i="65"/>
  <c r="O50" i="66"/>
  <c r="I12" i="66"/>
  <c r="O48" i="66"/>
  <c r="I15" i="66"/>
  <c r="L63" i="66"/>
  <c r="O26" i="66"/>
  <c r="L62" i="66"/>
  <c r="D5" i="68"/>
  <c r="D65" i="63"/>
  <c r="E60" i="63" s="1"/>
  <c r="B58" i="63" s="1"/>
  <c r="C15" i="63" s="1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2" i="65"/>
  <c r="G1" i="65"/>
  <c r="G9" i="59" l="1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8" i="65"/>
  <c r="E5" i="65"/>
  <c r="E4" i="65"/>
  <c r="H6" i="65"/>
  <c r="H4" i="65"/>
  <c r="E8" i="65"/>
  <c r="E7" i="65"/>
  <c r="H5" i="65"/>
  <c r="E6" i="65"/>
  <c r="H7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<sst xmlns="http://schemas.openxmlformats.org/spreadsheetml/2006/main" count="3961" uniqueCount="1305">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</sst>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31749</xdr:rowOff>
    </xdr:from>
    <xdr:to>
      <xdr:col>7</xdr:col>
      <xdr:colOff>1760097</xdr:colOff>
      <xdr:row>97</xdr:row>
      <xdr:rowOff>63546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9308C7E-DEE9-5C95-FA90-6D8A1602D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4332"/>
          <a:ext cx="9284847" cy="74718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21</xdr:col>
      <xdr:colOff>6953</xdr:colOff>
      <xdr:row>98</xdr:row>
      <xdr:rowOff>177881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BA3DAE7-5996-D57F-4589-47E9058B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6667" y="12202583"/>
          <a:ext cx="12114286" cy="7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99</xdr:row>
      <xdr:rowOff>95251</xdr:rowOff>
    </xdr:from>
    <xdr:to>
      <xdr:col>4</xdr:col>
      <xdr:colOff>1360393</xdr:colOff>
      <xdr:row>135</xdr:row>
      <xdr:rowOff>103870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6ACB1F3-03C4-B2B9-6359-42ADB94D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20140084"/>
          <a:ext cx="4990476" cy="7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topLeftCell="A4" zoomScale="90" zoomScaleNormal="90" zoomScaleSheetLayoutView="89" workbookViewId="0">
      <selection activeCell="C67" sqref="C67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120.79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六级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1546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2.58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1440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1.0577000000000001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38017</v>
      </c>
      <c r="I9" s="1032">
        <f>ROUND(SUMPRODUCT((地价!A36:A86=YEAR(H9)&amp;"-"&amp;ROUNDUP(MONTH(H9)/3,0))*(地价!B3:F3=E2)*(地价!B36:F86)),0)</f>
        <v>110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0.94140000000000001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0.94140000000000001</v>
      </c>
      <c r="E12" s="950">
        <f>ROUNDDOWN(G3,1)</f>
        <v>2.5</v>
      </c>
      <c r="F12" s="951">
        <f>IF(G3&lt;=10,SUMPRODUCT(('2002容积率修正'!A3:A102=E12)*('2002容积率修正'!B2:D2=E2)*('2002容积率修正'!B3:D102)),"——")</f>
        <v>0.94699999999999995</v>
      </c>
      <c r="G12" s="952">
        <f>ROUNDUP(G3,1)</f>
        <v>2.6</v>
      </c>
      <c r="H12" s="692">
        <f>IF(G3&lt;=10,SUMPRODUCT(('2002容积率修正'!A3:A102=G12)*('2002容积率修正'!B2:D2=E2)*('2002容积率修正'!B3:D102)),"——")</f>
        <v>0.94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0.94140000000000001</v>
      </c>
      <c r="E13" s="950">
        <f>ROUNDDOWN(G3,1)</f>
        <v>2.5</v>
      </c>
      <c r="F13" s="951">
        <f>IF(G3&lt;=10,SUMPRODUCT(('2002容积率修正'!A3:A102=E13)*('2002容积率修正'!E2:G2=E2)*('2002容积率修正'!E3:G102)),"——")</f>
        <v>0.80500000000000005</v>
      </c>
      <c r="G13" s="952">
        <f>ROUNDUP(G3,1)</f>
        <v>2.6</v>
      </c>
      <c r="H13" s="692">
        <f>IF(G3&lt;=10,SUMPRODUCT(('2002容积率修正'!A3:A102=G13)*('2002容积率修正'!E2:G2=E2)*('2002容积率修正'!E3:G102)),"——")</f>
        <v>0.79900000000000004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1.0780000000000001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1546</v>
      </c>
      <c r="D18" s="736">
        <f>H1</f>
        <v>120.79</v>
      </c>
      <c r="E18" s="737">
        <f>ROUND(C18*D18,0)</f>
        <v>186741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3988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120.79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9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5.3999999999999999E-2</v>
      </c>
      <c r="G42" s="1014">
        <f>F42/2</f>
        <v>2.7E-2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2.7E-2</v>
      </c>
      <c r="G43" s="1014">
        <f t="shared" ref="G43:G48" si="2">F43/2</f>
        <v>1.35E-2</v>
      </c>
      <c r="H43" s="1015">
        <v>0</v>
      </c>
      <c r="I43" s="1014">
        <f t="shared" ref="I43:I48" si="3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1.7999999999999999E-2</v>
      </c>
      <c r="G44" s="1014">
        <f t="shared" si="2"/>
        <v>8.9999999999999993E-3</v>
      </c>
      <c r="H44" s="1015">
        <v>0</v>
      </c>
      <c r="I44" s="1014">
        <f t="shared" si="3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3.5999999999999997E-2</v>
      </c>
      <c r="G45" s="1014">
        <f t="shared" si="2"/>
        <v>1.7999999999999999E-2</v>
      </c>
      <c r="H45" s="1015">
        <v>0</v>
      </c>
      <c r="I45" s="1014">
        <f t="shared" si="3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1.7999999999999999E-2</v>
      </c>
      <c r="G46" s="1014">
        <f t="shared" si="2"/>
        <v>8.9999999999999993E-3</v>
      </c>
      <c r="H46" s="1015">
        <v>0</v>
      </c>
      <c r="I46" s="1014">
        <f t="shared" si="3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1.44E-2</v>
      </c>
      <c r="G47" s="1014">
        <f t="shared" si="2"/>
        <v>7.1999999999999998E-3</v>
      </c>
      <c r="H47" s="1015">
        <v>0</v>
      </c>
      <c r="I47" s="1014">
        <f t="shared" si="3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1.26E-2</v>
      </c>
      <c r="G48" s="1014">
        <f t="shared" si="2"/>
        <v>6.3E-3</v>
      </c>
      <c r="H48" s="1015">
        <v>0</v>
      </c>
      <c r="I48" s="1014">
        <f t="shared" si="3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4.5999999999999999E-2</v>
      </c>
      <c r="G51" s="1014">
        <f>F51/2</f>
        <v>2.3E-2</v>
      </c>
      <c r="H51" s="1015">
        <v>0</v>
      </c>
      <c r="I51" s="1014">
        <f>J51/2</f>
        <v>-2.4E-2</v>
      </c>
      <c r="J51" s="1014">
        <f>SUMPRODUCT(('2002因素修正幅度'!$A$73:$A$79=A51)*('2002因素修正幅度'!$B$35:$K$35=$G$2)*('2002因素修正幅度'!$B$73:$K$79))</f>
        <v>-4.8000000000000001E-2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5.7500000000000002E-2</v>
      </c>
      <c r="G52" s="1014">
        <f t="shared" ref="G52:G57" si="5">F52/2</f>
        <v>2.8750000000000001E-2</v>
      </c>
      <c r="H52" s="1015">
        <v>0</v>
      </c>
      <c r="I52" s="1014">
        <f t="shared" ref="I52:I57" si="6">J52/2</f>
        <v>-0.03</v>
      </c>
      <c r="J52" s="1014">
        <f>SUMPRODUCT(('2002因素修正幅度'!$A$73:$A$79=A52)*('2002因素修正幅度'!$B$35:$K$35=$G$2)*('2002因素修正幅度'!$B$73:$K$79))</f>
        <v>-0.06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2.3E-2</v>
      </c>
      <c r="G53" s="1014">
        <f t="shared" si="5"/>
        <v>1.15E-2</v>
      </c>
      <c r="H53" s="1015">
        <v>0</v>
      </c>
      <c r="I53" s="1014">
        <f t="shared" si="6"/>
        <v>-1.2E-2</v>
      </c>
      <c r="J53" s="1014">
        <f>SUMPRODUCT(('2002因素修正幅度'!$A$73:$A$79=A53)*('2002因素修正幅度'!$B$35:$K$35=$G$2)*('2002因素修正幅度'!$B$73:$K$79))</f>
        <v>-2.4E-2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2.3E-2</v>
      </c>
      <c r="G54" s="1014">
        <f t="shared" si="5"/>
        <v>1.15E-2</v>
      </c>
      <c r="H54" s="1015">
        <v>0</v>
      </c>
      <c r="I54" s="1014">
        <f t="shared" si="6"/>
        <v>-1.2E-2</v>
      </c>
      <c r="J54" s="1014">
        <f>SUMPRODUCT(('2002因素修正幅度'!$A$73:$A$79=A54)*('2002因素修正幅度'!$B$35:$K$35=$G$2)*('2002因素修正幅度'!$B$73:$K$79))</f>
        <v>-2.4E-2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3.4500000000000003E-2</v>
      </c>
      <c r="G55" s="1014">
        <f t="shared" si="5"/>
        <v>1.7250000000000001E-2</v>
      </c>
      <c r="H55" s="1015">
        <v>0</v>
      </c>
      <c r="I55" s="1014">
        <f t="shared" si="6"/>
        <v>-1.7999999999999999E-2</v>
      </c>
      <c r="J55" s="1014">
        <f>SUMPRODUCT(('2002因素修正幅度'!$A$73:$A$79=A55)*('2002因素修正幅度'!$B$35:$K$35=$G$2)*('2002因素修正幅度'!$B$73:$K$79))</f>
        <v>-3.5999999999999997E-2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1.84E-2</v>
      </c>
      <c r="G56" s="1014">
        <f t="shared" si="5"/>
        <v>9.1999999999999998E-3</v>
      </c>
      <c r="H56" s="1015">
        <v>0</v>
      </c>
      <c r="I56" s="1014">
        <f t="shared" si="6"/>
        <v>-9.5999999999999992E-3</v>
      </c>
      <c r="J56" s="1014">
        <f>SUMPRODUCT(('2002因素修正幅度'!$A$73:$A$79=A56)*('2002因素修正幅度'!$B$35:$K$35=$G$2)*('2002因素修正幅度'!$B$73:$K$79))</f>
        <v>-1.9199999999999998E-2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2.76E-2</v>
      </c>
      <c r="G57" s="1014">
        <f t="shared" si="5"/>
        <v>1.38E-2</v>
      </c>
      <c r="H57" s="1015">
        <v>0</v>
      </c>
      <c r="I57" s="1014">
        <f t="shared" si="6"/>
        <v>-1.44E-2</v>
      </c>
      <c r="J57" s="1014">
        <f>SUMPRODUCT(('2002因素修正幅度'!$A$73:$A$79=A57)*('2002因素修正幅度'!$B$35:$K$35=$G$2)*('2002因素修正幅度'!$B$73:$K$79))</f>
        <v>-2.8799999999999999E-2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1.0780000000000001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1.2999999999999999E-2</v>
      </c>
      <c r="E60" s="1013">
        <f>SUM(D60:D67)</f>
        <v>7.8E-2</v>
      </c>
      <c r="F60" s="1014">
        <f>SUMPRODUCT(('2002因素修正幅度'!$A$50:$A$57=A60)*('2002因素修正幅度'!$B$35:$K$35=$G$2)*('2002因素修正幅度'!$B$50:$K$57))</f>
        <v>2.5999999999999999E-2</v>
      </c>
      <c r="G60" s="1014">
        <f>F60/2</f>
        <v>1.2999999999999999E-2</v>
      </c>
      <c r="H60" s="1015">
        <v>0</v>
      </c>
      <c r="I60" s="1014">
        <f>J60/2</f>
        <v>-1.2999999999999999E-2</v>
      </c>
      <c r="J60" s="1014">
        <f>SUMPRODUCT(('2002因素修正幅度'!$A$80:$A$87=A60)*('2002因素修正幅度'!$B$35:$K$35=$G$2)*('2002因素修正幅度'!$B$80:$K$87))</f>
        <v>-2.5999999999999999E-2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5.1999999999999998E-2</v>
      </c>
      <c r="G61" s="1014">
        <f t="shared" ref="G61:G67" si="8">F61/2</f>
        <v>2.5999999999999999E-2</v>
      </c>
      <c r="H61" s="1015">
        <v>0</v>
      </c>
      <c r="I61" s="1014">
        <f t="shared" ref="I61:I67" si="9">J61/2</f>
        <v>-2.5999999999999999E-2</v>
      </c>
      <c r="J61" s="1014">
        <f>SUMPRODUCT(('2002因素修正幅度'!$A$80:$A$87=A61)*('2002因素修正幅度'!$B$35:$K$35=$G$2)*('2002因素修正幅度'!$B$80:$K$87))</f>
        <v>-5.1999999999999998E-2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1.2999999999999999E-2</v>
      </c>
      <c r="E62" s="1025"/>
      <c r="F62" s="1014">
        <f>SUMPRODUCT(('2002因素修正幅度'!$A$50:$A$57=A62)*('2002因素修正幅度'!$B$35:$K$35=$G$2)*('2002因素修正幅度'!$B$50:$K$57))</f>
        <v>2.5999999999999999E-2</v>
      </c>
      <c r="G62" s="1014">
        <f t="shared" si="8"/>
        <v>1.2999999999999999E-2</v>
      </c>
      <c r="H62" s="1015">
        <v>0</v>
      </c>
      <c r="I62" s="1014">
        <f t="shared" si="9"/>
        <v>-1.2999999999999999E-2</v>
      </c>
      <c r="J62" s="1014">
        <f>SUMPRODUCT(('2002因素修正幅度'!$A$80:$A$87=A62)*('2002因素修正幅度'!$B$35:$K$35=$G$2)*('2002因素修正幅度'!$B$80:$K$87))</f>
        <v>-2.5999999999999999E-2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435</v>
      </c>
      <c r="D63" s="1012">
        <f t="shared" si="7"/>
        <v>0</v>
      </c>
      <c r="E63" s="1025"/>
      <c r="F63" s="1014">
        <f>SUMPRODUCT(('2002因素修正幅度'!$A$50:$A$57=A63)*('2002因素修正幅度'!$B$35:$K$35=$G$2)*('2002因素修正幅度'!$B$50:$K$57))</f>
        <v>2.5999999999999999E-2</v>
      </c>
      <c r="G63" s="1014">
        <f t="shared" si="8"/>
        <v>1.2999999999999999E-2</v>
      </c>
      <c r="H63" s="1015">
        <v>0</v>
      </c>
      <c r="I63" s="1014">
        <f t="shared" si="9"/>
        <v>-1.2999999999999999E-2</v>
      </c>
      <c r="J63" s="1014">
        <f>SUMPRODUCT(('2002因素修正幅度'!$A$80:$A$87=A63)*('2002因素修正幅度'!$B$35:$K$35=$G$2)*('2002因素修正幅度'!$B$80:$K$87))</f>
        <v>-2.5999999999999999E-2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1.04E-2</v>
      </c>
      <c r="E64" s="1025"/>
      <c r="F64" s="1014">
        <f>SUMPRODUCT(('2002因素修正幅度'!$A$50:$A$57=A64)*('2002因素修正幅度'!$B$35:$K$35=$G$2)*('2002因素修正幅度'!$B$50:$K$57))</f>
        <v>2.0799999999999999E-2</v>
      </c>
      <c r="G64" s="1014">
        <f t="shared" si="8"/>
        <v>1.04E-2</v>
      </c>
      <c r="H64" s="1015">
        <v>0</v>
      </c>
      <c r="I64" s="1014">
        <f t="shared" si="9"/>
        <v>-1.04E-2</v>
      </c>
      <c r="J64" s="1014">
        <f>SUMPRODUCT(('2002因素修正幅度'!$A$80:$A$87=A64)*('2002因素修正幅度'!$B$35:$K$35=$G$2)*('2002因素修正幅度'!$B$80:$K$87))</f>
        <v>-2.0799999999999999E-2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434</v>
      </c>
      <c r="D65" s="1012">
        <f t="shared" si="7"/>
        <v>1.5599999999999999E-2</v>
      </c>
      <c r="E65" s="1025"/>
      <c r="F65" s="1014">
        <f>SUMPRODUCT(('2002因素修正幅度'!$A$50:$A$57=A65)*('2002因素修正幅度'!$B$35:$K$35=$G$2)*('2002因素修正幅度'!$B$50:$K$57))</f>
        <v>3.1199999999999999E-2</v>
      </c>
      <c r="G65" s="1014">
        <f t="shared" si="8"/>
        <v>1.5599999999999999E-2</v>
      </c>
      <c r="H65" s="1015">
        <v>0</v>
      </c>
      <c r="I65" s="1014">
        <f t="shared" si="9"/>
        <v>-1.5599999999999999E-2</v>
      </c>
      <c r="J65" s="1014">
        <f>SUMPRODUCT(('2002因素修正幅度'!$A$80:$A$87=A65)*('2002因素修正幅度'!$B$35:$K$35=$G$2)*('2002因素修正幅度'!$B$80:$K$87))</f>
        <v>-3.1199999999999999E-2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434</v>
      </c>
      <c r="D66" s="1012">
        <f t="shared" si="7"/>
        <v>2.5999999999999999E-2</v>
      </c>
      <c r="E66" s="1025"/>
      <c r="F66" s="1014">
        <f>SUMPRODUCT(('2002因素修正幅度'!$A$50:$A$57=A66)*('2002因素修正幅度'!$B$35:$K$35=$G$2)*('2002因素修正幅度'!$B$50:$K$57))</f>
        <v>5.1999999999999998E-2</v>
      </c>
      <c r="G66" s="1014">
        <f t="shared" si="8"/>
        <v>2.5999999999999999E-2</v>
      </c>
      <c r="H66" s="1015">
        <v>0</v>
      </c>
      <c r="I66" s="1014">
        <f t="shared" si="9"/>
        <v>-2.5999999999999999E-2</v>
      </c>
      <c r="J66" s="1014">
        <f>SUMPRODUCT(('2002因素修正幅度'!$A$80:$A$87=A66)*('2002因素修正幅度'!$B$35:$K$35=$G$2)*('2002因素修正幅度'!$B$80:$K$87))</f>
        <v>-5.1999999999999998E-2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435</v>
      </c>
      <c r="D67" s="1012">
        <f t="shared" si="7"/>
        <v>0</v>
      </c>
      <c r="E67" s="1053"/>
      <c r="F67" s="1014">
        <f>SUMPRODUCT(('2002因素修正幅度'!$A$50:$A$57=A67)*('2002因素修正幅度'!$B$35:$K$35=$G$2)*('2002因素修正幅度'!$B$50:$K$57))</f>
        <v>2.5999999999999999E-2</v>
      </c>
      <c r="G67" s="1014">
        <f t="shared" si="8"/>
        <v>1.2999999999999999E-2</v>
      </c>
      <c r="H67" s="1015">
        <v>0</v>
      </c>
      <c r="I67" s="1014">
        <f t="shared" si="9"/>
        <v>-1.2999999999999999E-2</v>
      </c>
      <c r="J67" s="1014">
        <f>SUMPRODUCT(('2002因素修正幅度'!$A$80:$A$87=A67)*('2002因素修正幅度'!$B$35:$K$35=$G$2)*('2002因素修正幅度'!$B$80:$K$87))</f>
        <v>-2.5999999999999999E-2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0.04</v>
      </c>
      <c r="G70" s="1014">
        <f t="shared" ref="G70:G76" si="11">F70/2</f>
        <v>0.02</v>
      </c>
      <c r="H70" s="1015">
        <v>0</v>
      </c>
      <c r="I70" s="1014">
        <f t="shared" ref="I70:I76" si="12">J70/2</f>
        <v>-0.02</v>
      </c>
      <c r="J70" s="1014">
        <f>SUMPRODUCT(('2002因素修正幅度'!$A$88:$A$94=A70)*('2002因素修正幅度'!$B$35:$K$35=$G$2)*('2002因素修正幅度'!$B$88:$K$94))</f>
        <v>-0.04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6.4000000000000001E-2</v>
      </c>
      <c r="G71" s="1014">
        <f t="shared" si="11"/>
        <v>3.2000000000000001E-2</v>
      </c>
      <c r="H71" s="1015">
        <v>0</v>
      </c>
      <c r="I71" s="1014">
        <f t="shared" si="12"/>
        <v>-3.2000000000000001E-2</v>
      </c>
      <c r="J71" s="1014">
        <f>SUMPRODUCT(('2002因素修正幅度'!$A$88:$A$94=A71)*('2002因素修正幅度'!$B$35:$K$35=$G$2)*('2002因素修正幅度'!$B$88:$K$94))</f>
        <v>-6.4000000000000001E-2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0.02</v>
      </c>
      <c r="G72" s="1014">
        <f t="shared" si="11"/>
        <v>0.01</v>
      </c>
      <c r="H72" s="1015">
        <v>0</v>
      </c>
      <c r="I72" s="1014">
        <f t="shared" si="12"/>
        <v>-0.01</v>
      </c>
      <c r="J72" s="1014">
        <f>SUMPRODUCT(('2002因素修正幅度'!$A$88:$A$94=A72)*('2002因素修正幅度'!$B$35:$K$35=$G$2)*('2002因素修正幅度'!$B$88:$K$94))</f>
        <v>-0.02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1.6E-2</v>
      </c>
      <c r="G73" s="1014">
        <f t="shared" si="11"/>
        <v>8.0000000000000002E-3</v>
      </c>
      <c r="H73" s="1015">
        <v>0</v>
      </c>
      <c r="I73" s="1014">
        <f t="shared" si="12"/>
        <v>-8.0000000000000002E-3</v>
      </c>
      <c r="J73" s="1014">
        <f>SUMPRODUCT(('2002因素修正幅度'!$A$88:$A$94=A73)*('2002因素修正幅度'!$B$35:$K$35=$G$2)*('2002因素修正幅度'!$B$88:$K$94))</f>
        <v>-1.6E-2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2.4E-2</v>
      </c>
      <c r="G74" s="1014">
        <f t="shared" si="11"/>
        <v>1.2E-2</v>
      </c>
      <c r="H74" s="1015">
        <v>0</v>
      </c>
      <c r="I74" s="1014">
        <f t="shared" si="12"/>
        <v>-1.2E-2</v>
      </c>
      <c r="J74" s="1014">
        <f>SUMPRODUCT(('2002因素修正幅度'!$A$88:$A$94=A74)*('2002因素修正幅度'!$B$35:$K$35=$G$2)*('2002因素修正幅度'!$B$88:$K$94))</f>
        <v>-2.4E-2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0.02</v>
      </c>
      <c r="G75" s="1014">
        <f t="shared" si="11"/>
        <v>0.01</v>
      </c>
      <c r="H75" s="1015">
        <v>0</v>
      </c>
      <c r="I75" s="1014">
        <f t="shared" si="12"/>
        <v>-0.01</v>
      </c>
      <c r="J75" s="1014">
        <f>SUMPRODUCT(('2002因素修正幅度'!$A$88:$A$94=A75)*('2002因素修正幅度'!$B$35:$K$35=$G$2)*('2002因素修正幅度'!$B$88:$K$94))</f>
        <v>-0.02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1.6E-2</v>
      </c>
      <c r="G76" s="1014">
        <f t="shared" si="11"/>
        <v>8.0000000000000002E-3</v>
      </c>
      <c r="H76" s="1015">
        <v>0</v>
      </c>
      <c r="I76" s="1014">
        <f t="shared" si="12"/>
        <v>-8.0000000000000002E-3</v>
      </c>
      <c r="J76" s="1014">
        <f>SUMPRODUCT(('2002因素修正幅度'!$A$88:$A$94=A76)*('2002因素修正幅度'!$B$35:$K$35=$G$2)*('2002因素修正幅度'!$B$88:$K$94))</f>
        <v>-1.6E-2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2.58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0.96150000000000002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0.79579999999999995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0.93530000000000002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0.96150000000000002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0.70169999999999999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六级</v>
      </c>
      <c r="M1" s="872">
        <f>SUMPRODUCT((K3:K12=L1)*(L2:O2=K1)*(L3:O12))</f>
        <v>1440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21" t="s">
        <v>377</v>
      </c>
      <c r="E2" s="1725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22"/>
      <c r="E3" s="1726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22"/>
      <c r="E4" s="1726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23"/>
      <c r="E5" s="1727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21" t="s">
        <v>1065</v>
      </c>
      <c r="E6" s="1725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六类</v>
      </c>
      <c r="C7" s="657"/>
      <c r="D7" s="1722"/>
      <c r="E7" s="1726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23"/>
      <c r="E8" s="1727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120.79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21" t="s">
        <v>137</v>
      </c>
      <c r="E10" s="1725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24"/>
      <c r="E11" s="1728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400</v>
      </c>
      <c r="E14" s="683">
        <f>SUMPRODUCT((D35:M35=B7)*(B40:B43=B6)*(D40:M43))</f>
        <v>600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0.99439999999999995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68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 t="e">
        <f>ROUND(C28/B11,0)</f>
        <v>#DIV/0!</v>
      </c>
      <c r="D27" s="736">
        <f>B9</f>
        <v>120.79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 t="e">
        <f>ROUND(C30/B11,0)</f>
        <v>#DIV/0!</v>
      </c>
      <c r="D29" s="741">
        <f>B9</f>
        <v>120.79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15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16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17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17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17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17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17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17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17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18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9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9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9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9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0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9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9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9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0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29" t="s">
        <v>1116</v>
      </c>
      <c r="D4" s="1730"/>
      <c r="E4" s="1731" t="s">
        <v>1117</v>
      </c>
      <c r="F4" s="1732"/>
      <c r="G4" s="1729" t="s">
        <v>1118</v>
      </c>
      <c r="H4" s="1730"/>
      <c r="I4" s="1729" t="s">
        <v>1119</v>
      </c>
      <c r="J4" s="1730"/>
      <c r="K4" s="438" t="s">
        <v>1120</v>
      </c>
      <c r="L4" s="439"/>
      <c r="M4" s="396"/>
      <c r="N4" s="396"/>
      <c r="O4" s="396"/>
      <c r="P4" s="1764" t="s">
        <v>1121</v>
      </c>
      <c r="Q4" s="1765"/>
      <c r="R4" s="1758" t="s">
        <v>1117</v>
      </c>
      <c r="S4" s="1759"/>
      <c r="T4" s="1758" t="s">
        <v>1118</v>
      </c>
      <c r="U4" s="1759"/>
      <c r="V4" s="1745" t="s">
        <v>1119</v>
      </c>
      <c r="W4" s="1745"/>
      <c r="X4" s="496"/>
      <c r="Y4" s="1758" t="s">
        <v>1121</v>
      </c>
      <c r="Z4" s="1759"/>
      <c r="AA4" s="1755" t="s">
        <v>1117</v>
      </c>
      <c r="AB4" s="1756" t="s">
        <v>1118</v>
      </c>
      <c r="AC4" s="1755" t="s">
        <v>1119</v>
      </c>
    </row>
    <row r="5" spans="1:29" ht="15">
      <c r="A5" s="275"/>
      <c r="B5" s="276"/>
      <c r="C5" s="1733" t="s">
        <v>1122</v>
      </c>
      <c r="D5" s="1734"/>
      <c r="E5" s="1735" t="s">
        <v>1123</v>
      </c>
      <c r="F5" s="1736"/>
      <c r="G5" s="1733" t="s">
        <v>1124</v>
      </c>
      <c r="H5" s="1734"/>
      <c r="I5" s="1733" t="s">
        <v>1125</v>
      </c>
      <c r="J5" s="1734"/>
      <c r="K5" s="438"/>
      <c r="L5" s="439"/>
      <c r="M5" s="396"/>
      <c r="N5" s="396"/>
      <c r="O5" s="396"/>
      <c r="P5" s="1766"/>
      <c r="Q5" s="1767"/>
      <c r="R5" s="1760"/>
      <c r="S5" s="1761"/>
      <c r="T5" s="1760"/>
      <c r="U5" s="1761"/>
      <c r="V5" s="1745"/>
      <c r="W5" s="1745"/>
      <c r="X5" s="496"/>
      <c r="Y5" s="1760"/>
      <c r="Z5" s="1761"/>
      <c r="AA5" s="1756"/>
      <c r="AB5" s="1756"/>
      <c r="AC5" s="1756"/>
    </row>
    <row r="6" spans="1:29" ht="15">
      <c r="A6" s="278"/>
      <c r="B6" s="279"/>
      <c r="C6" s="1737" t="s">
        <v>1126</v>
      </c>
      <c r="D6" s="1738"/>
      <c r="E6" s="1739" t="s">
        <v>1126</v>
      </c>
      <c r="F6" s="1740"/>
      <c r="G6" s="1737" t="s">
        <v>1126</v>
      </c>
      <c r="H6" s="1738"/>
      <c r="I6" s="1737" t="s">
        <v>1126</v>
      </c>
      <c r="J6" s="1738"/>
      <c r="K6" s="438" t="s">
        <v>1127</v>
      </c>
      <c r="L6" s="439"/>
      <c r="M6" s="396"/>
      <c r="N6" s="396"/>
      <c r="O6" s="396"/>
      <c r="P6" s="1768"/>
      <c r="Q6" s="1769"/>
      <c r="R6" s="1760"/>
      <c r="S6" s="1761"/>
      <c r="T6" s="1762"/>
      <c r="U6" s="1763"/>
      <c r="V6" s="1745"/>
      <c r="W6" s="1745"/>
      <c r="X6" s="496"/>
      <c r="Y6" s="1762"/>
      <c r="Z6" s="1763"/>
      <c r="AA6" s="1757"/>
      <c r="AB6" s="1757"/>
      <c r="AC6" s="1757"/>
    </row>
    <row r="7" spans="1:29" s="247" customFormat="1" ht="15">
      <c r="A7" s="280" t="s">
        <v>1128</v>
      </c>
      <c r="B7" s="281"/>
      <c r="C7" s="282">
        <f>主表!B4</f>
        <v>38017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1" t="s">
        <v>1129</v>
      </c>
      <c r="Q7" s="1742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41" t="s">
        <v>1129</v>
      </c>
      <c r="Z7" s="1743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1" t="s">
        <v>1133</v>
      </c>
      <c r="Q8" s="1743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41" t="s">
        <v>1133</v>
      </c>
      <c r="Z8" s="1743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4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0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4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0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4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0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六级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4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0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4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0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4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0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6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46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7"/>
      <c r="Q16" s="445"/>
      <c r="R16" s="501"/>
      <c r="S16" s="502"/>
      <c r="T16" s="501"/>
      <c r="U16" s="502"/>
      <c r="V16" s="501"/>
      <c r="W16" s="502"/>
      <c r="X16" s="496"/>
      <c r="Y16" s="1747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7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47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7"/>
      <c r="Q18" s="445"/>
      <c r="R18" s="501"/>
      <c r="S18" s="502"/>
      <c r="T18" s="501"/>
      <c r="U18" s="502"/>
      <c r="V18" s="501"/>
      <c r="W18" s="502"/>
      <c r="X18" s="496"/>
      <c r="Y18" s="1747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7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47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7"/>
      <c r="Q20" s="445"/>
      <c r="R20" s="501"/>
      <c r="S20" s="502"/>
      <c r="T20" s="501"/>
      <c r="U20" s="502"/>
      <c r="V20" s="501"/>
      <c r="W20" s="502"/>
      <c r="X20" s="496"/>
      <c r="Y20" s="1747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7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47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7"/>
      <c r="Q22" s="445"/>
      <c r="R22" s="501"/>
      <c r="S22" s="502"/>
      <c r="T22" s="501"/>
      <c r="U22" s="502"/>
      <c r="V22" s="501"/>
      <c r="W22" s="502"/>
      <c r="X22" s="496"/>
      <c r="Y22" s="1747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7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47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7"/>
      <c r="Q24" s="445"/>
      <c r="R24" s="501"/>
      <c r="S24" s="502"/>
      <c r="T24" s="501"/>
      <c r="U24" s="502"/>
      <c r="V24" s="501"/>
      <c r="W24" s="502"/>
      <c r="X24" s="496"/>
      <c r="Y24" s="1747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7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47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7"/>
      <c r="Q26" s="445"/>
      <c r="R26" s="501"/>
      <c r="S26" s="502"/>
      <c r="T26" s="501"/>
      <c r="U26" s="502"/>
      <c r="V26" s="501"/>
      <c r="W26" s="502"/>
      <c r="X26" s="496"/>
      <c r="Y26" s="1747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7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47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7"/>
      <c r="Q28" s="500"/>
      <c r="R28" s="497"/>
      <c r="S28" s="498"/>
      <c r="T28" s="497"/>
      <c r="U28" s="498"/>
      <c r="V28" s="497"/>
      <c r="W28" s="498"/>
      <c r="X28" s="499"/>
      <c r="Y28" s="1747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7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47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7"/>
      <c r="Q30" s="500"/>
      <c r="R30" s="497"/>
      <c r="S30" s="498"/>
      <c r="T30" s="497"/>
      <c r="U30" s="498"/>
      <c r="V30" s="497"/>
      <c r="W30" s="498"/>
      <c r="X30" s="499"/>
      <c r="Y30" s="1747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7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47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7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47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7"/>
      <c r="Q33" s="445"/>
      <c r="R33" s="501"/>
      <c r="S33" s="502"/>
      <c r="T33" s="501"/>
      <c r="U33" s="502"/>
      <c r="V33" s="501"/>
      <c r="W33" s="502"/>
      <c r="X33" s="496"/>
      <c r="Y33" s="1747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7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47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7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47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8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49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9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49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9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49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9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49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9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49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9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49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9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49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9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49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9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49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9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49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4" t="str">
        <f>A46</f>
        <v>成交单价</v>
      </c>
      <c r="Q46" s="1744"/>
      <c r="R46" s="1745">
        <f>E46</f>
        <v>0</v>
      </c>
      <c r="S46" s="1745"/>
      <c r="T46" s="1745">
        <f>G46</f>
        <v>0</v>
      </c>
      <c r="U46" s="1745"/>
      <c r="V46" s="1745">
        <f>I46</f>
        <v>0</v>
      </c>
      <c r="W46" s="1745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4" t="str">
        <f>A47</f>
        <v>比较价值（元/平方米）</v>
      </c>
      <c r="Q47" s="1744"/>
      <c r="R47" s="1751" t="e">
        <f>ROUND(PRODUCT(R46,AA7:AA45),0)</f>
        <v>#DIV/0!</v>
      </c>
      <c r="S47" s="1751"/>
      <c r="T47" s="1751" t="e">
        <f>ROUND(PRODUCT(T46,AB7:AB45),0)</f>
        <v>#DIV/0!</v>
      </c>
      <c r="U47" s="1751"/>
      <c r="V47" s="1751" t="e">
        <f>ROUND(PRODUCT(V46,AC7:AC45),0)</f>
        <v>#DIV/0!</v>
      </c>
      <c r="W47" s="1751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2" t="str">
        <f>A48</f>
        <v>估价对象比较价值（单价内涵，元/平方米）</v>
      </c>
      <c r="Q48" s="1753"/>
      <c r="R48" s="1754" t="e">
        <f>ROUND(AVERAGE(R47:V47),0)</f>
        <v>#DIV/0!</v>
      </c>
      <c r="S48" s="1754"/>
      <c r="T48" s="1754"/>
      <c r="U48" s="1754"/>
      <c r="V48" s="1754"/>
      <c r="W48" s="1754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2004-1-1</v>
      </c>
      <c r="D56" s="408">
        <f>EDATE(C56,-3)</f>
        <v>37895</v>
      </c>
      <c r="E56" s="408">
        <f t="shared" ref="E56:O56" si="15">EDATE(D56,-3)</f>
        <v>37803</v>
      </c>
      <c r="F56" s="408">
        <f t="shared" si="15"/>
        <v>37712</v>
      </c>
      <c r="G56" s="408">
        <f t="shared" si="15"/>
        <v>37622</v>
      </c>
      <c r="H56" s="408">
        <f t="shared" si="15"/>
        <v>37530</v>
      </c>
      <c r="I56" s="408">
        <f t="shared" si="15"/>
        <v>37438</v>
      </c>
      <c r="J56" s="408">
        <f t="shared" si="15"/>
        <v>37347</v>
      </c>
      <c r="K56" s="408">
        <f t="shared" si="15"/>
        <v>37257</v>
      </c>
      <c r="L56" s="408">
        <f t="shared" si="15"/>
        <v>37165</v>
      </c>
      <c r="M56" s="408">
        <f t="shared" si="15"/>
        <v>37073</v>
      </c>
      <c r="N56" s="408">
        <f t="shared" si="15"/>
        <v>36982</v>
      </c>
      <c r="O56" s="408">
        <f t="shared" si="15"/>
        <v>36892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2004-1</v>
      </c>
      <c r="D58" s="415" t="str">
        <f t="shared" ref="D58:O58" si="16">YEAR(D56)&amp;"-"&amp;ROUNDUP(MONTH(D56)/3,0)</f>
        <v>2003-4</v>
      </c>
      <c r="E58" s="415" t="str">
        <f t="shared" si="16"/>
        <v>2003-3</v>
      </c>
      <c r="F58" s="415" t="str">
        <f t="shared" si="16"/>
        <v>2003-2</v>
      </c>
      <c r="G58" s="415" t="str">
        <f t="shared" si="16"/>
        <v>2003-1</v>
      </c>
      <c r="H58" s="415" t="str">
        <f t="shared" si="16"/>
        <v>2002-4</v>
      </c>
      <c r="I58" s="415" t="str">
        <f t="shared" si="16"/>
        <v>2002-3</v>
      </c>
      <c r="J58" s="415" t="str">
        <f t="shared" si="16"/>
        <v>2002-2</v>
      </c>
      <c r="K58" s="415" t="str">
        <f t="shared" si="16"/>
        <v>2002-1</v>
      </c>
      <c r="L58" s="415" t="str">
        <f t="shared" si="16"/>
        <v>2001-4</v>
      </c>
      <c r="M58" s="415" t="str">
        <f t="shared" si="16"/>
        <v>2001-3</v>
      </c>
      <c r="N58" s="415" t="str">
        <f t="shared" si="16"/>
        <v>2001-2</v>
      </c>
      <c r="O58" s="415" t="str">
        <f t="shared" si="16"/>
        <v>2001-1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38017</v>
      </c>
      <c r="D1" s="195" t="str">
        <f>主表!A23</f>
        <v>建设期</v>
      </c>
      <c r="E1" s="195">
        <f>主表!B23</f>
        <v>2</v>
      </c>
      <c r="F1" s="195" t="s">
        <v>1182</v>
      </c>
      <c r="G1" s="196">
        <f ca="1">INDIRECT("d"&amp;$K$1)/100</f>
        <v>5.4900000000000004E-2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52</v>
      </c>
      <c r="K1" s="237">
        <f>MATCH(E1,C4:C8,1)+IF(SUMIF(C4:C8,E1,D4:D8)=0,3,2)</f>
        <v>6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38017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49" zoomScale="80" zoomScaleNormal="80" workbookViewId="0">
      <selection activeCell="E1" sqref="E1:E1048576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0" t="s">
        <v>1209</v>
      </c>
      <c r="H2" s="1770"/>
      <c r="I2" s="1770"/>
      <c r="J2" s="1770"/>
      <c r="K2" s="1770"/>
      <c r="L2" s="1770"/>
      <c r="N2" s="1771" t="s">
        <v>1210</v>
      </c>
      <c r="O2" s="1771"/>
      <c r="P2" s="1771"/>
      <c r="Q2" s="1771"/>
      <c r="S2" s="1771" t="s">
        <v>1211</v>
      </c>
      <c r="T2" s="1771"/>
      <c r="U2" s="1771"/>
      <c r="V2" s="1771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2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2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2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3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4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2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2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3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4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2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2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5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6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2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2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5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6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2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2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5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7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8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8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9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6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2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2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5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6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2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2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5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6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2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2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5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6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2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2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5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6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2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2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5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6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2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2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5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6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2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2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5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6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2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2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5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6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2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2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5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6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2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2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5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6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2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2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5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39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9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120.79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38017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120.79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50" t="s">
        <v>190</v>
      </c>
      <c r="B2" s="1650"/>
      <c r="C2" s="1650"/>
      <c r="D2" s="1650"/>
      <c r="E2" s="1650"/>
      <c r="F2" s="1650"/>
      <c r="G2" s="1650"/>
      <c r="H2" s="1523"/>
      <c r="I2" s="1522"/>
      <c r="X2" s="1518"/>
      <c r="AG2" s="1519"/>
    </row>
    <row r="3" spans="1:33" ht="13.5">
      <c r="A3" s="1651" t="s">
        <v>191</v>
      </c>
      <c r="B3" s="1652"/>
      <c r="C3" s="1653"/>
      <c r="D3" s="1654" t="s">
        <v>192</v>
      </c>
      <c r="E3" s="1652"/>
      <c r="F3" s="1652"/>
      <c r="G3" s="1655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56" t="s">
        <v>193</v>
      </c>
      <c r="E4" s="1657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59" t="s">
        <v>196</v>
      </c>
      <c r="B5" s="1660">
        <f>主表!F5</f>
        <v>1546</v>
      </c>
      <c r="C5" s="1661" t="s">
        <v>197</v>
      </c>
      <c r="D5" s="1657" t="s">
        <v>198</v>
      </c>
      <c r="E5" s="1658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59"/>
      <c r="B6" s="1660"/>
      <c r="C6" s="1661"/>
      <c r="D6" s="166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59"/>
      <c r="B7" s="1660"/>
      <c r="C7" s="1661"/>
      <c r="D7" s="166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59"/>
      <c r="B8" s="1660"/>
      <c r="C8" s="1661"/>
      <c r="D8" s="1663" t="s">
        <v>204</v>
      </c>
      <c r="E8" s="1664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59"/>
      <c r="B9" s="1660"/>
      <c r="C9" s="1661"/>
      <c r="D9" s="1663" t="s">
        <v>205</v>
      </c>
      <c r="E9" s="1664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59"/>
      <c r="B10" s="1660"/>
      <c r="C10" s="1661"/>
      <c r="D10" s="1663" t="s">
        <v>206</v>
      </c>
      <c r="E10" s="1664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57" t="s">
        <v>207</v>
      </c>
      <c r="E11" s="1658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57" t="s">
        <v>208</v>
      </c>
      <c r="E12" s="1658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房屋建设期为2年，贷款利率为5.49%，计息期为2年，复利计息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57" t="s">
        <v>209</v>
      </c>
      <c r="E13" s="1658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1546</v>
      </c>
      <c r="C14" s="1529" t="s">
        <v>211</v>
      </c>
      <c r="D14" s="1657" t="s">
        <v>210</v>
      </c>
      <c r="E14" s="1658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60">
        <f ca="1">主表!F24</f>
        <v>1546</v>
      </c>
      <c r="C15" s="1665"/>
      <c r="D15" s="1663" t="s">
        <v>213</v>
      </c>
      <c r="E15" s="1664"/>
      <c r="F15" s="1664"/>
      <c r="G15" s="1666"/>
      <c r="H15" s="1523"/>
      <c r="I15" s="1522"/>
      <c r="X15" s="1518"/>
      <c r="AG15" s="1519"/>
    </row>
    <row r="16" spans="1:33" ht="27">
      <c r="A16" s="1524" t="s">
        <v>214</v>
      </c>
      <c r="B16" s="1660">
        <f ca="1">主表!F25</f>
        <v>18.674099999999999</v>
      </c>
      <c r="C16" s="1665"/>
      <c r="D16" s="1663" t="s">
        <v>215</v>
      </c>
      <c r="E16" s="1664"/>
      <c r="F16" s="1664"/>
      <c r="G16" s="1666"/>
      <c r="H16" s="1532" t="str">
        <f ca="1">NUMBERSTRING(INT(B16*10000),2)&amp;"元整"</f>
        <v>壹拾捌万陆仟柒佰肆拾壹元整</v>
      </c>
      <c r="I16" s="1555"/>
      <c r="X16" s="1518"/>
      <c r="AG16" s="1519"/>
    </row>
    <row r="17" spans="1:33" ht="13.5">
      <c r="A17" s="1524" t="s">
        <v>216</v>
      </c>
      <c r="B17" s="1672">
        <f>主表!F33</f>
        <v>0</v>
      </c>
      <c r="C17" s="1665"/>
      <c r="D17" s="1663" t="s">
        <v>217</v>
      </c>
      <c r="E17" s="1664"/>
      <c r="F17" s="1664"/>
      <c r="G17" s="1666"/>
      <c r="H17" s="1523"/>
      <c r="I17" s="1522"/>
      <c r="X17" s="1518"/>
      <c r="AG17" s="1519"/>
    </row>
    <row r="18" spans="1:33" ht="27">
      <c r="A18" s="1524" t="s">
        <v>218</v>
      </c>
      <c r="B18" s="1660">
        <f ca="1">主表!F35</f>
        <v>0</v>
      </c>
      <c r="C18" s="1665"/>
      <c r="D18" s="1663" t="s">
        <v>219</v>
      </c>
      <c r="E18" s="1664"/>
      <c r="F18" s="1664"/>
      <c r="G18" s="1666"/>
      <c r="H18" s="1523"/>
      <c r="I18" s="1522"/>
      <c r="X18" s="1518"/>
      <c r="AG18" s="1519"/>
    </row>
    <row r="19" spans="1:33" ht="27">
      <c r="A19" s="1533" t="s">
        <v>220</v>
      </c>
      <c r="B19" s="1667">
        <f ca="1">主表!F36</f>
        <v>0</v>
      </c>
      <c r="C19" s="1668"/>
      <c r="D19" s="1669" t="s">
        <v>221</v>
      </c>
      <c r="E19" s="1670"/>
      <c r="F19" s="1670"/>
      <c r="G19" s="1671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5" sqref="B5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60</v>
      </c>
    </row>
    <row r="3" spans="1:18" ht="15.75" customHeight="1">
      <c r="A3" s="1392" t="s">
        <v>233</v>
      </c>
      <c r="B3" s="1393">
        <v>38017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38017</v>
      </c>
      <c r="C4" s="1391"/>
      <c r="D4" s="1398" t="s">
        <v>240</v>
      </c>
      <c r="E4" s="1399" t="s">
        <v>191</v>
      </c>
      <c r="F4" s="1400">
        <f ca="1">F5+F8+F9+F10</f>
        <v>1546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1546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1546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120.79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2.58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103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68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0.99399999999999999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72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5.4900000000000004E-2</v>
      </c>
      <c r="H21" s="1419" t="str">
        <f>"计息期为"&amp;B23&amp;"年，"&amp;"复利计息"</f>
        <v>计息期为2年，复利计息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2004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2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1546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18.674099999999999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120.79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六级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39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38017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0.998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68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六级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2025-05-06T06:31:58Z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