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9-中环世贸广场\"/>
    </mc:Choice>
  </mc:AlternateContent>
  <xr:revisionPtr revIDLastSave="0" documentId="13_ncr:1_{1A217538-A0AA-4C5A-AEB6-BB996436FEF6}"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房本面积" sheetId="84"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大宗" sheetId="83" r:id="rId44"/>
    <sheet name="地价-分区" sheetId="79"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房本面积!$A$1:$G$88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3">'[1]比较法-办公'!$B$119:$M$119</definedName>
    <definedName name="办公层高" localSheetId="14">'[2]比较法-办公'!$B$119:$M$119</definedName>
    <definedName name="办公层高">'比较法-办公'!$B$119:$M$119</definedName>
    <definedName name="办公朝向" localSheetId="43">'[1]比较法-办公'!$B$91:$M$91</definedName>
    <definedName name="办公朝向" localSheetId="14">'[2]比较法-办公'!$B$91:$M$91</definedName>
    <definedName name="办公朝向">'比较法-办公'!$B$91:$M$91</definedName>
    <definedName name="办公道路级别" localSheetId="43">'[1]比较法-办公'!$B$87:$M$87</definedName>
    <definedName name="办公道路级别" localSheetId="14">'[2]比较法-办公'!$B$87:$M$87</definedName>
    <definedName name="办公道路级别">'比较法-办公'!$B$87:$M$87</definedName>
    <definedName name="办公公共部分装修" localSheetId="43">'[1]比较法-办公'!$B$108:$M$108</definedName>
    <definedName name="办公公共部分装修" localSheetId="14">'[2]比较法-办公'!$B$108:$M$108</definedName>
    <definedName name="办公公共部分装修">'比较法-办公'!$B$108:$M$108</definedName>
    <definedName name="办公基础设施水平" localSheetId="43">'[1]比较法-办公'!$B$117:$M$117</definedName>
    <definedName name="办公基础设施水平" localSheetId="14">'[2]比较法-办公'!$B$117:$M$117</definedName>
    <definedName name="办公基础设施水平">'比较法-办公'!$B$117:$M$117</definedName>
    <definedName name="办公集聚程度" localSheetId="43">[1]定义!$M$1:$M$6</definedName>
    <definedName name="办公集聚程度" localSheetId="14">[2]定义!$M$1:$M$6</definedName>
    <definedName name="办公集聚程度">定义!$M$1:$M$6</definedName>
    <definedName name="办公建筑结构" localSheetId="43">'[1]比较法-办公'!$B$106:$M$106</definedName>
    <definedName name="办公建筑结构" localSheetId="14">'[2]比较法-办公'!$B$106:$M$106</definedName>
    <definedName name="办公建筑结构">'比较法-办公'!$B$106:$M$106</definedName>
    <definedName name="办公建筑类型" localSheetId="43">'[1]比较法-办公'!$B$101:$M$101</definedName>
    <definedName name="办公建筑类型" localSheetId="14">'[2]比较法-办公'!$B$101:$M$101</definedName>
    <definedName name="办公建筑类型">'比较法-办公'!$B$101:$M$101</definedName>
    <definedName name="办公交易情况" localSheetId="43">'[1]比较法-办公'!$A$62:$M$62</definedName>
    <definedName name="办公交易情况" localSheetId="14">'[2]比较法-办公'!$A$62:$M$62</definedName>
    <definedName name="办公交易情况">'比较法-办公'!$A$62:$M$62</definedName>
    <definedName name="办公楼层" localSheetId="43">'[1]比较法-办公'!$B$89:$M$89</definedName>
    <definedName name="办公楼层" localSheetId="14">'[2]比较法-办公'!$B$89:$M$89</definedName>
    <definedName name="办公楼层">'比较法-办公'!$B$89:$M$89</definedName>
    <definedName name="办公内部装修" localSheetId="43">'[1]比较法-办公'!$B$123:$M$123</definedName>
    <definedName name="办公内部装修" localSheetId="14">'[2]比较法-办公'!$B$123:$M$123</definedName>
    <definedName name="办公内部装修">'比较法-办公'!$B$123:$M$123</definedName>
    <definedName name="办公物业管理" localSheetId="43">'[1]比较法-办公'!$B$115:$M$115</definedName>
    <definedName name="办公物业管理" localSheetId="14">'[2]比较法-办公'!$B$115:$M$115</definedName>
    <definedName name="办公物业管理">'比较法-办公'!$B$115:$M$115</definedName>
    <definedName name="办公用途" localSheetId="43">'[1]比较法-办公'!$B$64:$M$64</definedName>
    <definedName name="办公用途" localSheetId="14">'[2]比较法-办公'!$B$64:$M$64</definedName>
    <definedName name="办公用途">'比较法-办公'!$B$64:$M$64</definedName>
    <definedName name="仓储公共部分装修" localSheetId="43">'[1]比较法-仓储'!$B$77:$M$77</definedName>
    <definedName name="仓储公共部分装修" localSheetId="14">'[2]比较法-仓储'!$B$77:$M$77</definedName>
    <definedName name="仓储公共部分装修">'比较法-仓储'!$B$77:$M$77</definedName>
    <definedName name="仓储交易情况" localSheetId="43">'[1]比较法-仓储'!$A$49:$M$49</definedName>
    <definedName name="仓储交易情况" localSheetId="14">'[2]比较法-仓储'!$A$49:$M$49</definedName>
    <definedName name="仓储交易情况">'比较法-仓储'!$A$49:$M$49</definedName>
    <definedName name="仓储楼层" localSheetId="43">'[1]比较法-仓储'!$B$69:$M$69</definedName>
    <definedName name="仓储楼层" localSheetId="14">'[2]比较法-仓储'!$B$69:$M$69</definedName>
    <definedName name="仓储楼层">'比较法-仓储'!$B$69:$M$69</definedName>
    <definedName name="仓储物业等级" localSheetId="43">'[1]比较法-仓储'!$B$82:$M$82</definedName>
    <definedName name="仓储物业等级" localSheetId="14">'[2]比较法-仓储'!$B$82:$M$82</definedName>
    <definedName name="仓储物业等级">'比较法-仓储'!$B$82:$M$82</definedName>
    <definedName name="仓储用途" localSheetId="43">'[1]比较法-仓储'!$B$51:$M$51</definedName>
    <definedName name="仓储用途" localSheetId="14">'[2]比较法-仓储'!$B$51:$M$51</definedName>
    <definedName name="仓储用途">'比较法-仓储'!$B$51:$M$51</definedName>
    <definedName name="产业集聚程度" localSheetId="43">[1]定义!$N$1:$N$6</definedName>
    <definedName name="产业集聚程度" localSheetId="14">[2]定义!$N$1:$N$6</definedName>
    <definedName name="产业集聚程度">定义!$N$1:$N$6</definedName>
    <definedName name="车位公共部分装修" localSheetId="43">'[1]比较法-车位'!$B$83:$M$83</definedName>
    <definedName name="车位公共部分装修" localSheetId="14">'[2]比较法-车位'!$B$83:$M$83</definedName>
    <definedName name="车位公共部分装修">'比较法-车位'!$B$83:$M$83</definedName>
    <definedName name="车位交易情况" localSheetId="43">'[1]比较法-车位'!$A$51:$M$51</definedName>
    <definedName name="车位交易情况" localSheetId="14">'[2]比较法-车位'!$A$51:$M$51</definedName>
    <definedName name="车位交易情况">'比较法-车位'!$A$51:$M$51</definedName>
    <definedName name="车位类型" localSheetId="43">'[1]比较法-车位'!$B$93:$M$93</definedName>
    <definedName name="车位类型" localSheetId="14">'[2]比较法-车位'!$B$93:$M$93</definedName>
    <definedName name="车位类型">'比较法-车位'!$B$93:$M$93</definedName>
    <definedName name="车位楼层" localSheetId="43">'[1]比较法-车位'!$B$71:$M$71</definedName>
    <definedName name="车位楼层" localSheetId="14">'[2]比较法-车位'!$B$71:$M$71</definedName>
    <definedName name="车位楼层">'比较法-车位'!$B$71:$M$71</definedName>
    <definedName name="车位配套类型" localSheetId="43">'[1]比较法-车位'!$B$79:$M$79</definedName>
    <definedName name="车位配套类型" localSheetId="14">'[2]比较法-车位'!$B$79:$M$79</definedName>
    <definedName name="车位配套类型">'比较法-车位'!$B$79:$M$79</definedName>
    <definedName name="车位物业等级" localSheetId="43">'[1]比较法-车位'!$B$88:$M$88</definedName>
    <definedName name="车位物业等级" localSheetId="14">'[2]比较法-车位'!$B$88:$M$88</definedName>
    <definedName name="车位物业等级">'比较法-车位'!$B$88:$M$88</definedName>
    <definedName name="车位用途" localSheetId="43">'[1]比较法-车位'!$B$53:$M$53</definedName>
    <definedName name="车位用途" localSheetId="14">'[2]比较法-车位'!$B$53:$M$53</definedName>
    <definedName name="车位用途">'比较法-车位'!$B$53:$M$53</definedName>
    <definedName name="城镇土地纳税等级分级范围" localSheetId="43">'[1]数据-取费表'!$A$53:$A$63</definedName>
    <definedName name="城镇土地纳税等级分级范围" localSheetId="14">'[2]数据-取费表'!$A$53:$A$63</definedName>
    <definedName name="城镇土地纳税等级分级范围">'数据-取费表'!$A$53:$A$63</definedName>
    <definedName name="单价内涵" localSheetId="43">[1]定义!$V$1:$V$3</definedName>
    <definedName name="单价内涵" localSheetId="14">[2]定义!$V$1:$V$3</definedName>
    <definedName name="单价内涵">定义!$V$1:$V$3</definedName>
    <definedName name="地类判定" localSheetId="43">[1]定义!$H$1:$H$9</definedName>
    <definedName name="地类判定" localSheetId="14">[2]定义!$H$1:$H$9</definedName>
    <definedName name="地类判定">定义!$H$1:$H$9</definedName>
    <definedName name="二级">区片价!$J$1:$J$21</definedName>
    <definedName name="二级分类" localSheetId="43">[1]修正!$C$19:$C$51</definedName>
    <definedName name="二级分类" localSheetId="14">[2]修正!$C$17:$C$39</definedName>
    <definedName name="二级分类">修正!$C$19:$C$51</definedName>
    <definedName name="法定最高年限" localSheetId="43">[1]定义!$G$1:$G$6</definedName>
    <definedName name="法定最高年限" localSheetId="14">[2]定义!$G$1:$G$4</definedName>
    <definedName name="法定最高年限">定义!$G$1:$G$6</definedName>
    <definedName name="工业公共部分装修" localSheetId="43">'[1]比较法-工业'!$B$95:$M$95</definedName>
    <definedName name="工业公共部分装修" localSheetId="14">'[2]比较法-工业'!$B$95:$M$95</definedName>
    <definedName name="工业公共部分装修">'比较法-工业'!$B$95:$M$95</definedName>
    <definedName name="工业基础设施水平" localSheetId="43">'[1]比较法-工业'!$B$102:$M$102</definedName>
    <definedName name="工业基础设施水平" localSheetId="14">'[2]比较法-工业'!$B$102:$M$102</definedName>
    <definedName name="工业基础设施水平">'比较法-工业'!$B$102:$M$102</definedName>
    <definedName name="工业建筑结构" localSheetId="43">'[1]比较法-工业'!$B$93:$M$93</definedName>
    <definedName name="工业建筑结构" localSheetId="14">'[2]比较法-工业'!$B$93:$M$93</definedName>
    <definedName name="工业建筑结构">'比较法-工业'!$B$93:$M$93</definedName>
    <definedName name="工业建筑类型" localSheetId="43">'[1]比较法-工业'!$B$88:$M$88</definedName>
    <definedName name="工业建筑类型" localSheetId="14">'[2]比较法-工业'!$B$88:$M$88</definedName>
    <definedName name="工业建筑类型">'比较法-工业'!$B$88:$M$88</definedName>
    <definedName name="工业交易情况" localSheetId="43">'[1]比较法-工业'!$A$55:$M$55</definedName>
    <definedName name="工业交易情况" localSheetId="14">'[2]比较法-工业'!$A$55:$M$55</definedName>
    <definedName name="工业交易情况">'比较法-工业'!$A$55:$M$55</definedName>
    <definedName name="工业内部装修" localSheetId="43">'[1]比较法-工业'!$B$104:$M$104</definedName>
    <definedName name="工业内部装修" localSheetId="14">'[2]比较法-工业'!$B$104:$M$104</definedName>
    <definedName name="工业内部装修">'比较法-工业'!$B$104:$M$104</definedName>
    <definedName name="工业物业管理" localSheetId="43">'[1]比较法-工业'!$B$100:$M$100</definedName>
    <definedName name="工业物业管理" localSheetId="14">'[2]比较法-工业'!$B$100:$M$100</definedName>
    <definedName name="工业物业管理">'比较法-工业'!$B$100:$M$100</definedName>
    <definedName name="工业用途" localSheetId="43">'[1]比较法-工业'!$B$57:$M$57</definedName>
    <definedName name="工业用途" localSheetId="14">'[2]比较法-工业'!$B$57:$M$57</definedName>
    <definedName name="工业用途">'比较法-工业'!$B$57:$M$57</definedName>
    <definedName name="公共配套设施" localSheetId="43">[1]定义!$Q$1:$Q$6</definedName>
    <definedName name="公共配套设施" localSheetId="14">[2]定义!$Q$1:$Q$6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 localSheetId="14">[2]定义!$B$1:$B$50</definedName>
    <definedName name="估价方法">定义!$B$1:$B$50</definedName>
    <definedName name="环境" localSheetId="43">[1]定义!$S$1:$S$6</definedName>
    <definedName name="环境" localSheetId="14">[2]定义!$S$1:$S$6</definedName>
    <definedName name="环境">定义!$S$1:$S$6</definedName>
    <definedName name="基础设施水平" localSheetId="43">[1]定义!$R$1:$R$6</definedName>
    <definedName name="基础设施水平" localSheetId="14">[2]定义!$R$1:$R$6</definedName>
    <definedName name="基础设施水平">定义!$R$1:$R$6</definedName>
    <definedName name="季度">基准地价修正!$Q$19:$AD$19</definedName>
    <definedName name="价值类型2" localSheetId="43">[1]定义!$B$54:$B$56</definedName>
    <definedName name="价值类型2" localSheetId="14">[2]定义!$B$54:$B$56</definedName>
    <definedName name="价值类型2">定义!$B$54:$B$56</definedName>
    <definedName name="交通便捷度" localSheetId="43">[1]定义!$O$1:$O$6</definedName>
    <definedName name="交通便捷度" localSheetId="14">[2]定义!$O$1:$O$6</definedName>
    <definedName name="交通便捷度">定义!$O$1:$O$6</definedName>
    <definedName name="九级">区片价!$Q$1:$Q$51</definedName>
    <definedName name="居住社区成熟度" localSheetId="43">[1]定义!$K$1:$K$6</definedName>
    <definedName name="居住社区成熟度" localSheetId="14">[2]定义!$K$1:$K$6</definedName>
    <definedName name="居住社区成熟度">定义!$K$1:$K$6</definedName>
    <definedName name="类别" localSheetId="43">[1]定义!$J$1:$J$3</definedName>
    <definedName name="类别" localSheetId="14">[2]定义!$J$1:$J$3</definedName>
    <definedName name="类别">定义!$J$1:$J$3</definedName>
    <definedName name="临街状况" localSheetId="43">[1]定义!$T$1:$T$5</definedName>
    <definedName name="临街状况" localSheetId="14">[2]定义!$T$1:$T$5</definedName>
    <definedName name="临街状况">定义!$T$1:$T$5</definedName>
    <definedName name="六级">区片价!$N$1:$N$64</definedName>
    <definedName name="内部装修维护情况" localSheetId="43">[1]定义!$U$1:$U$6</definedName>
    <definedName name="内部装修维护情况" localSheetId="14">[2]定义!$U$1:$U$6</definedName>
    <definedName name="内部装修维护情况">定义!$U$1:$U$6</definedName>
    <definedName name="判定">[2]定义!$D$1:$D$4</definedName>
    <definedName name="七级">区片价!$O$1:$O$45</definedName>
    <definedName name="七通一平" localSheetId="43">[1]修正!$A$8:$A$16</definedName>
    <definedName name="七通一平" localSheetId="14">[2]修正!$A$6:$A$14</definedName>
    <definedName name="七通一平">修正!$A$8:$A$16</definedName>
    <definedName name="区域土地利用方向" localSheetId="43">[1]定义!$P$1:$P$6</definedName>
    <definedName name="区域土地利用方向" localSheetId="14">[2]定义!$P$1:$P$6</definedName>
    <definedName name="区域土地利用方向">定义!$P$1:$P$6</definedName>
    <definedName name="三级">区片价!$K$1:$K$26</definedName>
    <definedName name="商业层高" localSheetId="4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43">[1]定义!$L$1:$L$6</definedName>
    <definedName name="商业繁华度" localSheetId="14">[2]定义!$L$1:$L$6</definedName>
    <definedName name="商业繁华度">定义!$L$1:$L$6</definedName>
    <definedName name="商业公共部分装修" localSheetId="43">'[1]比较法-商业'!$B$107:$M$107</definedName>
    <definedName name="商业公共部分装修" localSheetId="14">'[2]比较法-商业'!$B$107:$M$107</definedName>
    <definedName name="商业公共部分装修">'比较法-商业'!$B$107:$M$107</definedName>
    <definedName name="商业基础设施水平" localSheetId="43">'[1]比较法-商业'!$B$112:$M$112</definedName>
    <definedName name="商业基础设施水平" localSheetId="14">'[2]比较法-商业'!$B$112:$M$112</definedName>
    <definedName name="商业基础设施水平">'比较法-商业'!$B$112:$M$112</definedName>
    <definedName name="商业建筑结构" localSheetId="43">'[1]比较法-商业'!$B$105:$M$105</definedName>
    <definedName name="商业建筑结构" localSheetId="14">'[2]比较法-商业'!$B$105:$M$105</definedName>
    <definedName name="商业建筑结构">'比较法-商业'!$B$105:$M$105</definedName>
    <definedName name="商业交易情况" localSheetId="43">'[1]比较法-商业'!$A$61:$M$61</definedName>
    <definedName name="商业交易情况" localSheetId="14">'[2]比较法-商业'!$A$61:$M$61</definedName>
    <definedName name="商业交易情况">'比较法-商业'!$A$61:$M$61</definedName>
    <definedName name="商业街名称" localSheetId="43">[1]修正!$C$71:$C$138</definedName>
    <definedName name="商业街名称" localSheetId="14">[2]修正!$C$59:$C$119</definedName>
    <definedName name="商业街名称">修正!$C$71:$C$138</definedName>
    <definedName name="商业进深比" localSheetId="43">'[1]比较法-商业'!$B$120:$M$120</definedName>
    <definedName name="商业进深比" localSheetId="14">'[2]比较法-商业'!$B$120:$M$120</definedName>
    <definedName name="商业进深比">'比较法-商业'!$B$120:$M$120</definedName>
    <definedName name="商业类型" localSheetId="43">'[1]比较法-商业'!$B$100:$M$100</definedName>
    <definedName name="商业类型" localSheetId="14">'[2]比较法-商业'!$B$100:$M$100</definedName>
    <definedName name="商业类型">'比较法-商业'!$B$100:$M$100</definedName>
    <definedName name="商业临街状况" localSheetId="43">'[1]比较法-商业'!$B$86:$M$86</definedName>
    <definedName name="商业临街状况" localSheetId="14">'[2]比较法-商业'!$B$86:$M$86</definedName>
    <definedName name="商业临街状况">'比较法-商业'!$B$86:$M$86</definedName>
    <definedName name="商业楼层" localSheetId="43">'[1]比较法-商业'!$B$92:$M$92</definedName>
    <definedName name="商业楼层" localSheetId="14">'[2]比较法-商业'!$B$92:$M$92</definedName>
    <definedName name="商业楼层">'比较法-商业'!$B$92:$M$92</definedName>
    <definedName name="商业内部装修" localSheetId="43">'[1]比较法-商业'!$B$122:$M$122</definedName>
    <definedName name="商业内部装修" localSheetId="14">'[2]比较法-商业'!$B$122:$M$122</definedName>
    <definedName name="商业内部装修">'比较法-商业'!$B$122:$M$122</definedName>
    <definedName name="商业人流量" localSheetId="43">'[1]比较法-商业'!$B$90:$M$90</definedName>
    <definedName name="商业人流量" localSheetId="14">'[2]比较法-商业'!$B$90:$M$90</definedName>
    <definedName name="商业人流量">'比较法-商业'!$B$90:$M$90</definedName>
    <definedName name="商业业态" localSheetId="43">'[1]比较法-商业'!$B$114:$M$114</definedName>
    <definedName name="商业业态" localSheetId="14">'[2]比较法-商业'!$B$114:$M$114</definedName>
    <definedName name="商业业态">'比较法-商业'!$B$114:$M$114</definedName>
    <definedName name="商业用途" localSheetId="43">'[1]比较法-商业'!$B$63:$M$63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 localSheetId="14">'[2]比较法-仓储'!$B$89:$M$89</definedName>
    <definedName name="是否封闭">'比较法-仓储'!$B$89:$M$89</definedName>
    <definedName name="是否直接入户" localSheetId="43">'[1]比较法-车位'!$B$95:$M$95</definedName>
    <definedName name="是否直接入户" localSheetId="14">'[2]比较法-车位'!$B$95:$M$95</definedName>
    <definedName name="是否直接入户">'比较法-车位'!$B$95:$M$95</definedName>
    <definedName name="四级">区片价!$L$1:$L$33</definedName>
    <definedName name="套工道路等级" localSheetId="43">'[1]土地比较法-工业'!$B$97:$M$97</definedName>
    <definedName name="套工道路等级" localSheetId="14">'[2]土地比较法-工业'!$B$97:$M$97</definedName>
    <definedName name="套工道路等级">'土地比较法-工业'!$B$97:$M$97</definedName>
    <definedName name="套工地质条件" localSheetId="43">'[1]土地比较法-工业'!$B$114:$M$114</definedName>
    <definedName name="套工地质条件" localSheetId="14">'[2]土地比较法-工业'!$B$114:$M$114</definedName>
    <definedName name="套工地质条件">'土地比较法-工业'!$B$114:$M$114</definedName>
    <definedName name="套工交易情况" localSheetId="43">'[1]土地比较法-住宅、综合'!$A$72:$M$72</definedName>
    <definedName name="套工交易情况" localSheetId="14">'[2]土地比较法-住宅、综合'!$A$73:$M$73</definedName>
    <definedName name="套工交易情况">'土地比较法-住宅、综合'!$A$72:$M$72</definedName>
    <definedName name="套工土地级别" localSheetId="43">'[1]土地比较法-工业'!$B$99:$M$99</definedName>
    <definedName name="套工土地级别" localSheetId="14">'[2]土地比较法-工业'!$B$99:$M$99</definedName>
    <definedName name="套工土地级别">'土地比较法-工业'!$B$99:$M$99</definedName>
    <definedName name="套工用途" localSheetId="43">'[1]土地比较法-工业'!$B$70:$M$70</definedName>
    <definedName name="套工用途" localSheetId="14">'[2]土地比较法-工业'!$B$70:$M$70</definedName>
    <definedName name="套工用途">'土地比较法-工业'!$B$70:$M$70</definedName>
    <definedName name="套工宗地开发程度" localSheetId="43">'[1]土地比较法-工业'!$B$112:$M$112</definedName>
    <definedName name="套工宗地开发程度" localSheetId="14">'[2]土地比较法-工业'!$B$112:$M$112</definedName>
    <definedName name="套工宗地开发程度">'土地比较法-工业'!$B$112:$M$112</definedName>
    <definedName name="套工宗地形状" localSheetId="43">'[1]土地比较法-工业'!$B$110:$M$110</definedName>
    <definedName name="套工宗地形状" localSheetId="14">'[2]土地比较法-工业'!$B$110:$M$110</definedName>
    <definedName name="套工宗地形状">'土地比较法-工业'!$B$110:$M$110</definedName>
    <definedName name="套综道路等级" localSheetId="43">'[1]土地比较法-住宅、综合'!$B$105:$M$105</definedName>
    <definedName name="套综道路等级" localSheetId="14">'[2]土地比较法-住宅、综合'!$B$106:$M$106</definedName>
    <definedName name="套综道路等级">'土地比较法-住宅、综合'!$B$105:$M$105</definedName>
    <definedName name="套综工程地质条件" localSheetId="43">'[1]土地比较法-住宅、综合'!$B$124:$M$124</definedName>
    <definedName name="套综工程地质条件" localSheetId="14">'[2]土地比较法-住宅、综合'!$B$125:$M$125</definedName>
    <definedName name="套综工程地质条件">'土地比较法-住宅、综合'!$B$124:$M$124</definedName>
    <definedName name="套综交易情况" localSheetId="43">'[1]土地比较法-住宅、综合'!$A$72:$M$72</definedName>
    <definedName name="套综交易情况" localSheetId="14">'[2]土地比较法-住宅、综合'!$A$73:$M$73</definedName>
    <definedName name="套综交易情况">'土地比较法-住宅、综合'!$A$72:$M$72</definedName>
    <definedName name="套综临街宽度及深度" localSheetId="43">'[1]土地比较法-住宅、综合'!$B$120:$M$120</definedName>
    <definedName name="套综临街宽度及深度" localSheetId="14">'[2]土地比较法-住宅、综合'!$B$121:$M$121</definedName>
    <definedName name="套综临街宽度及深度">'土地比较法-住宅、综合'!$B$120:$M$120</definedName>
    <definedName name="套综土地级别" localSheetId="43">'[1]土地比较法-住宅、综合'!$B$107:$M$107</definedName>
    <definedName name="套综土地级别" localSheetId="14">'[2]土地比较法-住宅、综合'!$B$108:$M$108</definedName>
    <definedName name="套综土地级别">'土地比较法-住宅、综合'!$B$107:$M$107</definedName>
    <definedName name="套综用途" localSheetId="43">'[1]土地比较法-住宅、综合'!$B$74:$M$74</definedName>
    <definedName name="套综用途" localSheetId="14">'[2]土地比较法-住宅、综合'!$B$75:$M$75</definedName>
    <definedName name="套综用途">'土地比较法-住宅、综合'!$B$74:$M$74</definedName>
    <definedName name="套综宗地内开发程度" localSheetId="43">'[1]土地比较法-住宅、综合'!$B$122:$M$122</definedName>
    <definedName name="套综宗地内开发程度" localSheetId="14">'[2]土地比较法-住宅、综合'!$B$123:$M$123</definedName>
    <definedName name="套综宗地内开发程度">'土地比较法-住宅、综合'!$B$122:$M$122</definedName>
    <definedName name="套综宗地形状" localSheetId="43">'[1]土地比较法-住宅、综合'!$B$118:$M$118</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43">[1]定义!$C$1:$C$14</definedName>
    <definedName name="土地级别" localSheetId="14">[2]定义!$C$1:$C$14</definedName>
    <definedName name="土地级别">定义!$C$1:$C$14</definedName>
    <definedName name="土地利用方向">定义!$P$1:$P$6</definedName>
    <definedName name="土地年限区间" localSheetId="14">[2]定义!$I$1:$I$8</definedName>
    <definedName name="土地年限区间">定义!$I$1:$I$16</definedName>
    <definedName name="位置" localSheetId="43">[1]定义!$E$2:$E$4</definedName>
    <definedName name="位置" localSheetId="14">[2]定义!$E$2:$E$4</definedName>
    <definedName name="位置">定义!$E$2:$E$4</definedName>
    <definedName name="五等判定" localSheetId="43">[1]定义!$W$1:$W$6</definedName>
    <definedName name="五等判定" localSheetId="14">[2]定义!$W$1:$W$6</definedName>
    <definedName name="五等判定">定义!$W$1:$W$6</definedName>
    <definedName name="五级">区片价!$M$1:$M$41</definedName>
    <definedName name="项目类型" localSheetId="43">'[1]数据-汇总表'!$C$17:$C$26</definedName>
    <definedName name="项目类型" localSheetId="14">'[2]数据-汇总表'!$C$17:$C$26</definedName>
    <definedName name="项目类型" localSheetId="25">'[3]数据-汇总表'!$C$17:$C$26</definedName>
    <definedName name="项目类型">'数据-汇总表'!$C$17:$C$26</definedName>
    <definedName name="写字楼等级" localSheetId="43">'[1]比较法-办公'!$B$113:$M$113</definedName>
    <definedName name="写字楼等级" localSheetId="14">'[2]比较法-办公'!$B$113:$M$113</definedName>
    <definedName name="写字楼等级">'比较法-办公'!$B$113:$M$113</definedName>
    <definedName name="一级">区片价!$I$1:$I$6</definedName>
    <definedName name="一修多修正项2" localSheetId="43">[1]典型户型修正!$5:$5</definedName>
    <definedName name="一修多修正项2" localSheetId="14">[2]典型户型修正!$5:$5</definedName>
    <definedName name="一修多修正项2">典型户型修正!$5:$5</definedName>
    <definedName name="一修多修正项3" localSheetId="43">[1]典型户型修正!$7:$7</definedName>
    <definedName name="一修多修正项3" localSheetId="14">[2]典型户型修正!$7:$7</definedName>
    <definedName name="一修多修正项3">典型户型修正!$7:$7</definedName>
    <definedName name="一修多修正项4" localSheetId="43">[1]典型户型修正!$9:$9</definedName>
    <definedName name="一修多修正项4" localSheetId="14">[2]典型户型修正!$9:$9</definedName>
    <definedName name="一修多修正项4">典型户型修正!$9:$9</definedName>
    <definedName name="一修多修正项5" localSheetId="43">[1]典型户型修正!$11:$11</definedName>
    <definedName name="一修多修正项5" localSheetId="14">[2]典型户型修正!$11:$11</definedName>
    <definedName name="一修多修正项5">典型户型修正!$11:$11</definedName>
    <definedName name="一修多修正项6" localSheetId="43">[1]典型户型修正!$13:$13</definedName>
    <definedName name="一修多修正项6" localSheetId="14">[2]典型户型修正!$13:$13</definedName>
    <definedName name="一修多修正项6">典型户型修正!$13:$13</definedName>
    <definedName name="一修多修正项7" localSheetId="43">[1]典型户型修正!$15:$15</definedName>
    <definedName name="一修多修正项7" localSheetId="14">[2]典型户型修正!$15:$15</definedName>
    <definedName name="一修多修正项7">典型户型修正!$15:$15</definedName>
    <definedName name="一修多修正项8" localSheetId="43">[1]典型户型修正!$17:$17</definedName>
    <definedName name="一修多修正项8" localSheetId="14">[2]典型户型修正!$17:$17</definedName>
    <definedName name="一修多修正项8">典型户型修正!$17:$17</definedName>
    <definedName name="用途明细" localSheetId="43">[1]定义!$A$1:$A$50</definedName>
    <definedName name="用途明细" localSheetId="14">[2]定义!$A$1:$A$50</definedName>
    <definedName name="用途明细">定义!$A$1:$A$50</definedName>
    <definedName name="有无电梯" localSheetId="43">'[1]比较法-仓储'!$B$84:$M$84</definedName>
    <definedName name="有无电梯" localSheetId="14">'[2]比较法-仓储'!$B$84:$M$84</definedName>
    <definedName name="有无电梯">'比较法-仓储'!$B$84:$M$84</definedName>
    <definedName name="主用途" localSheetId="43">[1]定义!$F$1:$F$12</definedName>
    <definedName name="主用途" localSheetId="14">[2]定义!$F$1:$F$10</definedName>
    <definedName name="主用途">定义!$F$1:$F$12</definedName>
    <definedName name="住宅朝向" localSheetId="43">'[1]比较法-住宅'!$B$88:$M$88</definedName>
    <definedName name="住宅朝向" localSheetId="14">'[2]比较法-住宅'!$B$88:$M$88</definedName>
    <definedName name="住宅朝向">'比较法-住宅'!$B$88:$M$88</definedName>
    <definedName name="住宅房型" localSheetId="43">'[1]比较法-住宅'!$B$118:$M$118</definedName>
    <definedName name="住宅房型" localSheetId="14">'[2]比较法-住宅'!$B$118:$M$118</definedName>
    <definedName name="住宅房型">'比较法-住宅'!$B$118:$M$118</definedName>
    <definedName name="住宅公共部分装修" localSheetId="43">'[1]比较法-住宅'!$B$109:$M$109</definedName>
    <definedName name="住宅公共部分装修" localSheetId="14">'[2]比较法-住宅'!$B$109:$M$109</definedName>
    <definedName name="住宅公共部分装修">'比较法-住宅'!$B$109:$M$109</definedName>
    <definedName name="住宅基础设施水平" localSheetId="43">'[1]比较法-住宅'!$B$116:$M$116</definedName>
    <definedName name="住宅基础设施水平" localSheetId="14">'[2]比较法-住宅'!$B$116:$M$116</definedName>
    <definedName name="住宅基础设施水平">'比较法-住宅'!$B$116:$M$116</definedName>
    <definedName name="住宅建筑结构" localSheetId="43">'[1]比较法-住宅'!$B$105:$M$105</definedName>
    <definedName name="住宅建筑结构" localSheetId="14">'[2]比较法-住宅'!$B$105:$M$105</definedName>
    <definedName name="住宅建筑结构">'比较法-住宅'!$B$105:$M$105</definedName>
    <definedName name="住宅建筑类型" localSheetId="43">'[1]比较法-住宅'!$B$100:$M$100</definedName>
    <definedName name="住宅建筑类型" localSheetId="14">'[2]比较法-住宅'!$B$100:$M$100</definedName>
    <definedName name="住宅建筑类型">'比较法-住宅'!$B$100:$M$100</definedName>
    <definedName name="住宅建筑品质" localSheetId="43">'[1]比较法-住宅'!$B$107:$M$107</definedName>
    <definedName name="住宅建筑品质" localSheetId="14">'[2]比较法-住宅'!$B$107:$M$107</definedName>
    <definedName name="住宅建筑品质">'比较法-住宅'!$B$107:$M$107</definedName>
    <definedName name="住宅交易情况" localSheetId="43">'[1]比较法-住宅'!$A$61:$M$61</definedName>
    <definedName name="住宅交易情况" localSheetId="14">'[2]比较法-住宅'!$A$61:$M$61</definedName>
    <definedName name="住宅交易情况">'比较法-住宅'!$A$61:$M$61</definedName>
    <definedName name="住宅楼层" localSheetId="43">'[1]比较法-住宅'!$B$86:$M$86</definedName>
    <definedName name="住宅楼层" localSheetId="14">'[2]比较法-住宅'!$B$86:$M$86</definedName>
    <definedName name="住宅楼层">'比较法-住宅'!$B$86:$M$86</definedName>
    <definedName name="住宅内部装修" localSheetId="43">'[1]比较法-住宅'!$B$122:$M$122</definedName>
    <definedName name="住宅内部装修" localSheetId="14">'[2]比较法-住宅'!$B$122:$M$122</definedName>
    <definedName name="住宅内部装修">'比较法-住宅'!$B$122:$M$122</definedName>
    <definedName name="住宅物业管理" localSheetId="43">'[1]比较法-住宅'!$B$114:$M$114</definedName>
    <definedName name="住宅物业管理" localSheetId="14">'[2]比较法-住宅'!$B$114:$M$114</definedName>
    <definedName name="住宅物业管理">'比较法-住宅'!$B$114:$M$114</definedName>
    <definedName name="住宅用途" localSheetId="4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3" l="1"/>
  <c r="B15" i="3"/>
  <c r="E105" i="34"/>
  <c r="F105" i="34"/>
  <c r="G105" i="34"/>
  <c r="D105" i="34"/>
  <c r="E67" i="34"/>
  <c r="F67" i="34" s="1"/>
  <c r="D67" i="34"/>
  <c r="I12" i="81"/>
  <c r="C37" i="34"/>
  <c r="N6" i="1" l="1"/>
  <c r="B21" i="1"/>
  <c r="G19" i="6"/>
  <c r="F19" i="6"/>
  <c r="AM13" i="3"/>
  <c r="AL13" i="3"/>
  <c r="N13" i="3"/>
  <c r="J13" i="3"/>
  <c r="M13" i="3"/>
  <c r="K13" i="3"/>
  <c r="I13" i="3"/>
  <c r="J9" i="84"/>
  <c r="J8" i="84"/>
  <c r="J7" i="84"/>
  <c r="J10" i="84"/>
  <c r="E89" i="84"/>
  <c r="E88" i="84"/>
  <c r="E87" i="84"/>
  <c r="E90" i="84" s="1"/>
  <c r="J4" i="84"/>
  <c r="J3" i="84"/>
  <c r="J2" i="84"/>
  <c r="K7" i="81"/>
  <c r="K8" i="81"/>
  <c r="K9" i="81"/>
  <c r="K6" i="81"/>
  <c r="I9" i="81"/>
  <c r="I8" i="81"/>
  <c r="I7" i="81"/>
  <c r="I6" i="81"/>
  <c r="I5" i="81"/>
  <c r="J11" i="84" l="1"/>
  <c r="I10" i="81"/>
  <c r="K10" i="81" s="1"/>
  <c r="D3" i="4" l="1"/>
  <c r="K8" i="83"/>
  <c r="K7" i="83"/>
  <c r="D128" i="34"/>
  <c r="E128" i="34" s="1"/>
  <c r="F128" i="34" s="1"/>
  <c r="G128" i="34" s="1"/>
  <c r="L14" i="1"/>
  <c r="C29" i="34"/>
  <c r="J49" i="15" l="1"/>
  <c r="D40" i="43" l="1"/>
  <c r="D42" i="43"/>
  <c r="N19" i="1" l="1"/>
  <c r="N21" i="1" s="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AC43" i="34" s="1"/>
  <c r="J40" i="34"/>
  <c r="AC40" i="34" s="1"/>
  <c r="H38" i="34"/>
  <c r="AB38" i="34" s="1"/>
  <c r="J36" i="34"/>
  <c r="W36"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H14" i="34"/>
  <c r="AB14" i="34" s="1"/>
  <c r="H30" i="34"/>
  <c r="U30" i="34" s="1"/>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U43"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M20" i="67"/>
  <c r="BA13" i="3"/>
  <c r="BL17"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0" i="34"/>
  <c r="AA8" i="34"/>
  <c r="S8" i="34"/>
  <c r="AA46"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3" i="73"/>
  <c r="E12" i="76"/>
  <c r="B7" i="76"/>
  <c r="F5" i="73"/>
  <c r="B9" i="76"/>
  <c r="AO13" i="1"/>
  <c r="F4" i="73"/>
  <c r="E2" i="68"/>
  <c r="E9" i="76"/>
  <c r="F6" i="73"/>
  <c r="B13" i="76"/>
  <c r="E11" i="76"/>
  <c r="E10" i="76"/>
  <c r="B12" i="76"/>
  <c r="B10" i="76"/>
  <c r="D6" i="73"/>
  <c r="F7" i="73"/>
  <c r="B11" i="76"/>
  <c r="E7" i="76"/>
  <c r="E8" i="76"/>
  <c r="B8" i="76"/>
  <c r="F20" i="31"/>
  <c r="E2" i="69"/>
  <c r="W43" i="34" l="1"/>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E8" i="6" s="1"/>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S43" i="34"/>
  <c r="W41" i="34"/>
  <c r="U23" i="37"/>
  <c r="AA33" i="35"/>
  <c r="U25" i="39"/>
  <c r="AC36" i="40"/>
  <c r="AZ14" i="3"/>
  <c r="AB23" i="35"/>
  <c r="U35" i="21"/>
  <c r="BN5" i="3"/>
  <c r="G29" i="6" s="1"/>
  <c r="AC5" i="3"/>
  <c r="BM5" i="3"/>
  <c r="AZ327" i="3"/>
  <c r="BL503" i="3"/>
  <c r="BL535" i="3"/>
  <c r="AZ535" i="3" s="1"/>
  <c r="H31" i="34"/>
  <c r="AB31" i="34" s="1"/>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M24" i="15"/>
  <c r="M9" i="67"/>
  <c r="F43" i="67"/>
  <c r="M26" i="15"/>
  <c r="F13" i="15"/>
  <c r="M29" i="67"/>
  <c r="F8" i="67"/>
  <c r="F7" i="15"/>
  <c r="D3" i="73"/>
  <c r="M8" i="15"/>
  <c r="D9" i="68"/>
  <c r="F26" i="67"/>
  <c r="L48" i="15"/>
  <c r="J15" i="67"/>
  <c r="D4" i="73"/>
  <c r="M28" i="15"/>
  <c r="J15" i="15"/>
  <c r="F42" i="67"/>
  <c r="F7" i="67"/>
  <c r="M28" i="67"/>
  <c r="F37" i="67"/>
  <c r="F42" i="15"/>
  <c r="D5" i="73"/>
  <c r="L47" i="15"/>
  <c r="F8" i="15"/>
  <c r="F9" i="67"/>
  <c r="M23" i="67"/>
  <c r="F40" i="15"/>
  <c r="F13" i="67"/>
  <c r="C76" i="15"/>
  <c r="F38" i="67"/>
  <c r="F38" i="15"/>
  <c r="F16" i="15"/>
  <c r="L47" i="67"/>
  <c r="M6" i="15"/>
  <c r="F26" i="15"/>
  <c r="F6" i="67"/>
  <c r="D7" i="73"/>
  <c r="C76" i="67"/>
  <c r="F36" i="67"/>
  <c r="M6" i="67"/>
  <c r="F9" i="15"/>
  <c r="F6" i="15"/>
  <c r="M23" i="15"/>
  <c r="L48" i="67"/>
  <c r="F37" i="15"/>
  <c r="M8" i="67"/>
  <c r="M9" i="15"/>
  <c r="F16" i="67"/>
  <c r="M29" i="15"/>
  <c r="M22" i="67"/>
  <c r="F36" i="15"/>
  <c r="M26" i="67"/>
  <c r="M22" i="15"/>
  <c r="M24" i="67"/>
  <c r="F43" i="15"/>
  <c r="F40" i="67"/>
  <c r="U25" i="34" l="1"/>
  <c r="AC25" i="34"/>
  <c r="W25" i="34"/>
  <c r="AB45" i="34"/>
  <c r="F27" i="6"/>
  <c r="E10" i="6"/>
  <c r="E15" i="6"/>
  <c r="E64" i="39" s="1"/>
  <c r="E12" i="6"/>
  <c r="E57" i="40" s="1"/>
  <c r="E14" i="6"/>
  <c r="E63" i="39" s="1"/>
  <c r="E11" i="6"/>
  <c r="E60" i="39" s="1"/>
  <c r="E13" i="6"/>
  <c r="G30" i="6"/>
  <c r="G31" i="6" s="1"/>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67"/>
  <c r="F27" i="68"/>
  <c r="C16" i="15"/>
  <c r="C36" i="68"/>
  <c r="G1" i="73"/>
  <c r="E61" i="39" l="1"/>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G35" i="6"/>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34"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23" i="3"/>
  <c r="AY207" i="3"/>
  <c r="AY155" i="3"/>
  <c r="AY95" i="3"/>
  <c r="AY42" i="3"/>
  <c r="AY152" i="3"/>
  <c r="AY111" i="3"/>
  <c r="AY58" i="3"/>
  <c r="AY168" i="3"/>
  <c r="AY236" i="3"/>
  <c r="AY382" i="3"/>
  <c r="AY366" i="3"/>
  <c r="AY103" i="3"/>
  <c r="AY196" i="3"/>
  <c r="AY160" i="3"/>
  <c r="AY183" i="3"/>
  <c r="AY123" i="3"/>
  <c r="AY204" i="3"/>
  <c r="AY363" i="3"/>
  <c r="AY319" i="3"/>
  <c r="AY470" i="3"/>
  <c r="AY428" i="3"/>
  <c r="AY529" i="3"/>
  <c r="AY106" i="3"/>
  <c r="AY245" i="3"/>
  <c r="AY228" i="3"/>
  <c r="AY217" i="3"/>
  <c r="AY327" i="3"/>
  <c r="AY342" i="3"/>
  <c r="AY463" i="3"/>
  <c r="AY433" i="3"/>
  <c r="AY513" i="3"/>
  <c r="BK6" i="3"/>
  <c r="AY541" i="3"/>
  <c r="BE6" i="3"/>
  <c r="AY553" i="3"/>
  <c r="AY77" i="3"/>
  <c r="AY45" i="3"/>
  <c r="AY60" i="3"/>
  <c r="AY33" i="3"/>
  <c r="AY201" i="3"/>
  <c r="AY185" i="3"/>
  <c r="AY165" i="3"/>
  <c r="AY149" i="3"/>
  <c r="AY118" i="3"/>
  <c r="AY294" i="3"/>
  <c r="AY278" i="3"/>
  <c r="AY231" i="3"/>
  <c r="AY246" i="3"/>
  <c r="AY219" i="3"/>
  <c r="AY392" i="3"/>
  <c r="AY357" i="3"/>
  <c r="AY554" i="3"/>
  <c r="BH6" i="3"/>
  <c r="AY73" i="3"/>
  <c r="AY41" i="3"/>
  <c r="AY202" i="3"/>
  <c r="AY177" i="3"/>
  <c r="AY114" i="3"/>
  <c r="AY290" i="3"/>
  <c r="AY210" i="3"/>
  <c r="AY388" i="3"/>
  <c r="AY377" i="3"/>
  <c r="AY317" i="3"/>
  <c r="AY332" i="3"/>
  <c r="AY491" i="3"/>
  <c r="AY472" i="3"/>
  <c r="AY446" i="3"/>
  <c r="AY430" i="3"/>
  <c r="AY411" i="3"/>
  <c r="AY581" i="3"/>
  <c r="BM6" i="3"/>
  <c r="BF6" i="3"/>
  <c r="AY571" i="3"/>
  <c r="AY510" i="3"/>
  <c r="AY16" i="3"/>
  <c r="AY18" i="3"/>
  <c r="AY171" i="3"/>
  <c r="AY237" i="3"/>
  <c r="AY334" i="3"/>
  <c r="AY486" i="3"/>
  <c r="AY199" i="3"/>
  <c r="AY269" i="3"/>
  <c r="AY355" i="3"/>
  <c r="AY447" i="3"/>
  <c r="AY535" i="3"/>
  <c r="AY574" i="3"/>
  <c r="AY85" i="3"/>
  <c r="AY53" i="3"/>
  <c r="AY68" i="3"/>
  <c r="AY178" i="3"/>
  <c r="AY157" i="3"/>
  <c r="AY117" i="3"/>
  <c r="AY239" i="3"/>
  <c r="AY211" i="3"/>
  <c r="AY389" i="3"/>
  <c r="AY93" i="3"/>
  <c r="AY57" i="3"/>
  <c r="AY186" i="3"/>
  <c r="AY243" i="3"/>
  <c r="AY226" i="3"/>
  <c r="AY325" i="3"/>
  <c r="AY308" i="3"/>
  <c r="AY454" i="3"/>
  <c r="AY422" i="3"/>
  <c r="AY516" i="3"/>
  <c r="AY527" i="3"/>
  <c r="AY518" i="3"/>
  <c r="AY556" i="3"/>
  <c r="AY496" i="3"/>
  <c r="AY112" i="3"/>
  <c r="AY82" i="3"/>
  <c r="AY132" i="3"/>
  <c r="AY292" i="3"/>
  <c r="AY489" i="3"/>
  <c r="AY455" i="3"/>
  <c r="AY412" i="3"/>
  <c r="AY229" i="3"/>
  <c r="AY379" i="3"/>
  <c r="AY326" i="3"/>
  <c r="AY417" i="3"/>
  <c r="AY540" i="3"/>
  <c r="AY539" i="3"/>
  <c r="AY84" i="3"/>
  <c r="AY52" i="3"/>
  <c r="AY198" i="3"/>
  <c r="AY141" i="3"/>
  <c r="AY134" i="3"/>
  <c r="AY255" i="3"/>
  <c r="AY238" i="3"/>
  <c r="AY373" i="3"/>
  <c r="AY368" i="3"/>
  <c r="AY72" i="3"/>
  <c r="AY181" i="3"/>
  <c r="AY161" i="3"/>
  <c r="AY215" i="3"/>
  <c r="AY370" i="3"/>
  <c r="AY324" i="3"/>
  <c r="AY449" i="3"/>
  <c r="AY406" i="3"/>
  <c r="AY503" i="3"/>
  <c r="AY520" i="3"/>
  <c r="AY552" i="3"/>
  <c r="AY543" i="3"/>
  <c r="AY582" i="3"/>
  <c r="AY101" i="3"/>
  <c r="AY65" i="3"/>
  <c r="AY37" i="3"/>
  <c r="AY158" i="3"/>
  <c r="AY169" i="3"/>
  <c r="AY282" i="3"/>
  <c r="AY251" i="3"/>
  <c r="AY234" i="3"/>
  <c r="AY364" i="3"/>
  <c r="AY345" i="3"/>
  <c r="AY344" i="3"/>
  <c r="AY312" i="3"/>
  <c r="AY484" i="3"/>
  <c r="AY468" i="3"/>
  <c r="AY426" i="3"/>
  <c r="AY439" i="3"/>
  <c r="AY423" i="3"/>
  <c r="AY506" i="3"/>
  <c r="AY499" i="3"/>
  <c r="AY14" i="3"/>
  <c r="AY502" i="3"/>
  <c r="AY565" i="3"/>
  <c r="AY542" i="3"/>
  <c r="AY570" i="3"/>
  <c r="AY578" i="3"/>
  <c r="BA6" i="3"/>
  <c r="AY63" i="3"/>
  <c r="AY78" i="3"/>
  <c r="AY46" i="3"/>
  <c r="AY187" i="3"/>
  <c r="AY156" i="3"/>
  <c r="AY135" i="3"/>
  <c r="AY285" i="3"/>
  <c r="AY249" i="3"/>
  <c r="AY264" i="3"/>
  <c r="AY378" i="3"/>
  <c r="AY376" i="3"/>
  <c r="AY362" i="3"/>
  <c r="AY314" i="3"/>
  <c r="AY469" i="3"/>
  <c r="AY456" i="3"/>
  <c r="AY437" i="3"/>
  <c r="AY558" i="3"/>
  <c r="AY517" i="3"/>
  <c r="BL6" i="3"/>
  <c r="AY587" i="3"/>
  <c r="AY91" i="3"/>
  <c r="AY70" i="3"/>
  <c r="AY38" i="3"/>
  <c r="AY184" i="3"/>
  <c r="AY148" i="3"/>
  <c r="AY128" i="3"/>
  <c r="AY119"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67"/>
  <c r="F41" i="67"/>
  <c r="AE6" i="1"/>
  <c r="M27" i="15"/>
  <c r="D19" i="11" l="1"/>
  <c r="C19" i="11" s="1"/>
  <c r="E6" i="6"/>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G54" i="34"/>
  <c r="H54" i="34" s="1"/>
  <c r="R50" i="34"/>
  <c r="C50"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0" i="69"/>
  <c r="C34" i="69"/>
  <c r="D10" i="68"/>
  <c r="C14" i="67"/>
  <c r="C17" i="15"/>
  <c r="F41" i="15"/>
  <c r="C17" i="67"/>
  <c r="H24" i="6" l="1"/>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E2" i="70" l="1"/>
  <c r="D7"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7" i="1"/>
  <c r="AO9" i="1"/>
  <c r="AO11" i="1"/>
  <c r="AO12" i="1"/>
  <c r="AO10"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P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P52" i="9" s="1"/>
  <c r="P57" i="9" s="1"/>
  <c r="P58" i="9" s="1"/>
  <c r="H108" i="9"/>
  <c r="D15" i="53" s="1"/>
  <c r="B31" i="72" s="1"/>
  <c r="D122" i="9"/>
  <c r="D123" i="9" s="1"/>
  <c r="D9" i="52" s="1"/>
  <c r="M49" i="9"/>
  <c r="C5" i="74"/>
  <c r="D7" i="53"/>
  <c r="B21" i="72" s="1"/>
  <c r="D14" i="53"/>
  <c r="B32" i="72" s="1"/>
  <c r="B30" i="72"/>
  <c r="D59" i="9"/>
  <c r="M55" i="9" s="1"/>
  <c r="L65" i="9" l="1"/>
  <c r="M65" i="9" s="1"/>
  <c r="P49" i="9"/>
  <c r="P59" i="9" s="1"/>
  <c r="P61" i="9" s="1"/>
  <c r="D8" i="52"/>
  <c r="C95" i="9"/>
  <c r="C96" i="9" s="1"/>
  <c r="E96" i="9" s="1"/>
  <c r="E97" i="9" s="1"/>
  <c r="C6" i="74"/>
  <c r="L63" i="9"/>
  <c r="M63" i="9" s="1"/>
  <c r="L64" i="9"/>
  <c r="M64" i="9" s="1"/>
  <c r="L67" i="9"/>
  <c r="M67" i="9" s="1"/>
  <c r="C81" i="9"/>
  <c r="L66" i="9"/>
  <c r="M66" i="9" s="1"/>
  <c r="L68" i="9"/>
  <c r="M68" i="9" s="1"/>
  <c r="I14" i="74" l="1"/>
  <c r="B8" i="74" s="1"/>
  <c r="C8" i="74" s="1"/>
  <c r="P60" i="9"/>
  <c r="C97" i="9"/>
  <c r="D58" i="9" s="1"/>
  <c r="D56" i="9" s="1"/>
  <c r="M54" i="9" s="1"/>
  <c r="N57" i="9" s="1"/>
  <c r="M69" i="9"/>
  <c r="N69" i="9" s="1"/>
  <c r="D8" i="74" l="1"/>
  <c r="N58" i="9"/>
  <c r="N59" i="9"/>
  <c r="N61" i="9" s="1"/>
  <c r="H112" i="9" s="1"/>
  <c r="H111" i="9" l="1"/>
  <c r="D126" i="9" s="1"/>
  <c r="N60" i="9"/>
  <c r="D19" i="53"/>
  <c r="D21" i="53"/>
  <c r="B39" i="72" s="1"/>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<sst xmlns="http://schemas.openxmlformats.org/spreadsheetml/2006/main" count="8597" uniqueCount="3691">
  <si>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</si>
  <si>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</si>
  <si>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</si>
  <si>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</si>
  <si>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</si>
  <si>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</si>
  <si>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</si>
  <si>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</si>
  <si>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</si>
  <si>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</si>
  <si>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</si>
  <si>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</si>
  <si>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</si>
  <si>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</si>
  <si>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</si>
  <si>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</si>
  <si>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</si>
  <si>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</si>
  <si>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</si>
  <si>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</si>
  <si>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</si>
  <si>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</si>
  <si>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</si>
  <si>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</si>
  <si>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</si>
  <si>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</si>
  <si>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</si>
  <si>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</si>
  <si>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</si>
  <si>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</si>
  <si>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</si>
  <si>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</si>
  <si>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</si>
  <si>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</si>
  <si>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</si>
  <si>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</si>
  <si>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</si>
  <si>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</si>
  <si>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</si>
  <si>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</si>
  <si>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</si>
  <si>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</si>
  <si>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</si>
  <si>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</si>
  <si>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</si>
  <si>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</si>
  <si>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</si>
  <si>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</si>
  <si>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</si>
  <si>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</si>
  <si>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</si>
  <si>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</si>
  <si>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</si>
  <si>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</si>
  <si>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</si>
  <si>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</si>
  <si>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</si>
  <si>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</si>
  <si>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</si>
  <si>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</si>
  <si>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</si>
  <si>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</si>
  <si>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</si>
  <si>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</si>
  <si>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</si>
  <si>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</si>
  <si>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</si>
  <si>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</si>
  <si>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</si>
  <si>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</si>
  <si>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</si>
  <si>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</si>
  <si>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</si>
  <si>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</si>
  <si>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</si>
  <si>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</si>
  <si>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</si>
  <si>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</si>
  <si>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</si>
  <si>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</si>
  <si>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</si>
  <si>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</si>
  <si>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</si>
  <si>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</si>
  <si>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</si>
  <si>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</si>
  <si>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</si>
  <si>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</si>
  <si>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</si>
  <si>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</si>
  <si>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</si>
  <si>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</si>
  <si>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</si>
  <si>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</si>
  <si>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</si>
  <si>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</si>
  <si>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</si>
  <si>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</si>
  <si>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</si>
  <si>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</si>
  <si>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</si>
  <si>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</si>
  <si>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</si>
  <si>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</si>
  <si>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</si>
  <si>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</si>
  <si>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</si>
  <si>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</si>
  <si>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</si>
  <si>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</si>
  <si>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</si>
  <si>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</si>
  <si>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</si>
  <si>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</si>
  <si>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</si>
  <si>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</si>
  <si>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</si>
  <si>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</si>
  <si>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</si>
  <si>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</si>
  <si>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</si>
  <si>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</si>
  <si>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</si>
  <si>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</si>
  <si>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</si>
  <si>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</si>
  <si>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</si>
  <si>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</si>
  <si>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</si>
  <si>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</si>
  <si>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</si>
  <si>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</si>
  <si>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</si>
  <si>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</si>
  <si>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</si>
  <si>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</si>
  <si>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</si>
  <si>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</si>
  <si>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</si>
  <si>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</si>
  <si>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</si>
  <si>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</si>
  <si>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</si>
  <si>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</si>
  <si>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</si>
  <si>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</si>
  <si>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</si>
  <si>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</si>
  <si>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</si>
  <si>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</si>
  <si>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</si>
  <si>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</si>
  <si>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</si>
  <si>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</si>
  <si>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</si>
  <si>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</si>
  <si>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</si>
  <si>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</si>
  <si>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</si>
  <si>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</si>
  <si>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</si>
  <si>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</si>
  <si>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</si>
  <si>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</si>
  <si>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</si>
  <si>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</si>
  <si>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</si>
  <si>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</si>
  <si>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</si>
  <si>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</si>
  <si>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</si>
  <si>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</si>
  <si>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</si>
  <si>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</si>
  <si>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</si>
  <si>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</si>
  <si>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</si>
  <si>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</si>
  <si>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</si>
  <si>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</si>
  <si>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</si>
  <si>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</si>
  <si>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</si>
  <si>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</si>
  <si>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</si>
  <si>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</si>
  <si>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</si>
  <si>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</si>
  <si>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</si>
  <si>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</si>
  <si>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</si>
  <si>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</si>
  <si>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</si>
  <si>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</si>
  <si>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</si>
  <si>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</si>
  <si>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</si>
  <si>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</si>
  <si>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</si>
  <si>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</si>
  <si>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</si>
  <si>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</si>
  <si>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</si>
  <si>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</si>
  <si>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</si>
  <si>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</si>
  <si>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</si>
  <si>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</si>
  <si>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</si>
  <si>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</si>
  <si>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</si>
  <si>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</si>
  <si>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</si>
  <si>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</si>
  <si>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</si>
  <si>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</si>
  <si>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</si>
  <si>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</si>
  <si>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</si>
  <si>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</si>
  <si>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</si>
  <si>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</si>
  <si>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</si>
  <si>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</si>
  <si>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</si>
  <si>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</si>
  <si>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</si>
  <si>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</si>
  <si>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</si>
  <si>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</si>
  <si>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</si>
  <si>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</si>
  <si>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</si>
  <si>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</si>
  <si>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</si>
  <si>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</si>
  <si>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</si>
  <si>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</si>
  <si>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</si>
  <si>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</si>
  <si>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</si>
  <si>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</si>
  <si>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</si>
  <si>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</si>
  <si>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</si>
  <si>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</si>
  <si>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</si>
  <si>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</si>
  <si>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</si>
  <si>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</si>
  <si>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</si>
  <si>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</si>
  <si>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</si>
  <si>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</si>
  <si>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</si>
  <si>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</si>
  <si>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</si>
  <si>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</si>
  <si>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</si>
  <si>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</si>
  <si>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</si>
  <si>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</si>
  <si>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</si>
  <si>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</si>
  <si>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</si>
  <si>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</si>
  <si>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</si>
  <si>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</si>
  <si>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</si>
  <si>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</si>
  <si>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</si>
  <si>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</si>
  <si>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</si>
  <si>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</si>
  <si>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</si>
  <si>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</si>
  <si>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</si>
  <si>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</si>
  <si>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</si>
  <si>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</si>
  <si>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</si>
  <si>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</si>
  <si>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</si>
  <si>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</si>
  <si>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</si>
  <si>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</si>
  <si>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</si>
  <si>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</si>
  <si>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</si>
  <si>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</si>
  <si>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</si>
  <si>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</si>
  <si>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</si>
  <si>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</si>
  <si>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</si>
  <si>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</si>
  <si>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</si>
  <si>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</si>
  <si>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</si>
  <si>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</si>
  <si>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</si>
  <si>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</si>
  <si>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</si>
  <si>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</si>
  <si>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</si>
  <si>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</si>
  <si>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</si>
  <si>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</si>
  <si>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</si>
  <si>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</si>
  <si>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</si>
  <si>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</si>
  <si>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</si>
  <si>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</si>
  <si>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</si>
  <si>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</si>
  <si>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</si>
  <si>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</si>
  <si>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</si>
  <si>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</si>
  <si>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</si>
  <si>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</si>
  <si>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</si>
  <si>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</si>
  <si>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</si>
  <si>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</si>
  <si>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</si>
  <si>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</si>
  <si>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</si>
  <si>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</si>
  <si>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</si>
  <si>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</si>
  <si>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</si>
  <si>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</si>
  <si>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</si>
  <si>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</si>
  <si>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</si>
  <si>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</si>
  <si>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</si>
  <si>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</si>
  <si>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</si>
  <si>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</si>
  <si>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</si>
  <si>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</si>
  <si>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</si>
  <si>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</si>
  <si>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</si>
  <si>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</si>
  <si>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</si>
  <si>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</si>
  <si>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</si>
  <si>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</si>
  <si>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</si>
  <si>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</si>
  <si>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</si>
  <si>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</si>
  <si>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</si>
  <si>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</si>
  <si>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</si>
  <si>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</si>
  <si>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</si>
  <si>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</si>
  <si>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</si>
  <si>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</si>
  <si>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</si>
  <si>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</si>
  <si>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</si>
  <si>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</si>
  <si>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</si>
  <si>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</si>
  <si>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</si>
  <si>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</si>
  <si>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</si>
  <si>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</si>
  <si>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</si>
  <si>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</si>
  <si>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</si>
  <si>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</si>
  <si>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</si>
  <si>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</si>
  <si>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</si>
  <si>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</si>
  <si>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</si>
  <si>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</si>
  <si>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</si>
  <si>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</si>
  <si>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</si>
  <si>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</si>
  <si>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</si>
  <si>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</si>
  <si>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</si>
  <si>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</si>
  <si>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</si>
  <si>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</si>
  <si>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</si>
  <si>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</si>
  <si>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</si>
  <si>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</si>
  <si>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</si>
  <si>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</si>
  <si>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</si>
  <si>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</si>
  <si>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</si>
  <si>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</si>
  <si>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</si>
  <si>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</si>
  <si>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</si>
  <si>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</si>
  <si>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</si>
  <si>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</si>
  <si>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</si>
  <si>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</si>
  <si>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</si>
  <si>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</si>
  <si>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</si>
  <si>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</si>
  <si>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</si>
  <si>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</si>
  <si>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</si>
  <si>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</si>
  <si>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</si>
  <si>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</si>
  <si>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</si>
  <si>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</si>
  <si>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</si>
  <si>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</si>
  <si>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</si>
  <si>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</si>
  <si>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</si>
  <si>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</si>
  <si>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</si>
  <si>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</si>
  <si>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</si>
  <si>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</si>
  <si>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</si>
  <si>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</si>
  <si>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</si>
  <si>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</si>
  <si>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</si>
  <si>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</si>
  <si>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</si>
  <si>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</si>
  <si>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</si>
  <si>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</si>
  <si>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</si>
  <si>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</si>
  <si>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</si>
  <si>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</si>
  <si>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</si>
  <si>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</si>
  <si>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</si>
  <si>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</si>
  <si>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</si>
  <si>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</si>
  <si>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</si>
  <si>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</si>
  <si>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</si>
  <si>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</si>
  <si>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</si>
  <si>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</si>
  <si>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</si>
  <si>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</si>
  <si>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</si>
  <si>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</si>
  <si>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</si>
  <si>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</si>
  <si>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</si>
  <si>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</si>
  <si>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</si>
  <si>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</si>
  <si>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</si>
  <si>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</si>
  <si>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</si>
  <si>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</si>
  <si>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</si>
  <si>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</si>
  <si>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</si>
  <si>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</si>
  <si>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</si>
  <si>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</si>
  <si>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</si>
  <si>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</si>
  <si>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</si>
  <si>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</si>
  <si>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</si>
  <si>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</si>
  <si>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</si>
  <si>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</si>
  <si>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</si>
  <si>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</si>
  <si>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</si>
  <si>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</si>
  <si>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</si>
  <si>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</si>
  <si>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</si>
  <si>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</si>
  <si>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</si>
  <si>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</si>
  <si>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</si>
  <si>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</si>
  <si>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</si>
  <si>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</si>
  <si>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</si>
  <si>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</si>
  <si>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</si>
  <si>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</si>
  <si>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</si>
  <si>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</si>
  <si>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</si>
  <si>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</si>
  <si>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</si>
  <si>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</si>
  <si>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</si>
  <si>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</si>
  <si>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</si>
  <si>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</si>
  <si>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</si>
  <si>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</si>
  <si>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</si>
  <si>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</si>
  <si>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</si>
  <si>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</si>
  <si>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</si>
  <si>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</si>
  <si>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</si>
  <si>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</si>
  <si>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</si>
  <si>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</si>
  <si>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</si>
  <si>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</si>
  <si>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</si>
  <si>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</si>
  <si>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</si>
  <si>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</si>
  <si>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</si>
  <si>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</si>
  <si>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</si>
  <si>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</si>
  <si>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</si>
  <si>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</si>
  <si>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</si>
  <si>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</si>
  <si>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</si>
  <si>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</si>
  <si>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</si>
  <si>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</si>
  <si>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</si>
  <si>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</si>
  <si>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</si>
  <si>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</si>
  <si>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</si>
  <si>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</si>
  <si>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</si>
  <si>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</si>
  <si>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</si>
  <si>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</si>
  <si>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</si>
  <si>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</si>
  <si>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</si>
  <si>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</si>
  <si>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</si>
  <si>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</si>
  <si>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</si>
  <si>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</si>
  <si>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</si>
  <si>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</si>
  <si>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</si>
  <si>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</si>
  <si>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</si>
  <si>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</si>
  <si>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</si>
  <si>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</si>
  <si>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</si>
  <si>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</si>
  <si>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</si>
  <si>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</si>
  <si>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</si>
  <si>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</si>
  <si>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</si>
  <si>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</si>
  <si>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</si>
  <si>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</si>
  <si>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</si>
  <si>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</si>
  <si>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</si>
  <si>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</si>
  <si>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</si>
  <si>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</si>
  <si>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</si>
  <si>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</si>
  <si>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</si>
  <si>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</si>
  <si>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</si>
  <si>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</si>
  <si>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</si>
  <si>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</si>
  <si>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</si>
  <si>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</si>
  <si>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</si>
  <si>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</si>
  <si>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</si>
  <si>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</si>
  <si>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</si>
  <si>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</si>
  <si>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</si>
  <si>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</si>
  <si>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</si>
  <si>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</si>
  <si>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</si>
  <si>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</si>
  <si>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</si>
  <si>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</si>
  <si>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</si>
  <si>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</si>
  <si>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</si>
  <si>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</si>
  <si>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</si>
  <si>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</si>
  <si>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</si>
  <si>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</si>
  <si>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</si>
  <si>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</si>
  <si>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</si>
  <si>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</si>
  <si>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</si>
  <si>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</si>
  <si>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</si>
  <si>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</si>
  <si>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</si>
  <si>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</si>
  <si>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</si>
  <si>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</si>
  <si>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</si>
  <si>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</si>
  <si>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</si>
  <si>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</si>
  <si>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</si>
  <si>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</si>
  <si>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</si>
  <si>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</si>
  <si>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</si>
  <si>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</si>
  <si>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</si>
  <si>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</si>
  <si>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</si>
  <si>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</si>
  <si>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</si>
  <si>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</si>
  <si>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</si>
  <si>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</si>
  <si>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</si>
  <si>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</si>
  <si>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</si>
  <si>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</si>
  <si>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</si>
  <si>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</si>
  <si>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</si>
  <si>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</si>
  <si>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</si>
  <si>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</si>
  <si>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</si>
  <si>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</si>
  <si>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</si>
  <si>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</si>
  <si>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</si>
  <si>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</si>
  <si>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</si>
  <si>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</si>
  <si>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</si>
  <si>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</si>
  <si>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</si>
  <si>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</si>
  <si>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</si>
  <si>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</si>
  <si>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</si>
  <si>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</si>
  <si>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</si>
  <si>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</si>
  <si>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</si>
  <si>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</si>
  <si>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</si>
  <si>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</si>
  <si>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</si>
  <si>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</si>
  <si>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</si>
  <si>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</si>
  <si>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</si>
  <si>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</si>
  <si>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</si>
  <si>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</si>
  <si>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</si>
  <si>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</si>
  <si>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</si>
  <si>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</si>
  <si>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</si>
  <si>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</si>
  <si>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</si>
  <si>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</si>
  <si>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</si>
  <si>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</si>
  <si>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</si>
  <si>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</si>
  <si>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</si>
  <si>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</si>
  <si>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</si>
  <si>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</si>
  <si>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</si>
  <si>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</si>
  <si>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</si>
  <si>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</si>
  <si>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</si>
  <si>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</si>
  <si>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</si>
  <si>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</si>
  <si>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</si>
  <si>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</si>
  <si>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</si>
  <si>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</si>
  <si>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</si>
  <si>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</si>
  <si>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</si>
  <si>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</si>
  <si>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</si>
  <si>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</si>
  <si>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</si>
  <si>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</si>
  <si>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</si>
  <si>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</si>
  <si>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</si>
  <si>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</si>
  <si>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</si>
  <si>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</si>
  <si>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</si>
  <si>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</si>
  <si>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</si>
  <si>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</si>
  <si>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</si>
  <si>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</si>
  <si>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</si>
  <si>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</si>
  <si>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</si>
  <si>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</si>
  <si>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</si>
  <si>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</si>
  <si>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</si>
  <si>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</si>
  <si>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</si>
  <si>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</si>
  <si>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</si>
  <si>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</si>
  <si>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</si>
  <si>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</si>
  <si>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</si>
  <si>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</si>
  <si>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</si>
  <si>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</si>
  <si>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</si>
  <si>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</si>
  <si>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</si>
  <si>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</si>
  <si>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</si>
  <si>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</si>
  <si>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</si>
  <si>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</si>
  <si>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</si>
  <si>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</si>
  <si>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</si>
  <si>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</si>
  <si>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</si>
  <si>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</si>
  <si>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</si>
  <si>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</si>
  <si>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</si>
  <si>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</si>
  <si>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</si>
  <si>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</si>
  <si>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</si>
  <si>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</si>
  <si>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</si>
  <si>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</si>
  <si>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</si>
  <si>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</si>
  <si>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</si>
  <si>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</si>
  <si>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</si>
  <si>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</si>
  <si>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</si>
  <si>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</si>
  <si>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</si>
  <si>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</si>
  <si>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</si>
  <si>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</si>
  <si>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</si>
  <si>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</si>
  <si>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</si>
  <si>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</si>
  <si>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</si>
  <si>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</si>
  <si>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</si>
  <si>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</si>
  <si>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</si>
  <si>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</si>
  <si>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</si>
  <si>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</si>
  <si>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</si>
  <si>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</si>
  <si>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</si>
  <si>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</si>
  <si>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</si>
  <si>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</si>
  <si>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</si>
  <si>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</si>
  <si>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</si>
  <si>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</si>
  <si>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</si>
  <si>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</si>
  <si>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</si>
  <si>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</si>
  <si>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</si>
  <si>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</si>
  <si>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</si>
  <si>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</si>
  <si>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</si>
  <si>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</si>
  <si>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</si>
  <si>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</si>
  <si>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</si>
  <si>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</si>
  <si>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</si>
  <si>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</si>
  <si>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</si>
  <si>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</si>
  <si>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</si>
  <si>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</si>
  <si>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</si>
  <si>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</si>
  <si>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</si>
  <si>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</si>
  <si>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</si>
  <si>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</si>
  <si>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</si>
  <si>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</si>
  <si>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</si>
  <si>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</si>
  <si>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</si>
  <si>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</si>
  <si>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</si>
  <si>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</si>
  <si>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</si>
  <si>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</si>
  <si>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</si>
  <si>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</si>
  <si>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</si>
  <si>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</si>
  <si>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</si>
  <si>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</si>
  <si>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</si>
  <si>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</si>
  <si>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</si>
  <si>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</si>
  <si>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</si>
  <si>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</si>
  <si>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</si>
  <si>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</si>
  <si>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</si>
  <si>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</si>
  <si>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</si>
  <si>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</si>
  <si>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</si>
  <si>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</si>
  <si>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</si>
  <si>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</si>
  <si>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</si>
  <si>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</si>
  <si>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</si>
  <si>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</si>
  <si>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</si>
  <si>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</si>
  <si>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</si>
  <si>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</si>
  <si>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</si>
  <si>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</si>
  <si>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</si>
  <si>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</si>
  <si>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</si>
  <si>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</si>
  <si>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</si>
  <si>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</si>
  <si>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</si>
  <si>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</si>
  <si>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</si>
  <si>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</si>
  <si>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</si>
  <si>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</si>
  <si>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</si>
  <si>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</si>
  <si>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</si>
  <si>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</si>
  <si>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</si>
  <si>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</si>
  <si>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</si>
  <si>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</si>
  <si>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</si>
  <si>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</si>
  <si>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</si>
  <si>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</si>
  <si>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</si>
  <si>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</si>
  <si>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</si>
  <si>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</si>
  <si>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</si>
  <si>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</si>
  <si>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</si>
  <si>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</si>
  <si>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</si>
  <si>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</si>
  <si>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</si>
  <si>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</si>
  <si>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</si>
  <si>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</si>
  <si>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</si>
  <si>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</si>
  <si>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</si>
  <si>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</si>
  <si>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</si>
  <si>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</si>
  <si>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</si>
  <si>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</si>
  <si>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</si>
  <si>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</si>
  <si>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</si>
  <si>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</si>
  <si>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</si>
  <si>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</si>
  <si>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</si>
  <si>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</si>
  <si>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</si>
  <si>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</si>
  <si>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</si>
  <si>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</si>
  <si>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</si>
  <si>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</si>
  <si>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</si>
  <si>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</si>
  <si>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</si>
  <si>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</si>
  <si>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</si>
  <si>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</si>
  <si>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</si>
  <si>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</si>
  <si>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</si>
  <si>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</si>
  <si>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</si>
  <si>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</si>
  <si>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</si>
  <si>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</si>
  <si>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</si>
  <si>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</si>
  <si>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</si>
  <si>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</si>
  <si>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</si>
  <si>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</si>
  <si>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</si>
  <si>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</si>
  <si>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</si>
  <si>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</si>
  <si>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</si>
  <si>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</si>
  <si>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</si>
  <si>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</si>
  <si>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</si>
  <si>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</si>
  <si>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</si>
  <si>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</si>
  <si>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</si>
  <si>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</si>
  <si>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</si>
  <si>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</si>
  <si>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</si>
  <si>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</si>
  <si>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</si>
  <si>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</si>
  <si>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</si>
  <si>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</si>
  <si>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</si>
  <si>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</si>
  <si>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</si>
  <si>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</si>
  <si>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</si>
  <si>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</si>
  <si>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</si>
  <si>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</si>
  <si>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</si>
  <si>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</si>
  <si>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</si>
  <si>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</si>
  <si>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</si>
  <si>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</si>
  <si>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</si>
  <si>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</si>
  <si>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</si>
  <si>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</si>
  <si>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</si>
  <si>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</si>
  <si>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</si>
  <si>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</si>
  <si>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</si>
  <si>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</si>
  <si>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</si>
  <si>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</si>
  <si>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</si>
  <si>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</si>
  <si>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</si>
  <si>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</si>
  <si>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</si>
  <si>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</si>
  <si>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</si>
  <si>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</si>
  <si>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</si>
  <si>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</si>
  <si>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</si>
  <si>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</si>
  <si>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</si>
  <si>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</si>
  <si>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</si>
  <si>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</si>
  <si>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</si>
  <si>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</si>
  <si>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</si>
  <si>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</si>
  <si>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</si>
  <si>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</si>
  <si>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</si>
  <si>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</si>
  <si>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</si>
  <si>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</si>
  <si>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</si>
  <si>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</si>
  <si>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</si>
  <si>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</si>
  <si>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</si>
  <si>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</si>
  <si>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</si>
  <si>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</si>
  <si>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</si>
  <si>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</si>
  <si>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</si>
  <si>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</si>
  <si>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</si>
  <si>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</si>
  <si>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</si>
  <si>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</si>
  <si>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</si>
  <si>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</si>
  <si>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</si>
  <si>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</si>
  <si>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</si>
  <si>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</si>
  <si>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</si>
  <si>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</si>
  <si>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</si>
  <si>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</si>
  <si>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</si>
  <si>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</si>
  <si>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</si>
  <si>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</si>
  <si>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</si>
  <si>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</si>
  <si>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</si>
  <si>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</si>
  <si>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</si>
  <si>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</si>
  <si>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</si>
  <si>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</si>
  <si>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</si>
  <si>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</si>
  <si>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</si>
  <si>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</si>
  <si>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</si>
  <si>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</si>
  <si>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</si>
  <si>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</si>
  <si>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</si>
  <si>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</si>
  <si>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</si>
  <si>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</si>
  <si>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</si>
  <si>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</si>
  <si>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</si>
  <si>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</si>
  <si>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</si>
  <si>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</si>
  <si>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</si>
  <si>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</si>
  <si>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</si>
  <si>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</si>
  <si>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</si>
  <si>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</si>
  <si>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</si>
  <si>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</si>
  <si>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</si>
  <si>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</si>
  <si>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</si>
  <si>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</si>
  <si>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</si>
  <si>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</si>
  <si>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</si>
  <si>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</si>
  <si>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</si>
  <si>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</si>
  <si>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</si>
  <si>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</si>
  <si>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</si>
  <si>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</si>
  <si>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</si>
  <si>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</si>
  <si>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</si>
  <si>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</si>
  <si>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</si>
  <si>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</si>
  <si>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</si>
  <si>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</si>
  <si>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</si>
  <si>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</si>
  <si>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</si>
  <si>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</si>
  <si>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</si>
  <si>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</si>
  <si>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</si>
  <si>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</si>
  <si>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</si>
  <si>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</si>
  <si>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</si>
  <si>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</si>
  <si>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</si>
  <si>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</si>
  <si>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</si>
  <si>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</si>
  <si>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</si>
  <si>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</si>
  <si>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</si>
  <si>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</si>
  <si>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</si>
  <si>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</si>
  <si>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</si>
  <si>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</si>
  <si>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</si>
  <si>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</si>
  <si>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</si>
  <si>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</si>
  <si>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</si>
  <si>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</si>
  <si>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</si>
  <si>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</si>
  <si>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</si>
  <si>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</si>
  <si>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</si>
  <si>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</si>
  <si>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</si>
  <si>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</si>
  <si>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</si>
  <si>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</si>
  <si>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</si>
  <si>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</si>
  <si>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</si>
  <si>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</si>
  <si>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</si>
  <si>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</si>
  <si>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</si>
  <si>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</si>
  <si>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</si>
  <si>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</si>
  <si>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</si>
  <si>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</si>
  <si>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</si>
  <si>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</si>
  <si>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</si>
  <si>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</si>
  <si>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</si>
  <si>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</si>
  <si>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</si>
  <si>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</si>
  <si>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</si>
  <si>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</si>
  <si>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</si>
  <si>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</si>
  <si>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</si>
  <si>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</si>
  <si>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</si>
  <si>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</si>
  <si>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</si>
  <si>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</si>
  <si>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</si>
  <si>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</si>
  <si>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</si>
  <si>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</si>
  <si>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</si>
  <si>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</si>
  <si>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</si>
  <si>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</si>
  <si>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</si>
  <si>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</si>
  <si>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</si>
  <si>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</si>
  <si>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</si>
  <si>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</si>
  <si>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</si>
  <si>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</si>
  <si>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</si>
  <si>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</si>
  <si>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</si>
  <si>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</si>
  <si>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</si>
  <si>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</si>
  <si>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</si>
  <si>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</si>
  <si>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</si>
  <si>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</si>
  <si>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</si>
  <si>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</si>
  <si>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</si>
  <si>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</si>
  <si>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</si>
  <si>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</si>
  <si>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</si>
  <si>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</si>
  <si>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</si>
  <si>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</si>
  <si>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</si>
  <si>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</si>
  <si>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</si>
  <si>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</si>
  <si>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</si>
  <si>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</si>
  <si>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</si>
  <si>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</si>
  <si>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</si>
  <si>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</si>
  <si>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</si>
  <si>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</si>
  <si>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</si>
  <si>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</si>
  <si>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</si>
  <si>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</si>
  <si>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</si>
  <si>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</si>
  <si>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</si>
  <si>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</si>
  <si>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</si>
  <si>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</si>
  <si>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</si>
  <si>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</si>
  <si>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</si>
  <si>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</si>
  <si>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</si>
  <si>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</si>
  <si>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</si>
  <si>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</si>
  <si>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</si>
  <si>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</si>
  <si>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</si>
  <si>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</si>
  <si>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</si>
  <si>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</si>
  <si>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</si>
  <si>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</si>
  <si>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</si>
  <si>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</si>
  <si>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</si>
  <si>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</si>
  <si>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</si>
  <si>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</si>
  <si>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</si>
  <si>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</si>
  <si>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</si>
  <si>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</si>
  <si>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</si>
  <si>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</si>
  <si>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</si>
  <si>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</si>
  <si>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</si>
  <si>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</si>
  <si>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</si>
  <si>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</si>
  <si>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</si>
  <si>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</si>
  <si>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</si>
  <si>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</si>
  <si>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</si>
  <si>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</si>
  <si>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</si>
  <si>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</si>
  <si>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</si>
  <si>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</si>
  <si>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</si>
  <si>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</si>
  <si>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</si>
  <si>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</si>
  <si>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</si>
  <si>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</si>
  <si>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</si>
  <si>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</si>
  <si>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</si>
  <si>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</si>
  <si>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</si>
  <si>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</si>
  <si>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</si>
  <si>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</si>
  <si>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</si>
  <si>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</si>
  <si>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</si>
  <si>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</si>
  <si>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</si>
  <si>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</si>
  <si>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</si>
  <si>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</si>
  <si>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</si>
  <si>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</si>
  <si>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</si>
  <si>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</si>
  <si>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</si>
  <si>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</si>
  <si>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</si>
  <si>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</si>
  <si>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</si>
  <si>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</si>
  <si>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</si>
  <si>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</si>
  <si>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</si>
  <si>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</si>
  <si>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</si>
  <si>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</si>
  <si>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</si>
  <si>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</si>
  <si>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</si>
  <si>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</si>
  <si>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</si>
  <si>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</si>
  <si>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</si>
  <si>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</si>
  <si>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</si>
  <si>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</si>
  <si>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</si>
  <si>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</si>
  <si>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</si>
  <si>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</si>
  <si>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</si>
  <si>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</si>
  <si>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</si>
  <si>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</si>
  <si>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</si>
  <si>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</si>
  <si>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</si>
  <si>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</si>
  <si>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</si>
  <si>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</si>
  <si>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</si>
  <si>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</si>
  <si>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</si>
  <si>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</si>
  <si>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</si>
  <si>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</si>
  <si>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</si>
  <si>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</si>
  <si>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</si>
  <si>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</si>
  <si>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</si>
  <si>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</si>
  <si>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</si>
  <si>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</si>
  <si>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</si>
  <si>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</si>
  <si>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</si>
  <si>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</si>
  <si>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</si>
  <si>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</si>
  <si>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</si>
  <si>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</si>
  <si>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</si>
  <si>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</si>
  <si>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</si>
  <si>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</si>
  <si>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</si>
  <si>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</si>
  <si>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</si>
  <si>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</si>
  <si>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</si>
  <si>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</si>
  <si>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</si>
  <si>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</si>
  <si>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</si>
  <si>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</si>
  <si>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</si>
  <si>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</si>
  <si>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</si>
  <si>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</si>
  <si>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</si>
  <si>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</si>
  <si>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</si>
  <si>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</si>
  <si>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</si>
  <si>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</si>
  <si>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</si>
  <si>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</si>
  <si>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</si>
  <si>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</si>
  <si>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</si>
  <si>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</si>
  <si>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</si>
  <si>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</si>
  <si>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</si>
  <si>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</si>
  <si>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</si>
  <si>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</si>
  <si>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</si>
  <si>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</si>
  <si>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</si>
  <si>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</si>
  <si>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</si>
  <si>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</si>
  <si>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</si>
  <si>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</si>
  <si>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</si>
  <si>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</si>
  <si>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</si>
  <si>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</si>
  <si>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</si>
  <si>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</si>
  <si>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</si>
  <si>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</si>
  <si>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</si>
  <si>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</si>
  <si>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</si>
  <si>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</si>
  <si>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</si>
  <si>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</si>
  <si>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</si>
  <si>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</si>
  <si>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</si>
  <si>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</si>
  <si>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</si>
  <si>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</si>
  <si>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</si>
  <si>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</si>
  <si>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</si>
  <si>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</si>
  <si>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</si>
  <si>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</si>
  <si>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</si>
  <si>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</si>
  <si>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</si>
  <si>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</si>
  <si>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</si>
  <si>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</si>
  <si>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</si>
  <si>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</si>
  <si>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</si>
  <si>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</si>
  <si>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</si>
  <si>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</si>
  <si>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</si>
  <si>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</si>
  <si>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</si>
  <si>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</si>
  <si>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</si>
  <si>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</si>
  <si>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</si>
  <si>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</si>
  <si>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</si>
  <si>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</si>
  <si>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</si>
  <si>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</si>
  <si>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</si>
  <si>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</si>
  <si>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</si>
  <si>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</si>
  <si>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</si>
  <si>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</si>
  <si>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</si>
  <si>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</si>
  <si>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</si>
  <si>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</si>
  <si>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</si>
  <si>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</si>
  <si>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</si>
  <si>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</si>
  <si>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</si>
  <si>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</si>
  <si>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</si>
  <si>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</si>
  <si>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</si>
  <si>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</si>
  <si>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</si>
  <si>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</si>
  <si>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</si>
  <si>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</si>
  <si>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</si>
  <si>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</si>
  <si>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</si>
  <si>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</si>
  <si>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</si>
  <si>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</si>
  <si>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</si>
  <si>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</si>
  <si>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</si>
  <si>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</si>
  <si>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</si>
  <si>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</si>
  <si>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</si>
  <si>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</si>
  <si>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</si>
  <si>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</si>
  <si>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</si>
  <si>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</si>
  <si>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</si>
  <si>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</si>
  <si>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</si>
  <si>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</si>
  <si>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</si>
  <si>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</si>
  <si>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</si>
  <si>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</si>
  <si>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</si>
  <si>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</si>
  <si>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</si>
  <si>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</si>
  <si>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</si>
  <si>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</si>
  <si>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</si>
  <si>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</si>
  <si>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</si>
  <si>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</si>
  <si>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</si>
  <si>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</si>
  <si>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</si>
  <si>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</si>
  <si>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</si>
  <si>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</si>
  <si>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</si>
  <si>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</si>
  <si>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</si>
  <si>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</si>
  <si>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</si>
  <si>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</si>
  <si>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</si>
  <si>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</si>
  <si>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</si>
  <si>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</si>
  <si>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</si>
  <si>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</si>
  <si>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</si>
  <si>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</si>
  <si>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</si>
  <si>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</si>
  <si>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</si>
  <si>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</si>
  <si>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</si>
  <si>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</si>
  <si>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</si>
  <si>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</si>
  <si>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</si>
  <si>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</si>
  <si>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</si>
  <si>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</si>
  <si>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</si>
  <si>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</si>
  <si>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</si>
  <si>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</si>
  <si>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</si>
  <si>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</si>
  <si>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</si>
  <si>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</si>
  <si>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</si>
  <si>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</si>
  <si>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</si>
  <si>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</si>
  <si>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</si>
  <si>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</si>
  <si>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</si>
  <si>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</si>
  <si>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</si>
  <si>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</si>
  <si>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</si>
  <si>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</si>
  <si>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</si>
  <si>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</si>
  <si>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</si>
  <si>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</si>
  <si>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</si>
  <si>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</si>
  <si>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</si>
  <si>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</si>
  <si>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</si>
  <si>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</si>
  <si>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</si>
  <si>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</si>
  <si>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</si>
  <si>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</si>
  <si>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</si>
  <si>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</si>
  <si>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</si>
  <si>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</si>
  <si>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</si>
  <si>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</si>
  <si>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</si>
  <si>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</si>
  <si>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</si>
  <si>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</si>
  <si>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</si>
  <si>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</si>
  <si>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</si>
  <si>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</si>
  <si>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</si>
  <si>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</si>
  <si>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</si>
  <si>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</si>
  <si>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</si>
  <si>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</si>
  <si>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</si>
  <si>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</si>
  <si>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</si>
  <si>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</si>
  <si>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</si>
  <si>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</si>
  <si>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</si>
  <si>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</si>
  <si>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</si>
  <si>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</si>
  <si>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</si>
  <si>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</si>
  <si>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</si>
  <si>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</si>
  <si>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</si>
  <si>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</si>
  <si>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</si>
  <si>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</si>
  <si>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</si>
  <si>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</si>
  <si>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</si>
  <si>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</si>
  <si>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</si>
  <si>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</si>
  <si>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</si>
  <si>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</si>
  <si>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</si>
  <si>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</si>
  <si>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</si>
  <si>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</si>
  <si>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</si>
  <si>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</si>
  <si>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</si>
  <si>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</si>
  <si>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</si>
  <si>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</si>
  <si>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</si>
  <si>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</si>
  <si>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</si>
  <si>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</si>
  <si>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</si>
  <si>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</si>
  <si>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</si>
  <si>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</si>
  <si>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</si>
  <si>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</si>
  <si>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</si>
  <si>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</si>
  <si>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</si>
  <si>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</si>
  <si>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</si>
  <si>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</si>
  <si>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</si>
  <si>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</si>
  <si>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</si>
  <si>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</si>
  <si>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</si>
  <si>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</si>
  <si>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</si>
  <si>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</si>
  <si>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</si>
  <si>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</si>
  <si>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</si>
  <si>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</si>
  <si>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</si>
  <si>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</si>
  <si>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</si>
  <si>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</si>
  <si>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</si>
  <si>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</si>
  <si>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</si>
  <si>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</si>
  <si>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</si>
  <si>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</si>
  <si>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</si>
  <si>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</si>
  <si>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</si>
  <si>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</si>
  <si>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</si>
  <si>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</si>
  <si>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</si>
  <si>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</si>
  <si>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</si>
  <si>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</si>
  <si>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</si>
  <si>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</si>
  <si>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</si>
  <si>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</si>
  <si>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</si>
  <si>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</si>
  <si>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</si>
  <si>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</si>
  <si>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</si>
  <si>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</si>
  <si>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</si>
  <si>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</si>
  <si>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</si>
  <si>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</si>
  <si>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</si>
  <si>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</si>
  <si>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</si>
  <si>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</si>
  <si>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</si>
  <si>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</si>
  <si>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</si>
  <si>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</si>
  <si>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</si>
  <si>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</si>
  <si>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</si>
  <si>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</si>
  <si>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</si>
  <si>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</si>
  <si>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</si>
  <si>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</si>
  <si>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</si>
  <si>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</si>
  <si>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</si>
  <si>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</si>
  <si>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</si>
  <si>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</si>
  <si>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</si>
  <si>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</si>
  <si>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</si>
  <si>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</si>
  <si>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</si>
  <si>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</si>
  <si>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</si>
  <si>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</si>
  <si>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</si>
  <si>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</si>
  <si>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</si>
  <si>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</si>
  <si>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</si>
  <si>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</si>
  <si>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</si>
  <si>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</si>
  <si>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</si>
  <si>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</si>
  <si>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</si>
  <si>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</si>
  <si>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</si>
  <si>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</si>
  <si>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</si>
  <si>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</si>
  <si>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</si>
  <si>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</si>
  <si>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</si>
  <si>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</si>
  <si>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</si>
  <si>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</si>
  <si>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</si>
  <si>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</si>
  <si>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</si>
  <si>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</si>
  <si>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</si>
  <si>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</si>
  <si>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</si>
  <si>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</si>
  <si>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</si>
  <si>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</si>
  <si>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</si>
  <si>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</si>
  <si>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</si>
  <si>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</si>
  <si>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</si>
  <si>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</si>
  <si>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</si>
  <si>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</si>
  <si>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</si>
  <si>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</si>
  <si>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</si>
  <si>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</si>
  <si>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</si>
  <si>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</si>
  <si>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</si>
  <si>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</si>
  <si>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</si>
  <si>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</si>
  <si>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</si>
  <si>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</si>
  <si>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</si>
  <si>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</si>
  <si>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</si>
  <si>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</si>
  <si>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</si>
  <si>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</si>
  <si>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</si>
  <si>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</si>
  <si>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</si>
  <si>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</si>
  <si>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</si>
  <si>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</si>
  <si>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</si>
  <si>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</si>
  <si>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</si>
  <si>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</si>
  <si>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</si>
  <si>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</si>
  <si>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</si>
  <si>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</si>
  <si>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</si>
  <si>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</si>
  <si>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</si>
  <si>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</si>
  <si>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</si>
  <si>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</si>
  <si>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</si>
  <si>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</si>
  <si>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</si>
  <si>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</si>
  <si>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</si>
  <si>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</si>
  <si>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</si>
  <si>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</si>
  <si>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</si>
  <si>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</si>
  <si>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</si>
  <si>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</si>
  <si>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</si>
  <si>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</si>
  <si>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</si>
  <si>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</si>
  <si>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</si>
  <si>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</si>
  <si>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</si>
  <si>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</si>
  <si>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</si>
  <si>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</si>
  <si>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</si>
  <si>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</si>
  <si>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</si>
  <si>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</si>
  <si>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</si>
  <si>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</si>
  <si>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</si>
  <si>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</si>
  <si>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</si>
  <si>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</si>
  <si>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</si>
  <si>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</si>
  <si>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</si>
  <si>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</si>
  <si>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</si>
  <si>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</si>
  <si>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</si>
  <si>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</si>
  <si>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</si>
  <si>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</si>
  <si>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</si>
  <si>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</si>
  <si>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</si>
  <si>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</si>
  <si>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</si>
  <si>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</si>
  <si>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</si>
  <si>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</si>
  <si>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</si>
  <si>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</si>
  <si>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</si>
  <si>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</si>
  <si>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</si>
  <si>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</si>
  <si>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</si>
  <si>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</si>
  <si>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</si>
  <si>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</si>
  <si>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</si>
  <si>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</si>
  <si>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</si>
  <si>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</si>
  <si>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</si>
  <si>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</si>
  <si>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</si>
  <si>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</si>
  <si>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</si>
  <si>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</si>
  <si>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</si>
  <si>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</si>
  <si>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</si>
  <si>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</si>
  <si>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</si>
  <si>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</si>
  <si>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</si>
  <si>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</si>
  <si>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</si>
  <si>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</si>
  <si>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</si>
  <si>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</si>
  <si>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</si>
  <si>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</si>
  <si>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</si>
  <si>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</si>
  <si>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</si>
  <si>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</si>
  <si>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</si>
  <si>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</si>
  <si>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</si>
  <si>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</si>
  <si>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</si>
  <si>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</si>
  <si>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</si>
  <si>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</si>
  <si>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</si>
  <si>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</si>
  <si>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</si>
  <si>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</si>
  <si>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</si>
  <si>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</si>
  <si>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</si>
  <si>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</si>
  <si>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</si>
  <si>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</si>
  <si>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</si>
  <si>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</si>
  <si>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</si>
  <si>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</si>
  <si>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</si>
  <si>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</si>
  <si>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</si>
  <si>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</si>
  <si>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</si>
  <si>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</si>
  <si>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</si>
  <si>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</si>
  <si>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</si>
  <si>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</si>
  <si>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</si>
  <si>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</si>
  <si>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</si>
  <si>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</si>
  <si>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</si>
  <si>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</si>
  <si>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</si>
  <si>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</si>
  <si>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</si>
  <si>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</si>
  <si>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</si>
  <si>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</si>
  <si>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</si>
  <si>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</si>
  <si>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</si>
  <si>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</si>
  <si>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</si>
  <si>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</si>
  <si>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</si>
  <si>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</si>
  <si>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</si>
  <si>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</si>
  <si>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</si>
  <si>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</si>
  <si>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</si>
  <si>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</si>
  <si>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</si>
  <si>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</si>
  <si>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</si>
  <si>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</si>
  <si>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</si>
  <si>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</si>
  <si>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</si>
  <si>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</si>
  <si>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</si>
  <si>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</si>
  <si>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</si>
  <si>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</si>
  <si>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</si>
  <si>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</si>
  <si>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</si>
  <si>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</si>
  <si>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</si>
  <si>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</si>
  <si>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</si>
  <si>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</si>
  <si>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</si>
  <si>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</si>
  <si>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</si>
  <si>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</si>
  <si>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</si>
  <si>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</si>
  <si>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</si>
  <si>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</si>
  <si>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</si>
  <si>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</si>
  <si>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</si>
  <si>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</si>
  <si>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</si>
  <si>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</si>
  <si>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</si>
  <si>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</si>
  <si>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</si>
  <si>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</si>
  <si>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</si>
  <si>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</si>
  <si>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</si>
  <si>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</si>
  <si>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</si>
  <si>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</si>
  <si>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</si>
  <si>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</si>
  <si>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</si>
  <si>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</si>
  <si>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</si>
  <si>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</si>
  <si>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</si>
  <si>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</si>
  <si>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</si>
  <si>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</si>
  <si>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</si>
  <si>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</si>
  <si>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</si>
  <si>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</si>
  <si>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</si>
  <si>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</si>
  <si>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</si>
  <si>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</si>
  <si>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</si>
  <si>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</si>
  <si>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</si>
  <si>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</si>
  <si>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</si>
  <si>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</si>
  <si>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</si>
  <si>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</si>
  <si>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</si>
  <si>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</si>
  <si>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</si>
  <si>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</si>
  <si>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</si>
  <si>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</si>
  <si>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</si>
  <si>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</si>
  <si>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</si>
  <si>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</si>
  <si>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</si>
  <si>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</si>
  <si>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</si>
  <si>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</si>
  <si>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</si>
  <si>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</si>
  <si>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</si>
  <si>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</si>
  <si>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</si>
  <si>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</si>
  <si>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</si>
  <si>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</si>
  <si>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</si>
  <si>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</si>
  <si>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</si>
  <si>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</si>
  <si>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</si>
  <si>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</si>
  <si>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</si>
  <si>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</si>
  <si>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</si>
  <si>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</si>
  <si>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</si>
  <si>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</si>
  <si>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</si>
  <si>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</si>
  <si>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</si>
  <si>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</si>
  <si>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</si>
  <si>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</si>
  <si>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</si>
  <si>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</si>
  <si>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</si>
  <si>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</si>
  <si>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</si>
  <si>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</si>
  <si>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</si>
  <si>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</si>
  <si>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</si>
  <si>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</si>
  <si>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</si>
  <si>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</si>
  <si>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</si>
  <si>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</si>
  <si>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</si>
  <si>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</si>
  <si>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</si>
  <si>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</si>
  <si>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</si>
  <si>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</si>
  <si>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</si>
  <si>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</si>
  <si>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</si>
  <si>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</si>
  <si>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</si>
  <si>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</si>
  <si>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</si>
  <si>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</si>
  <si>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</si>
  <si>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</si>
  <si>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</si>
  <si>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</si>
  <si>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</si>
  <si>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</si>
  <si>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</si>
  <si>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</si>
  <si>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</si>
  <si>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</si>
  <si>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</si>
  <si>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</si>
  <si>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</si>
  <si>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</si>
  <si>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</si>
  <si>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</si>
  <si>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</si>
  <si>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</si>
  <si>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</si>
  <si>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</si>
  <si>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</si>
  <si>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</si>
  <si>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</si>
  <si>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</si>
  <si>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</si>
  <si>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</si>
  <si>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</si>
  <si>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</si>
  <si>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</si>
  <si>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</si>
  <si>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</si>
  <si>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</si>
  <si>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</si>
  <si>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</si>
  <si>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</si>
  <si>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</si>
  <si>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</si>
  <si>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</si>
  <si>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</si>
  <si>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</si>
  <si>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</si>
  <si>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</si>
  <si>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</si>
  <si>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</si>
  <si>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</si>
  <si>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</si>
  <si>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</si>
  <si>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</si>
  <si>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</si>
  <si>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</si>
  <si>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</si>
  <si>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</si>
  <si>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</si>
  <si>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</si>
  <si>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</si>
  <si>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</si>
  <si>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</si>
  <si>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</si>
  <si>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</si>
  <si>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</si>
  <si>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</si>
  <si>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</si>
  <si>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</si>
  <si>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</si>
  <si>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</si>
  <si>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</si>
  <si>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</si>
  <si>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</si>
  <si>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</si>
  <si>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</si>
  <si>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</si>
  <si>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</si>
  <si>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</si>
  <si>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</si>
  <si>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</si>
  <si>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</si>
  <si>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</si>
  <si>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</si>
  <si>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</si>
  <si>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</si>
  <si>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</si>
  <si>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</si>
  <si>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</si>
  <si>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</si>
  <si>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</si>
  <si>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</si>
  <si>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</si>
  <si>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</si>
  <si>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</si>
  <si>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</si>
  <si>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</si>
  <si>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</si>
  <si>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</si>
  <si>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</si>
  <si>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</si>
  <si>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</si>
  <si>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</si>
  <si>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</si>
  <si>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</si>
  <si>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</si>
  <si>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</si>
  <si>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</si>
  <si>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</si>
  <si>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</si>
  <si>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</si>
  <si>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</si>
  <si>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</si>
  <si>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</si>
  <si>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</si>
  <si>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</si>
  <si>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</si>
  <si>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</si>
  <si>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</si>
  <si>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</si>
  <si>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</si>
  <si>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</si>
  <si>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</si>
  <si>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</si>
  <si>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</si>
  <si>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</si>
  <si>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</si>
  <si>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</si>
  <si>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</si>
  <si>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</si>
  <si>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</si>
  <si>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</si>
  <si>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</si>
  <si>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</si>
  <si>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</si>
  <si>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</si>
  <si>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</si>
  <si>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</si>
  <si>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</si>
  <si>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</si>
  <si>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</si>
  <si>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</si>
  <si>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</si>
  <si>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</si>
  <si>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</si>
  <si>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</si>
  <si>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</si>
  <si>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</si>
  <si>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</si>
  <si>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</si>
  <si>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</si>
  <si>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</si>
  <si>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</si>
  <si>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</si>
  <si>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</si>
  <si>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</si>
  <si>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</si>
  <si>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</si>
  <si>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</si>
  <si>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</si>
  <si>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</si>
  <si>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</si>
  <si>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</si>
  <si>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</si>
  <si>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</si>
  <si>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</si>
  <si>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</si>
  <si>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</si>
  <si>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</si>
  <si>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</si>
  <si>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</si>
  <si>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</si>
  <si>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</si>
  <si>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</si>
  <si>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</si>
  <si>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</si>
  <si>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</si>
  <si>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</si>
  <si>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</si>
  <si>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</si>
  <si>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</si>
  <si>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</si>
  <si>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</si>
  <si>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</si>
  <si>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</si>
  <si>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</si>
  <si>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</si>
  <si>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</si>
  <si>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</si>
  <si>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</si>
  <si>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</si>
  <si>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</si>
  <si>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</si>
  <si>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</si>
  <si>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</si>
  <si>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</si>
  <si>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</si>
  <si>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</si>
  <si>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</si>
  <si>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</si>
  <si>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</si>
  <si>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</si>
  <si>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</si>
  <si>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</si>
  <si>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</si>
  <si>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</si>
  <si>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</si>
  <si>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</si>
  <si>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</si>
  <si>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</si>
  <si>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</si>
  <si>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</si>
  <si>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</si>
  <si>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</si>
  <si>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</si>
  <si>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</si>
  <si>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</si>
  <si>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</si>
  <si>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</si>
  <si>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</si>
  <si>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</si>
  <si>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</si>
  <si>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</si>
  <si>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</si>
  <si>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</si>
  <si>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</si>
  <si>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</si>
  <si>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</si>
  <si>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</si>
  <si>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</si>
  <si>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</si>
  <si>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</si>
  <si>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</si>
  <si>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</si>
  <si>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</si>
  <si>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</si>
  <si>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</si>
  <si>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</si>
  <si>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</si>
  <si>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</si>
  <si>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</si>
  <si>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</si>
  <si>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</si>
  <si>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</si>
  <si>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</si>
  <si>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</si>
  <si>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</si>
  <si>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</si>
  <si>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</si>
  <si>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</si>
  <si>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</si>
  <si>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</si>
  <si>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</si>
  <si>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</si>
  <si>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</si>
  <si>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</si>
  <si>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</si>
  <si>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</si>
  <si>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</si>
  <si>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</si>
  <si>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</si>
  <si>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</si>
  <si>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</si>
  <si>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</si>
  <si>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</si>
  <si>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</si>
  <si>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</si>
  <si>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</si>
  <si>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</si>
  <si>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</si>
  <si>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</si>
  <si>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</si>
  <si>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</si>
  <si>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</si>
  <si>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</si>
  <si>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</si>
  <si>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</si>
  <si>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</si>
  <si>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</si>
  <si>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</si>
  <si>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</si>
  <si>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</si>
  <si>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</si>
  <si>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</si>
  <si>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</si>
  <si>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</si>
  <si>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</si>
  <si>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</si>
  <si>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</si>
  <si>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</si>
  <si>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</si>
  <si>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</si>
  <si>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</si>
  <si>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</si>
  <si>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</si>
  <si>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</si>
  <si>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</si>
  <si>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</si>
  <si>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</si>
  <si>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</si>
  <si>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</si>
  <si>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</si>
  <si>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</si>
  <si>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</si>
  <si>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</si>
  <si>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</si>
  <si>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</si>
  <si>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</si>
  <si>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</si>
  <si>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</si>
  <si>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</si>
  <si>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</si>
  <si>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</si>
  <si>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</si>
  <si>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</si>
  <si>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</si>
  <si>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</si>
  <si>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</si>
  <si>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</si>
  <si>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</si>
  <si>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</si>
  <si>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</si>
  <si>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</si>
  <si>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</si>
  <si>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</si>
  <si>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</si>
  <si>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</si>
  <si>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</si>
  <si>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</si>
  <si>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</si>
  <si>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</si>
  <si>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</si>
  <si>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</si>
  <si>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</si>
  <si>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</si>
  <si>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</si>
  <si>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</si>
  <si>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</si>
  <si>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</si>
  <si>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</si>
  <si>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</si>
  <si>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</si>
  <si>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</si>
  <si>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</si>
  <si>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</si>
  <si>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</si>
  <si>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</si>
  <si>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</si>
  <si>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</si>
  <si>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</si>
  <si>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</si>
  <si>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</si>
  <si>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</si>
  <si>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</si>
  <si>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</si>
  <si>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</si>
  <si>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</si>
  <si>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</si>
  <si>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</si>
  <si>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</si>
  <si>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</si>
  <si>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</si>
  <si>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</si>
  <si>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</si>
  <si>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</si>
  <si>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</si>
  <si>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</si>
  <si>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</si>
  <si>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</si>
  <si>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</si>
  <si>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</si>
  <si>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</si>
  <si>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</si>
  <si>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</si>
  <si>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</si>
  <si>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</si>
  <si>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</si>
  <si>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</si>
  <si>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</si>
  <si>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</si>
  <si>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</si>
  <si>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</si>
  <si>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</si>
  <si>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</si>
  <si>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</si>
  <si>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</si>
  <si>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</si>
  <si>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</si>
  <si>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</si>
  <si>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</si>
  <si>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</si>
  <si>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</si>
  <si>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</si>
  <si>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</si>
  <si>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</si>
  <si>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</si>
  <si>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</si>
  <si>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</si>
  <si>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</si>
  <si>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</si>
  <si>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</si>
  <si>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</si>
  <si>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</si>
  <si>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</si>
  <si>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</si>
  <si>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</si>
  <si>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</si>
  <si>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</si>
  <si>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</si>
  <si>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</si>
  <si>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</si>
  <si>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</si>
  <si>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</si>
  <si>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</si>
  <si>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</si>
  <si>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</si>
  <si>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</si>
  <si>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</si>
  <si>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</si>
  <si>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</si>
  <si>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</si>
  <si>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</si>
  <si>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</si>
  <si>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</si>
  <si>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</si>
  <si>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</si>
  <si>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</si>
  <si>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</si>
  <si>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</si>
  <si>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</si>
  <si>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</si>
  <si>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</si>
  <si>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</si>
  <si>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</si>
  <si>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</si>
  <si>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</si>
  <si>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</si>
  <si>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</si>
  <si>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</si>
  <si>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</si>
  <si>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</si>
  <si>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</si>
  <si>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</si>
  <si>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</si>
  <si>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</si>
  <si>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</si>
  <si>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</si>
  <si>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</si>
  <si>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</si>
  <si>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</si>
  <si>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</si>
  <si>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</si>
  <si>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</si>
  <si>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</si>
  <si>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</si>
  <si>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</si>
  <si>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</si>
  <si>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</si>
  <si>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</si>
  <si>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</si>
  <si>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</si>
  <si>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</si>
  <si>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</si>
  <si>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</si>
  <si>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</si>
  <si>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</si>
  <si>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</si>
  <si>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</si>
  <si>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</si>
  <si>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</si>
  <si>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</si>
  <si>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</si>
  <si>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</si>
  <si>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</si>
  <si>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</si>
  <si>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</si>
  <si>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</si>
  <si>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</si>
  <si>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</si>
  <si>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</si>
  <si>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</si>
  <si>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</si>
  <si>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</si>
  <si>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</si>
  <si>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</si>
  <si>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</si>
  <si>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</si>
  <si>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</si>
  <si>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</si>
  <si>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</si>
  <si>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</si>
  <si>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</si>
  <si>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</si>
  <si>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</si>
  <si>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</si>
  <si>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</si>
  <si>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</si>
  <si>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</si>
  <si>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</si>
  <si>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</si>
  <si>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</si>
  <si>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</si>
  <si>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</si>
  <si>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</si>
  <si>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</si>
  <si>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</si>
  <si>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</si>
  <si>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</si>
  <si>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</si>
  <si>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</si>
  <si>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</si>
  <si>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</si>
  <si>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</si>
  <si>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</si>
  <si>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</si>
  <si>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</si>
  <si>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</si>
  <si>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</si>
  <si>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</si>
  <si>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</si>
  <si>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</si>
  <si>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</si>
  <si>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</si>
  <si>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</si>
  <si>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</si>
  <si>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</si>
  <si>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</si>
  <si>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</si>
  <si>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</si>
  <si>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</si>
  <si>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</si>
  <si>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</si>
  <si>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</si>
  <si>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</si>
  <si>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</si>
  <si>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</si>
  <si>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</si>
  <si>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</si>
  <si>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</si>
  <si>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</si>
  <si>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</si>
  <si>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</si>
  <si>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</si>
  <si>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</si>
  <si>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</si>
  <si>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</si>
  <si>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</si>
  <si>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</si>
  <si>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</si>
  <si>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</si>
  <si>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</si>
  <si>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</si>
  <si>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</si>
  <si>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</si>
  <si>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</si>
  <si>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</si>
  <si>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</si>
  <si>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</si>
  <si>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</si>
  <si>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</si>
  <si>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</si>
  <si>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</si>
  <si>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</si>
  <si>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</si>
  <si>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</si>
  <si>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</si>
  <si>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</si>
  <si>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</si>
  <si>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</si>
  <si>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</si>
  <si>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</si>
  <si>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</si>
  <si>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</si>
  <si>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</si>
  <si>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</si>
  <si>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</si>
  <si>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</si>
  <si>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</si>
  <si>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</si>
  <si>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</si>
  <si>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</si>
  <si>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</si>
  <si>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</si>
  <si>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</si>
  <si>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</si>
  <si>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</si>
  <si>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</si>
  <si>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</si>
  <si>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</si>
  <si>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</si>
  <si>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</si>
  <si>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</si>
  <si>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</si>
  <si>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</si>
  <si>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</si>
  <si>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</si>
  <si>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</si>
  <si>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</si>
  <si>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</si>
  <si>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</si>
  <si>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</si>
  <si>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</si>
  <si>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</si>
  <si>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</si>
  <si>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</si>
  <si>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</si>
  <si>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</si>
  <si>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</si>
  <si>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</si>
  <si>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</si>
  <si>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</si>
  <si>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</si>
  <si>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</si>
  <si>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</si>
  <si>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</si>
  <si>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</si>
  <si>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</si>
  <si>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</si>
  <si>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</si>
  <si>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</si>
  <si>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</si>
  <si>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</si>
  <si>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</si>
  <si>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</si>
  <si>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</si>
  <si>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</si>
  <si>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</si>
  <si>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</si>
  <si>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</si>
  <si>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</si>
  <si>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</si>
  <si>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</si>
  <si>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</si>
  <si>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</si>
  <si>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</si>
  <si>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</si>
  <si>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</si>
  <si>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</si>
  <si>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</si>
  <si>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</si>
  <si>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</si>
  <si>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</si>
  <si>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</si>
  <si>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</si>
  <si>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</si>
  <si>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</si>
  <si>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</si>
  <si>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</si>
  <si>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</si>
  <si>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</si>
  <si>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</si>
  <si>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</si>
  <si>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</si>
  <si>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</si>
  <si>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</si>
  <si>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</si>
  <si>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</si>
  <si>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</si>
  <si>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</si>
  <si>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</si>
  <si>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</si>
  <si>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</si>
  <si>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</si>
  <si>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</si>
  <si>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</si>
  <si>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</si>
  <si>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</si>
  <si>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</si>
  <si>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</si>
  <si>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</si>
  <si>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</si>
  <si>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</si>
  <si>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</si>
  <si>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</si>
  <si>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</si>
  <si>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</si>
  <si>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</si>
  <si>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</si>
  <si>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</si>
  <si>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</si>
  <si>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</si>
  <si>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</si>
  <si>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</si>
  <si>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</si>
  <si>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</si>
  <si>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</si>
  <si>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</si>
  <si>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</si>
  <si>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</si>
  <si>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</si>
  <si>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</si>
  <si>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</si>
  <si>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</si>
  <si>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</si>
  <si>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</si>
  <si>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</si>
  <si>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</si>
  <si>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</si>
  <si>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</si>
  <si>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</si>
  <si>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</si>
  <si>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</si>
  <si>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</si>
  <si>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</si>
  <si>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</si>
  <si>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</si>
  <si>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</si>
  <si>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</si>
  <si>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</si>
  <si>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</si>
  <si>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</si>
  <si>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</si>
  <si>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</si>
  <si>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</si>
  <si>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</si>
  <si>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</si>
  <si>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</si>
  <si>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</si>
  <si>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</si>
  <si>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</si>
  <si>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</si>
  <si>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</si>
  <si>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</si>
  <si>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</si>
  <si>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</si>
  <si>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</si>
  <si>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</si>
  <si>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</si>
  <si>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</si>
  <si>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</si>
  <si>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</si>
  <si>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</si>
  <si>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</si>
  <si>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</si>
  <si>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</si>
  <si>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</si>
  <si>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</si>
  <si>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</si>
  <si>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</si>
  <si>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</si>
  <si>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</si>
  <si>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</si>
  <si>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</si>
  <si>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</si>
  <si>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</si>
  <si>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</si>
  <si>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</si>
  <si>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</si>
  <si>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</si>
  <si>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</si>
  <si>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</si>
  <si>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</si>
  <si>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</si>
  <si>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</si>
  <si>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</si>
  <si>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</si>
  <si>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</si>
  <si>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</si>
  <si>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</si>
  <si>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</si>
  <si>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</si>
  <si>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</si>
  <si>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</si>
  <si>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</si>
  <si>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</si>
  <si>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</si>
  <si>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</si>
  <si>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</si>
  <si>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</si>
  <si>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</si>
  <si>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</si>
  <si>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</si>
  <si>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</si>
  <si>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</si>
  <si>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</si>
  <si>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</si>
  <si>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</si>
  <si>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</si>
  <si>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</si>
  <si>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</si>
  <si>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</si>
  <si>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</si>
  <si>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</si>
  <si>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</si>
  <si>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</si>
  <si>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</si>
  <si>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</si>
  <si>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</si>
  <si>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</si>
  <si>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</si>
  <si>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</si>
  <si>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</si>
  <si>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</si>
  <si>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</si>
  <si>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</si>
  <si>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</si>
  <si>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</si>
  <si>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</si>
  <si>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</si>
  <si>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</si>
  <si>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</si>
  <si>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</si>
  <si>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</si>
  <si>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</si>
  <si>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</si>
  <si>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</si>
  <si>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</si>
  <si>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</si>
  <si>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</si>
  <si>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</si>
  <si>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</si>
  <si>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</si>
  <si>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</si>
  <si>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</si>
  <si>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</si>
  <si>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</si>
  <si>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</si>
  <si>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</si>
  <si>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</si>
  <si>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</si>
  <si>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</si>
  <si>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</si>
  <si>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</si>
  <si>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</si>
  <si>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</si>
  <si>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</si>
  <si>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</si>
  <si>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</si>
  <si>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</si>
  <si>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</si>
  <si>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</si>
  <si>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</si>
  <si>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</si>
  <si>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</si>
  <si>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</si>
  <si>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</si>
  <si>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</si>
  <si>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</si>
  <si>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</si>
  <si>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</si>
  <si>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</si>
  <si>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</si>
  <si>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</si>
  <si>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</si>
  <si>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</si>
  <si>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</si>
  <si>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</si>
  <si>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</si>
  <si>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</si>
  <si>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</si>
  <si>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</si>
  <si>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</si>
  <si>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</si>
  <si>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</si>
  <si>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</si>
  <si>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</si>
  <si>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</si>
  <si>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</si>
  <si>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</si>
  <si>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</si>
  <si>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</si>
  <si>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</si>
  <si>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</si>
  <si>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</si>
  <si>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</si>
  <si>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</si>
  <si>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</si>
  <si>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</si>
  <si>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</si>
  <si>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</si>
  <si>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</si>
  <si>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</si>
  <si>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</si>
  <si>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</si>
  <si>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</si>
  <si>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</si>
  <si>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</si>
  <si>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</si>
  <si>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</si>
  <si>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</si>
  <si>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</si>
  <si>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</si>
  <si>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</si>
  <si>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</si>
  <si>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</si>
  <si>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</si>
  <si>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</si>
  <si>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</si>
  <si>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</si>
  <si>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</si>
  <si>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</si>
  <si>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</si>
  <si>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</si>
  <si>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</si>
  <si>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</si>
  <si>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</si>
  <si>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</si>
  <si>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</si>
  <si>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</si>
  <si>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</si>
  <si>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</si>
  <si>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</si>
  <si>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</si>
  <si>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</si>
  <si>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</si>
  <si>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</si>
  <si>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</si>
  <si>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</si>
  <si>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</si>
  <si>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</si>
  <si>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</si>
  <si>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</si>
  <si>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</si>
  <si>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</si>
  <si>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</si>
  <si>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</si>
  <si>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</si>
  <si>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</si>
  <si>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</si>
  <si>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</si>
  <si>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</si>
  <si>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</si>
  <si>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</si>
  <si>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</si>
  <si>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</si>
  <si>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</si>
  <si>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</si>
  <si>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</si>
  <si>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</si>
  <si>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</si>
  <si>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</si>
  <si>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</si>
  <si>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</si>
  <si>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</si>
  <si>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</si>
  <si>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</si>
  <si>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</si>
  <si>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</si>
  <si>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</si>
  <si>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</si>
  <si>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</si>
  <si>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</si>
  <si>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</si>
  <si>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</si>
  <si>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</si>
  <si>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</si>
  <si>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</si>
  <si>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</si>
  <si>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</si>
  <si>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</si>
  <si>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</si>
  <si>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</si>
  <si>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</si>
  <si>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</si>
  <si>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</si>
  <si>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</si>
  <si>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</si>
  <si>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</si>
  <si>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</si>
  <si>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</si>
  <si>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</si>
  <si>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</si>
  <si>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</si>
  <si>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</si>
  <si>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</si>
  <si>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</si>
  <si>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</si>
  <si>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</si>
  <si>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</si>
  <si>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</si>
  <si>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</si>
  <si>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</si>
  <si>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</si>
  <si>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</si>
  <si>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</si>
  <si>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</si>
  <si>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</si>
  <si>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</si>
  <si>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</si>
  <si>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</si>
  <si>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</si>
  <si>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</si>
  <si>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</si>
  <si>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</si>
  <si>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</si>
  <si>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</si>
  <si>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</si>
  <si>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</si>
  <si>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</si>
  <si>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</si>
  <si>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</si>
  <si>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</si>
  <si>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</si>
  <si>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</si>
  <si>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</si>
  <si>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</si>
  <si>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</si>
  <si>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</si>
  <si>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</si>
  <si>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</si>
  <si>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</si>
  <si>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</si>
  <si>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</si>
  <si>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</si>
  <si>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</si>
  <si>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</si>
  <si>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</si>
  <si>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</si>
  <si>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</si>
  <si>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</si>
  <si>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</si>
  <si>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</si>
  <si>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</si>
  <si>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</si>
  <si>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</si>
  <si>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</si>
  <si>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</si>
  <si>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</si>
  <si>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</si>
  <si>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</si>
  <si>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</si>
  <si>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</si>
  <si>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</si>
  <si>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</si>
  <si>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</si>
  <si>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</si>
  <si>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</si>
  <si>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</si>
  <si>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</si>
  <si>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</si>
  <si>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</si>
  <si>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</si>
  <si>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</si>
  <si>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</si>
  <si>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</si>
  <si>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</si>
  <si>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</si>
  <si>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</si>
  <si>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</si>
  <si>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</si>
  <si>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</si>
  <si>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</si>
  <si>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</si>
  <si>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</si>
  <si>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</si>
  <si>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</si>
  <si>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</si>
  <si>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</si>
  <si>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</si>
  <si>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</si>
  <si>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</si>
  <si>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</si>
  <si>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</si>
  <si>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</si>
  <si>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</si>
  <si>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</si>
  <si>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</si>
  <si>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</si>
  <si>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</si>
  <si>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</si>
  <si>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</si>
  <si>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</si>
  <si>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</si>
  <si>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</si>
  <si>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</si>
  <si>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</si>
  <si>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</si>
  <si>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</si>
  <si>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</si>
  <si>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</si>
  <si>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</si>
  <si>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</si>
  <si>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</si>
  <si>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</si>
  <si>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</si>
  <si>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</si>
  <si>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</si>
  <si>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</si>
  <si>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</si>
  <si>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</si>
  <si>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</si>
  <si>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</si>
  <si>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</si>
  <si>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</si>
  <si>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</si>
  <si>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</si>
  <si>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</si>
  <si>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</si>
  <si>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</si>
  <si>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</si>
  <si>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</si>
  <si>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</si>
  <si>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</si>
  <si>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</si>
  <si>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</si>
  <si>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</si>
  <si>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</si>
  <si>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</si>
  <si>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</si>
  <si>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</si>
  <si>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</si>
  <si>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</si>
  <si>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</si>
  <si>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</si>
  <si>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</si>
  <si>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</si>
  <si>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</si>
  <si>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</si>
  <si>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</si>
  <si>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</si>
  <si>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</si>
  <si>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</si>
  <si>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</si>
  <si>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</si>
  <si>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</si>
  <si>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</si>
  <si>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</si>
  <si>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</si>
  <si>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</si>
  <si>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</si>
  <si>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</si>
  <si>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</si>
  <si>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</si>
  <si>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</si>
  <si>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</si>
  <si>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</si>
  <si>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</si>
  <si>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</si>
  <si>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</si>
  <si>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</si>
  <si>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</si>
  <si>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</si>
  <si>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</si>
  <si>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</si>
  <si>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</si>
  <si>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</si>
  <si>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</si>
  <si>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</si>
  <si>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</si>
  <si>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</si>
  <si>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</si>
  <si>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</si>
  <si>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</si>
  <si>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</si>
  <si>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</si>
  <si>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</si>
  <si>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</si>
  <si>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</si>
  <si>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</si>
  <si>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</si>
  <si>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</si>
  <si>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</si>
  <si>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</si>
  <si>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</si>
  <si>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</si>
  <si>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</si>
  <si>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</si>
  <si>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</si>
  <si>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</si>
  <si>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</si>
  <si>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</si>
  <si>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</si>
  <si>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</si>
  <si>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</si>
  <si>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</si>
  <si>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</si>
  <si>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</si>
  <si>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</si>
  <si>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</si>
  <si>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</si>
  <si>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</si>
  <si>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</si>
  <si>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</si>
  <si>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</si>
  <si>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</si>
  <si>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</si>
  <si>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</si>
  <si>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</si>
  <si>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</si>
  <si>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</si>
  <si>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</si>
  <si>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</si>
  <si>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</si>
  <si>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</si>
  <si>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</si>
  <si>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</si>
  <si>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</si>
  <si>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</si>
  <si>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</si>
  <si>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</si>
  <si>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</si>
  <si>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</si>
  <si>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</si>
  <si>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</si>
  <si>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</si>
  <si>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</si>
  <si>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</si>
  <si>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</si>
  <si>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</si>
  <si>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</si>
  <si>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</si>
  <si>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</si>
  <si>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</si>
  <si>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</si>
  <si>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</si>
  <si>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</si>
  <si>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</si>
  <si>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</si>
  <si>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</si>
  <si>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</si>
  <si>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</si>
  <si>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</si>
  <si>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</si>
  <si>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</si>
  <si>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</si>
  <si>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</si>
  <si>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</si>
  <si>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</si>
  <si>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</si>
  <si>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</si>
  <si>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</si>
  <si>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</si>
  <si>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</si>
  <si>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</si>
  <si>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</si>
  <si>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</si>
  <si>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</si>
  <si>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</si>
  <si>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</si>
  <si>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</si>
  <si>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</si>
  <si>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</si>
  <si>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</si>
  <si>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</si>
  <si>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</si>
  <si>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</si>
  <si>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</si>
  <si>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</si>
  <si>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</si>
  <si>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</si>
  <si>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</si>
  <si>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</si>
  <si>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</si>
  <si>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</si>
  <si>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</si>
  <si>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</si>
  <si>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</si>
  <si>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</si>
  <si>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</si>
  <si>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</si>
  <si>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</si>
  <si>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</si>
  <si>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</si>
  <si>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</si>
  <si>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</si>
  <si>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</si>
  <si>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</si>
  <si>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</si>
  <si>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</si>
  <si>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</si>
  <si>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</si>
  <si>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</si>
  <si>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</si>
  <si>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</si>
  <si>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</si>
  <si>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</si>
  <si>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</si>
  <si>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</si>
  <si>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</si>
  <si>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</si>
  <si>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</si>
  <si>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</si>
  <si>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</si>
  <si>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</si>
  <si>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</si>
  <si>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</si>
  <si>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</si>
  <si>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</si>
  <si>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</si>
  <si>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</si>
  <si>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</si>
  <si>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</si>
  <si>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</si>
  <si>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</si>
  <si>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</si>
  <si>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</si>
  <si>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</si>
  <si>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</si>
  <si>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</si>
  <si>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</si>
  <si>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</si>
  <si>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</si>
  <si>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</si>
  <si>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</si>
  <si>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</si>
  <si>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</si>
  <si>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</si>
  <si>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</si>
  <si>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</si>
  <si>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</si>
  <si>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</si>
  <si>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</si>
  <si>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</si>
  <si>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</si>
  <si>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</si>
  <si>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</si>
  <si>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</si>
  <si>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</si>
  <si>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</si>
  <si>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</si>
  <si>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</si>
  <si>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</si>
  <si>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</si>
  <si>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办公楼</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</si>
  <si>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</si>
  <si>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</si>
  <si>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</si>
  <si>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</si>
  <si>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</si>
  <si>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</si>
  <si>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</si>
  <si>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</si>
  <si>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</si>
  <si>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</si>
  <si>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</si>
  <si>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</si>
  <si>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</si>
  <si>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</si>
  <si>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</si>
  <si>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</si>
  <si>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</si>
  <si>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</si>
  <si>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</si>
  <si>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</si>
  <si>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</si>
  <si>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</si>
  <si>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</si>
  <si>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</si>
  <si>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</si>
  <si>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</si>
  <si>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</si>
  <si>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</si>
  <si>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</si>
  <si>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</si>
  <si>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</si>
  <si>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</si>
  <si>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</si>
  <si>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</si>
  <si>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0-10%</t>
  </si>
  <si>
    <t>20-30（含）</t>
  </si>
  <si>
    <t>15-20%</t>
  </si>
  <si>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</si>
  <si>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</si>
  <si>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</si>
  <si>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</si>
  <si>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</si>
  <si>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</si>
  <si>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</si>
  <si>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</si>
  <si>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</si>
  <si>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</si>
  <si>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</si>
  <si>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</si>
  <si>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</si>
  <si>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</si>
  <si>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</si>
  <si>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</si>
  <si>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</si>
  <si>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</si>
  <si>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</si>
  <si>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</si>
  <si>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</si>
  <si>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</si>
  <si>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</si>
  <si>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</si>
  <si>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</si>
  <si>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</si>
  <si>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</si>
  <si>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</si>
  <si>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</si>
  <si>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</si>
  <si>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</si>
  <si>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</si>
  <si>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</si>
  <si>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</si>
  <si>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</si>
  <si>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</si>
  <si>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</si>
  <si>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</si>
  <si>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</si>
  <si>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</si>
  <si>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</si>
  <si>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</si>
  <si>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</si>
  <si>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</si>
  <si>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</si>
  <si>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</si>
  <si>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</si>
  <si>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</si>
  <si>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</si>
  <si>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</si>
  <si>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</si>
  <si>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</si>
  <si>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10-15%</t>
  </si>
  <si>
    <t>25-30%</t>
  </si>
  <si>
    <t>地下面积占比</t>
  </si>
  <si>
    <t>售价</t>
  </si>
  <si>
    <t>比较法-办公</t>
  </si>
  <si>
    <t>项目模式</t>
  </si>
  <si>
    <t>总价</t>
  </si>
  <si>
    <t>收益比率</t>
  </si>
  <si>
    <t>情况3</t>
  </si>
  <si>
    <t>自行开发建设</t>
  </si>
  <si>
    <t>非个人房产</t>
  </si>
  <si>
    <t>序号</t>
  </si>
  <si>
    <t>部位及房号</t>
  </si>
  <si>
    <t>总楼层</t>
  </si>
  <si>
    <t>所在层数</t>
  </si>
  <si>
    <t>建筑面积</t>
  </si>
  <si>
    <t>规划用途</t>
  </si>
  <si>
    <t>F01</t>
  </si>
  <si>
    <t>35（-5）</t>
  </si>
  <si>
    <t>车位</t>
  </si>
  <si>
    <t>F02-1</t>
  </si>
  <si>
    <t>F02-2</t>
  </si>
  <si>
    <t>F07</t>
  </si>
  <si>
    <t>F08</t>
  </si>
  <si>
    <t>F10</t>
  </si>
  <si>
    <t>F23</t>
  </si>
  <si>
    <t>F24</t>
  </si>
  <si>
    <t>G08</t>
  </si>
  <si>
    <t>G09</t>
  </si>
  <si>
    <t>G15</t>
  </si>
  <si>
    <t>H71</t>
  </si>
  <si>
    <t>H72</t>
  </si>
  <si>
    <t>H73</t>
  </si>
  <si>
    <t>H77</t>
  </si>
  <si>
    <t>H78</t>
  </si>
  <si>
    <t>H85</t>
  </si>
  <si>
    <t>H86</t>
  </si>
  <si>
    <t>H87</t>
  </si>
  <si>
    <t>库房</t>
  </si>
  <si>
    <t>A02</t>
  </si>
  <si>
    <t>A03</t>
  </si>
  <si>
    <t>A04</t>
  </si>
  <si>
    <t>B06</t>
    <phoneticPr fontId="134" type="noConversion"/>
  </si>
  <si>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</si>
  <si>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</si>
  <si>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</si>
  <si>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</si>
  <si>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</si>
  <si>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</si>
  <si>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</si>
  <si>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</si>
  <si>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</si>
  <si>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</si>
  <si>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</si>
  <si>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</si>
  <si>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</si>
  <si>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</si>
  <si>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</si>
  <si>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</si>
  <si>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</si>
  <si>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</si>
  <si>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</si>
  <si>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</si>
  <si>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</si>
  <si>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</si>
  <si>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</si>
  <si>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</si>
  <si>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</si>
  <si>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</si>
  <si>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</si>
  <si>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</si>
  <si>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</si>
  <si>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</si>
  <si>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</si>
  <si>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</si>
  <si>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</si>
  <si>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</si>
  <si>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</si>
  <si>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</si>
  <si>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</si>
  <si>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</si>
  <si>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</si>
  <si>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</si>
  <si>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</si>
  <si>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</si>
  <si>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</si>
  <si>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</si>
  <si>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</si>
  <si>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</si>
  <si>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</si>
  <si>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</si>
  <si>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</si>
  <si>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</si>
  <si>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</si>
  <si>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</si>
  <si>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</si>
  <si>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</si>
  <si>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</si>
  <si>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</si>
  <si>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</si>
  <si>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</si>
  <si>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phoneticPr fontId="134" type="noConversion"/>
  </si>
  <si>
    <t>D座三十五层</t>
  </si>
  <si>
    <t>C座三十六层</t>
    <phoneticPr fontId="134" type="noConversion"/>
  </si>
  <si>
    <t>D座三十六层</t>
  </si>
  <si>
    <t>C座三十七层</t>
    <phoneticPr fontId="134" type="noConversion"/>
  </si>
  <si>
    <t>D座三十七层</t>
  </si>
  <si>
    <t>合计</t>
  </si>
  <si>
    <t>B06</t>
  </si>
  <si>
    <t>C座三十五层</t>
  </si>
  <si>
    <t>C座三十六层</t>
  </si>
  <si>
    <t>C座三十七层</t>
  </si>
  <si>
    <t>地下1层</t>
  </si>
  <si>
    <t>地下2层</t>
  </si>
  <si>
    <t>地下车库</t>
  </si>
  <si>
    <t>地下3-4层</t>
    <phoneticPr fontId="134" type="noConversion"/>
  </si>
  <si>
    <t>朝阳区建国门外大街甲6号1幢</t>
    <phoneticPr fontId="6" type="noConversion"/>
  </si>
  <si>
    <t>Ⅰ—02</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</si>
  <si>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</si>
  <si>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</si>
  <si>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</si>
  <si>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</si>
  <si>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</si>
  <si>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F18</t>
  </si>
  <si>
    <t>F19</t>
  </si>
  <si>
    <t>F30</t>
  </si>
  <si>
    <t>F31</t>
  </si>
  <si>
    <t>F38-1</t>
  </si>
  <si>
    <t>F38-2</t>
  </si>
  <si>
    <t>G07</t>
  </si>
  <si>
    <t>G13</t>
  </si>
  <si>
    <t>G14</t>
  </si>
  <si>
    <t>B14</t>
  </si>
  <si>
    <t>B15</t>
  </si>
  <si>
    <t>B16</t>
  </si>
  <si>
    <t>自行车库</t>
  </si>
  <si>
    <t>D座五层D</t>
  </si>
  <si>
    <t>有</t>
    <phoneticPr fontId="134" type="noConversion"/>
  </si>
  <si>
    <t>地下办公</t>
  </si>
  <si>
    <t>办公用房</t>
    <phoneticPr fontId="3" type="noConversion"/>
  </si>
  <si>
    <t>中海金融中心</t>
  </si>
  <si>
    <t>丽金智地中心</t>
  </si>
  <si>
    <t>中海国际中心</t>
  </si>
  <si>
    <t>北京市西城区</t>
  </si>
  <si>
    <t>北京市海淀区</t>
  </si>
  <si>
    <t>办公</t>
    <phoneticPr fontId="31" type="noConversion"/>
  </si>
  <si>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</si>
  <si>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</si>
  <si>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</si>
  <si>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</si>
  <si>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</si>
  <si>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</si>
  <si>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</si>
  <si>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</si>
  <si>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</si>
  <si>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</si>
  <si>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</si>
  <si>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</si>
  <si>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</si>
  <si>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</si>
  <si>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</si>
  <si>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</si>
  <si>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</si>
  <si>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</si>
  <si>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</si>
  <si>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</si>
  <si>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</si>
  <si>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</si>
  <si>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</si>
  <si>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</si>
  <si>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</si>
  <si>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</si>
  <si>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</si>
  <si>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</si>
  <si>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</si>
  <si>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</si>
  <si>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</si>
  <si>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</si>
  <si>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</si>
  <si>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</si>
  <si>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r>
      <rPr>
        <sz val="11"/>
        <color indexed="8"/>
        <rFont val="Arial"/>
        <family val="2"/>
      </rPr>
      <t>0</t>
    </r>
    <r>
      <rPr>
        <sz val="11"/>
        <color indexed="8"/>
        <rFont val="宋体"/>
        <family val="3"/>
        <charset val="134"/>
      </rPr>
      <t>（含）</t>
    </r>
    <r>
      <rPr>
        <sz val="11"/>
        <color indexed="8"/>
        <rFont val="Arial"/>
        <family val="2"/>
      </rPr>
      <t>-10%</t>
    </r>
  </si>
  <si>
    <r>
      <rPr>
        <sz val="11"/>
        <color indexed="8"/>
        <rFont val="Arial"/>
        <family val="2"/>
      </rPr>
      <t>10</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</si>
  <si>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-30%</t>
    </r>
  </si>
  <si>
    <t>景恒街</t>
    <phoneticPr fontId="31" type="noConversion"/>
  </si>
  <si>
    <t>项目局部</t>
  </si>
  <si>
    <t>梁津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</si>
</sst>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10" fontId="95" fillId="0" borderId="0" xfId="17" applyNumberFormat="1" applyFont="1">
      <alignment vertical="center"/>
    </xf>
    <xf numFmtId="49" fontId="222" fillId="12" borderId="4" xfId="0" applyNumberFormat="1" applyFont="1" applyFill="1" applyBorder="1" applyAlignment="1" applyProtection="1">
      <alignment horizontal="left" vertical="center"/>
      <protection locked="0"/>
    </xf>
    <xf numFmtId="0" fontId="273" fillId="0" borderId="1" xfId="0" applyFont="1" applyBorder="1" applyAlignment="1">
      <alignment horizontal="left" vertical="center"/>
    </xf>
    <xf numFmtId="192" fontId="273" fillId="0" borderId="1" xfId="18" applyFont="1" applyBorder="1" applyAlignment="1">
      <alignment horizontal="left"/>
    </xf>
    <xf numFmtId="49" fontId="273" fillId="0" borderId="1" xfId="18" applyNumberFormat="1" applyFont="1" applyBorder="1" applyAlignment="1">
      <alignment horizontal="left"/>
    </xf>
    <xf numFmtId="192" fontId="95" fillId="0" borderId="0" xfId="18" applyAlignment="1"/>
    <xf numFmtId="0" fontId="273" fillId="0" borderId="1" xfId="20" applyFont="1" applyBorder="1" applyAlignment="1">
      <alignment horizontal="left"/>
    </xf>
    <xf numFmtId="49" fontId="273" fillId="0" borderId="1" xfId="20" applyNumberFormat="1" applyFont="1" applyBorder="1" applyAlignment="1">
      <alignment horizontal="left"/>
    </xf>
    <xf numFmtId="0" fontId="273" fillId="16" borderId="1" xfId="20" applyFont="1" applyFill="1" applyBorder="1" applyAlignment="1">
      <alignment horizontal="left"/>
    </xf>
    <xf numFmtId="0" fontId="273"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273" fillId="0" borderId="1" xfId="10" applyFont="1" applyBorder="1" applyAlignment="1">
      <alignment horizontal="left" vertical="center"/>
    </xf>
    <xf numFmtId="0" fontId="95" fillId="0" borderId="0" xfId="10" applyAlignment="1">
      <alignment horizontal="left" vertical="center"/>
    </xf>
    <xf numFmtId="0" fontId="95" fillId="0" borderId="0" xfId="20"/>
    <xf numFmtId="49" fontId="27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0" fontId="95" fillId="0" borderId="0" xfId="17" applyNumberFormat="1" applyFont="1" applyAlignment="1"/>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196" fontId="273" fillId="0" borderId="1" xfId="0" applyNumberFormat="1" applyFon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1 2" xfId="20" xr:uid="{58776EC9-1CF4-4676-8B12-AFD5F4EC4F81}"/>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410-&#32418;&#26494;&#22253;&#30740;&#21457;&#29992;&#25151;/&#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013;&#29615;&#19990;&#36152;&#24191;&#22330;\&#36807;&#31243;\2022-1-0757-&#20013;&#29615;&#19990;&#33538;&#22823;&#23447;-29.6&#20159;-0602.xlsx" TargetMode="External"/><Relationship Id="rId1" Type="http://schemas.openxmlformats.org/officeDocument/2006/relationships/externalLinkPath" Target="&#36807;&#31243;/2022-1-0757-&#20013;&#29615;&#19990;&#33538;&#22823;&#23447;-29.6&#20159;-06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北京市朝阳区建国门外大街甲6号1幢房地产抵押价值预评估</v>
      </c>
    </row>
    <row r="3" spans="1:2">
      <c r="A3" s="1119" t="s">
        <v>523</v>
      </c>
      <c r="B3" s="1120">
        <f>'预评函-封皮'!B40</f>
        <v>0</v>
      </c>
    </row>
    <row r="4" spans="1:2">
      <c r="A4" s="1119" t="s">
        <v>524</v>
      </c>
      <c r="B4" s="1120" t="str">
        <f ca="1">'预评函-封皮'!B46</f>
        <v>梁津（注册号：1119970066)、郑燚（注册号：1120070131)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受贵公司委托，我公司对北京市朝阳区建国门外大街甲6号1幢房地产抵押价值进行了预评估。</v>
      </c>
    </row>
    <row r="7" spans="1:2">
      <c r="A7" s="1119" t="s">
        <v>566</v>
      </c>
      <c r="B7" s="1120" t="str">
        <f>'预评函-1'!A7</f>
        <v>估价对象为北京市朝阳区建国门外大街甲6号1幢房地产，为所有。根据《国有土地使用证》[]，估价对象（分摊）出让国有建设用地使用权面积为3497.08平方米，建筑面积为49267.19平方米。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建国门外大街甲6号1幢房地产,属开发建设的，该项目尚在开发建设中。根据《国有土地使用证》[]，估价对象（分摊）出让国有建设用地使用权面积为3497.08平方米，规划建筑面积为49267.19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289182</v>
      </c>
    </row>
    <row r="21" spans="1:2">
      <c r="A21" s="1119" t="s">
        <v>537</v>
      </c>
      <c r="B21" s="1120">
        <f ca="1">'预评函-2'!D7</f>
        <v>58697</v>
      </c>
    </row>
    <row r="22" spans="1:2">
      <c r="A22" s="1119" t="s">
        <v>538</v>
      </c>
      <c r="B22" s="1120" t="str">
        <f ca="1">'预评函-2'!D6</f>
        <v>贰拾捌亿玖仟壹佰捌拾贰万元整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289182</v>
      </c>
    </row>
    <row r="31" spans="1:2">
      <c r="A31" s="1119" t="s">
        <v>576</v>
      </c>
      <c r="B31" s="1120">
        <f ca="1">'预评函-2'!D15</f>
        <v>58697</v>
      </c>
    </row>
    <row r="32" spans="1:2">
      <c r="A32" s="1119" t="s">
        <v>543</v>
      </c>
      <c r="B32" s="1120" t="str">
        <f ca="1">'预评函-2'!D14</f>
        <v>贰拾捌亿玖仟壹佰捌拾贰万元整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109937</v>
      </c>
    </row>
    <row r="39" spans="1:2">
      <c r="A39" s="1119" t="s">
        <v>545</v>
      </c>
      <c r="B39" s="1120">
        <f ca="1">'预评函-2'!D21</f>
        <v>22314</v>
      </c>
    </row>
    <row r="40" spans="1:2">
      <c r="A40" s="1119" t="s">
        <v>546</v>
      </c>
      <c r="B40" s="1120" t="str">
        <f ca="1">'预评函-2'!D20</f>
        <v>壹拾亿玖仟玖佰叁拾柒万元整</v>
      </c>
    </row>
    <row r="41" spans="1:2">
      <c r="A41" s="1119" t="s">
        <v>592</v>
      </c>
      <c r="B41" s="1120" t="str">
        <f>'预评函-3'!A4</f>
        <v>北京市朝阳区建国门外大街甲6号1幢房地产</v>
      </c>
    </row>
    <row r="42" spans="1:2" ht="31.2">
      <c r="A42" s="1119" t="s">
        <v>590</v>
      </c>
      <c r="B42" s="1120" t="str">
        <f>'预评函-3'!B2</f>
        <v>建筑面积</v>
      </c>
    </row>
    <row r="43" spans="1:2">
      <c r="A43" s="1119" t="s">
        <v>591</v>
      </c>
      <c r="B43" s="1120">
        <f>'预评函-3'!B4</f>
        <v>49267.189999999995</v>
      </c>
    </row>
    <row r="44" spans="1:2" ht="31.2">
      <c r="A44" s="1119" t="s">
        <v>575</v>
      </c>
      <c r="B44" s="1120" t="str">
        <f>'预评函-3'!C2</f>
        <v>(分摊)土地面积</v>
      </c>
    </row>
    <row r="45" spans="1:2">
      <c r="A45" s="1119" t="s">
        <v>547</v>
      </c>
      <c r="B45" s="1120">
        <f>'预评函-3'!C4</f>
        <v>3497.08</v>
      </c>
    </row>
    <row r="46" spans="1:2">
      <c r="A46" s="1119" t="s">
        <v>573</v>
      </c>
      <c r="B46" s="1120" t="str">
        <f>'预评函-3'!D2</f>
        <v>出让国有建设用地使用权价值</v>
      </c>
    </row>
    <row r="47" spans="1:2">
      <c r="A47" s="1119" t="s">
        <v>548</v>
      </c>
      <c r="B47" s="1120">
        <f ca="1">'预评函-3'!D4</f>
        <v>221224</v>
      </c>
    </row>
    <row r="48" spans="1:2">
      <c r="A48" s="1119" t="s">
        <v>549</v>
      </c>
      <c r="B48" s="1120">
        <f ca="1">'预评函-3'!E4</f>
        <v>44903</v>
      </c>
    </row>
    <row r="49" spans="1:2">
      <c r="A49" s="1119" t="s">
        <v>550</v>
      </c>
      <c r="B49" s="1120" t="str">
        <f ca="1">'预评函-3'!D5</f>
        <v>贰拾贰亿壹仟贰佰贰拾肆万元整</v>
      </c>
    </row>
    <row r="50" spans="1:2">
      <c r="A50" s="1119" t="s">
        <v>574</v>
      </c>
      <c r="B50" s="1120" t="str">
        <f>'预评函-3'!F2</f>
        <v>在建建筑物价值</v>
      </c>
    </row>
    <row r="51" spans="1:2">
      <c r="A51" s="1119" t="s">
        <v>551</v>
      </c>
      <c r="B51" s="1120">
        <f ca="1">'预评函-3'!F4</f>
        <v>67958</v>
      </c>
    </row>
    <row r="52" spans="1:2">
      <c r="A52" s="1119" t="s">
        <v>552</v>
      </c>
      <c r="B52" s="1120">
        <f ca="1">'预评函-3'!G4</f>
        <v>13794</v>
      </c>
    </row>
    <row r="53" spans="1:2">
      <c r="A53" s="1119" t="s">
        <v>580</v>
      </c>
      <c r="B53" s="1120" t="str">
        <f ca="1">'预评函-3'!F5</f>
        <v>陆亿柒仟玖佰伍拾捌万元整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梁津</v>
      </c>
    </row>
    <row r="71" spans="1:2">
      <c r="A71" s="1119" t="s">
        <v>563</v>
      </c>
      <c r="B71" s="1120">
        <f ca="1">'预评函-4'!B4</f>
        <v>1119970066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447" t="s">
        <v>385</v>
      </c>
      <c r="C54" s="1445" t="s">
        <v>583</v>
      </c>
    </row>
    <row r="55" spans="1:4">
      <c r="A55" s="3254"/>
      <c r="B55" s="1447" t="s">
        <v>386</v>
      </c>
      <c r="C55" s="1445" t="s">
        <v>584</v>
      </c>
    </row>
    <row r="56" spans="1:4">
      <c r="A56" s="3254"/>
      <c r="B56" s="1447" t="s">
        <v>387</v>
      </c>
      <c r="C56" s="1445" t="s">
        <v>588</v>
      </c>
    </row>
    <row r="57" spans="1:4">
      <c r="A57" s="325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55" t="s">
        <v>2576</v>
      </c>
      <c r="J2" s="3255"/>
      <c r="K2" s="3255"/>
      <c r="L2" s="3255"/>
      <c r="M2" s="3255"/>
      <c r="N2" s="3255"/>
      <c r="O2" s="3255"/>
      <c r="P2" s="3255"/>
      <c r="Q2" s="3255"/>
      <c r="R2" s="3255"/>
    </row>
    <row r="3" spans="1:18">
      <c r="A3" s="2759" t="s">
        <v>2497</v>
      </c>
      <c r="B3" s="2760">
        <f>项目基本情况!D3</f>
        <v>45800</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1.57</v>
      </c>
      <c r="D5" s="2764">
        <f>IF(ISERROR(ROUND(POWER(1+E5,A5-C5)*(POWER(1+E5,C5)-1)/(POWER(1+E5,A5)-1),3)),0,ROUND(POWER(1+E5,A5-C5)*(POWER(1+E5,C5)-1)/(POWER(1+E5,A5)-1),4))</f>
        <v>7.5399999999999995E-2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31.59</v>
      </c>
      <c r="D7" s="2764">
        <f>IF(ISERROR(ROUND(POWER(1+E7,A7-C7)*(POWER(1+E7,C7)-1)/(POWER(1+E7,A7)-1),3)),0,ROUND(POWER(1+E7,A7-C7)*(POWER(1+E7,C7)-1)/(POWER(1+E7,A7)-1),4))</f>
        <v>0.7591</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63" t="str">
        <f>IF(B10="北京市","北京市",C10)&amp;F10&amp;IF(结果表!G1="在建","出让国有建设用地使用权及在建建筑物",IF(结果表!G1="土地","出让国有建设用地使用权",))&amp;B9&amp;"预评估"</f>
        <v>北京市朝阳区建国门外大街甲6号1幢房地产抵押价值预评估</v>
      </c>
      <c r="C1" s="3264"/>
      <c r="D1" s="3264"/>
      <c r="E1" s="3264"/>
      <c r="F1" s="3264"/>
      <c r="G1" s="3264"/>
      <c r="H1" s="3264"/>
      <c r="I1" s="326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北京市朝阳区建国门外大街甲6号1幢房地产</v>
      </c>
      <c r="T2" s="1618"/>
      <c r="U2" s="1618"/>
      <c r="V2" s="1618"/>
      <c r="W2" s="1618"/>
      <c r="X2" s="1618"/>
      <c r="Y2" s="1618"/>
      <c r="Z2" s="1618"/>
      <c r="AA2" s="1618"/>
      <c r="AB2" s="1618"/>
    </row>
    <row r="3" spans="1:30">
      <c r="A3" s="294" t="s">
        <v>2170</v>
      </c>
      <c r="B3" s="3182">
        <v>45800</v>
      </c>
      <c r="C3" s="2185" t="s">
        <v>2171</v>
      </c>
      <c r="D3" s="3182">
        <f>B3</f>
        <v>45800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3690</v>
      </c>
      <c r="C4" s="2187">
        <f ca="1">SUMIF(注册房地产估价师,B4,估价师及机构信息!B3:B24)</f>
        <v>1119970066</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梁津（注册号：1119970066)、郑燚（注册号：1120070131)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66" t="s">
        <v>2177</v>
      </c>
      <c r="E8" s="2201" t="s">
        <v>3410</v>
      </c>
      <c r="F8" s="2202"/>
      <c r="G8" s="2440"/>
      <c r="H8" s="2440"/>
      <c r="I8" s="2440"/>
      <c r="J8" s="2244"/>
      <c r="K8" s="2398"/>
      <c r="L8" s="2397"/>
      <c r="M8" s="2397"/>
      <c r="N8" s="2244"/>
      <c r="O8" s="1670"/>
      <c r="P8" s="2244"/>
      <c r="Q8" s="2244"/>
      <c r="R8" s="2244"/>
    </row>
    <row r="9" spans="1:30" ht="13.8" thickBot="1">
      <c r="A9" s="2203" t="s">
        <v>2178</v>
      </c>
      <c r="B9" s="2204" t="s">
        <v>3410</v>
      </c>
      <c r="C9" s="2205"/>
      <c r="D9" s="3267"/>
      <c r="E9" s="2204" t="s">
        <v>587</v>
      </c>
      <c r="F9" s="2206"/>
      <c r="G9" s="2441"/>
      <c r="H9" s="2441"/>
      <c r="I9" s="2441"/>
      <c r="J9" s="2244"/>
      <c r="K9" s="2400"/>
      <c r="L9" s="2397"/>
      <c r="M9" s="2397"/>
      <c r="N9" s="2244"/>
      <c r="O9" s="1670"/>
      <c r="P9" s="2244"/>
      <c r="Q9" s="2244"/>
      <c r="R9" s="2244"/>
    </row>
    <row r="10" spans="1:30" ht="13.8" thickTop="1">
      <c r="A10" s="2207" t="s">
        <v>2179</v>
      </c>
      <c r="B10" s="2208" t="s">
        <v>3411</v>
      </c>
      <c r="C10" s="2209"/>
      <c r="D10" s="2192"/>
      <c r="E10" s="2210" t="s">
        <v>2180</v>
      </c>
      <c r="F10" s="3191" t="s">
        <v>3621</v>
      </c>
      <c r="G10" s="2442"/>
      <c r="H10" s="2443"/>
      <c r="I10" s="2444"/>
      <c r="J10" s="2244"/>
      <c r="K10" s="2400"/>
      <c r="L10" s="2397"/>
      <c r="M10" s="2397"/>
      <c r="N10" s="2244"/>
      <c r="O10" s="1670"/>
      <c r="P10" s="2244"/>
      <c r="Q10" s="2244"/>
      <c r="R10" s="2244"/>
    </row>
    <row r="11" spans="1:30">
      <c r="A11" s="2211" t="s">
        <v>2181</v>
      </c>
      <c r="B11" s="2212" t="s">
        <v>3412</v>
      </c>
      <c r="C11" s="2213"/>
      <c r="D11" s="2214"/>
      <c r="E11" s="2182"/>
      <c r="F11" s="2182"/>
      <c r="G11" s="2182"/>
      <c r="H11" s="2182"/>
      <c r="I11" s="2182"/>
      <c r="J11" s="2798"/>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7"/>
      <c r="L12" s="2397"/>
      <c r="M12" s="2244"/>
      <c r="N12" s="1670"/>
      <c r="O12" s="2244"/>
      <c r="P12" s="2244"/>
      <c r="Q12" s="2244"/>
      <c r="AD12" s="1618"/>
    </row>
    <row r="13" spans="1:30">
      <c r="A13" s="3118" t="s">
        <v>3328</v>
      </c>
      <c r="B13" s="2217" t="s">
        <v>2190</v>
      </c>
      <c r="C13" s="803"/>
      <c r="D13" s="803"/>
      <c r="E13" s="803">
        <v>55971</v>
      </c>
      <c r="F13" s="803">
        <v>55971</v>
      </c>
      <c r="G13" s="803"/>
      <c r="H13" s="803"/>
      <c r="I13" s="803"/>
      <c r="J13" s="2799"/>
      <c r="K13" s="2397"/>
      <c r="L13" s="2397"/>
      <c r="M13" s="2244"/>
      <c r="N13" s="1670"/>
      <c r="O13" s="2244"/>
      <c r="P13" s="2244"/>
      <c r="Q13" s="2244"/>
      <c r="AD13" s="1618"/>
    </row>
    <row r="14" spans="1:30">
      <c r="A14" s="1018"/>
      <c r="B14" s="2217" t="s">
        <v>2191</v>
      </c>
      <c r="C14" s="2218"/>
      <c r="D14" s="2218"/>
      <c r="E14" s="2218">
        <v>50</v>
      </c>
      <c r="F14" s="2218">
        <v>50</v>
      </c>
      <c r="G14" s="2218"/>
      <c r="H14" s="2218"/>
      <c r="I14" s="2218"/>
      <c r="J14" s="2800"/>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27.86</v>
      </c>
      <c r="F15" s="2220">
        <f>IF(A13="出让",IF(F13="","",ROUNDDOWN(MIN((F13-$D$3)/365,F14),2)),F14)</f>
        <v>27.86</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0" t="s">
        <v>2193</v>
      </c>
      <c r="B16" s="3273"/>
      <c r="C16" s="3274"/>
      <c r="D16" s="3275"/>
      <c r="E16" s="2221" t="s">
        <v>2194</v>
      </c>
      <c r="F16" s="3276"/>
      <c r="G16" s="3277"/>
      <c r="H16" s="3277"/>
      <c r="I16" s="3278"/>
      <c r="J16" s="2244"/>
      <c r="K16" s="2401"/>
      <c r="L16" s="1670"/>
      <c r="M16" s="1670"/>
      <c r="N16" s="2244"/>
      <c r="O16" s="1670"/>
      <c r="P16" s="2244"/>
      <c r="Q16" s="2244"/>
      <c r="R16" s="2244"/>
    </row>
    <row r="17" spans="1:28">
      <c r="A17" s="305" t="s">
        <v>2195</v>
      </c>
      <c r="B17" s="294" t="s">
        <v>2196</v>
      </c>
      <c r="C17" s="8">
        <f>'数据-汇总表'!E3</f>
        <v>49267.189999999995</v>
      </c>
      <c r="D17" s="1256" t="s">
        <v>2197</v>
      </c>
      <c r="E17" s="3279" t="s">
        <v>2198</v>
      </c>
      <c r="F17" s="3280"/>
      <c r="G17" s="3280"/>
      <c r="H17" s="3280"/>
      <c r="I17" s="3281"/>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3497.08</v>
      </c>
      <c r="D18" s="1029" t="s">
        <v>2201</v>
      </c>
      <c r="E18" s="3282" t="s">
        <v>2202</v>
      </c>
      <c r="F18" s="3283"/>
      <c r="G18" s="3283"/>
      <c r="H18" s="3283"/>
      <c r="I18" s="3284"/>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69" t="s">
        <v>2206</v>
      </c>
      <c r="C20" s="3270"/>
      <c r="D20" s="3271" t="s">
        <v>2207</v>
      </c>
      <c r="E20" s="3272"/>
      <c r="F20" s="2428" t="s">
        <v>1056</v>
      </c>
      <c r="G20" s="2440"/>
      <c r="H20" s="2440"/>
      <c r="I20" s="2440"/>
      <c r="J20" s="2244"/>
      <c r="K20" s="326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6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6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57"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57"/>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57"/>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58"/>
      <c r="B30" s="294" t="s">
        <v>2218</v>
      </c>
      <c r="C30" s="3259"/>
      <c r="D30" s="3260"/>
      <c r="E30" s="2440"/>
      <c r="F30" s="2440"/>
      <c r="G30" s="2440"/>
      <c r="H30" s="2440"/>
      <c r="I30" s="2440"/>
      <c r="J30" s="2244"/>
      <c r="K30" s="2400"/>
      <c r="L30" s="2397"/>
      <c r="M30" s="2397"/>
      <c r="N30" s="2244"/>
      <c r="O30" s="1670"/>
      <c r="P30" s="2244"/>
      <c r="Q30" s="2244"/>
      <c r="R30" s="2244"/>
      <c r="S30" s="2244"/>
      <c r="T30" s="2244"/>
      <c r="U30" s="2244"/>
      <c r="V30" s="2244"/>
    </row>
    <row r="31" spans="1:28">
      <c r="A31" s="3261"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62"/>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62"/>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56" t="s">
        <v>2228</v>
      </c>
      <c r="T34" s="315" t="str">
        <f>NUMBERSTRING(7-K34,1)&amp;"通"</f>
        <v>七通</v>
      </c>
      <c r="U34" s="2244"/>
      <c r="V34" s="2244"/>
    </row>
    <row r="35" spans="1:30">
      <c r="A35" s="2235"/>
      <c r="B35" s="3256" t="s">
        <v>2229</v>
      </c>
      <c r="C35" s="3256"/>
      <c r="D35" s="3256"/>
      <c r="E35" s="325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6"/>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3622</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N13" activePane="bottomRight" state="frozen"/>
      <selection activeCell="C50" sqref="C50"/>
      <selection pane="topRight" activeCell="C50" sqref="C50"/>
      <selection pane="bottomLeft" activeCell="C50" sqref="C50"/>
      <selection pane="bottomRight" activeCell="AQ20" sqref="AQ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51096.2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3497.08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51096.2</v>
      </c>
      <c r="H5" s="13">
        <f t="shared" ref="H5:AT5" si="0">SUM(H13:H656)</f>
        <v>50141.899999999994</v>
      </c>
      <c r="I5" s="13">
        <f t="shared" si="0"/>
        <v>38613.699999999997</v>
      </c>
      <c r="J5" s="13">
        <f t="shared" si="0"/>
        <v>212.36</v>
      </c>
      <c r="K5" s="13">
        <f t="shared" si="0"/>
        <v>9319.9500000000007</v>
      </c>
      <c r="L5" s="13">
        <f t="shared" si="0"/>
        <v>0</v>
      </c>
      <c r="M5" s="13">
        <f t="shared" si="0"/>
        <v>2208.2500000000009</v>
      </c>
      <c r="N5" s="13">
        <f t="shared" si="0"/>
        <v>662.34999999999991</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954.3</v>
      </c>
      <c r="AM5" s="13">
        <f t="shared" si="0"/>
        <v>954.3</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49267.189999999995</v>
      </c>
      <c r="BA5" s="15">
        <f t="shared" si="1"/>
        <v>49267.189999999995</v>
      </c>
      <c r="BB5" s="15">
        <f t="shared" si="1"/>
        <v>38401.339999999997</v>
      </c>
      <c r="BC5" s="15">
        <f t="shared" si="1"/>
        <v>9319.9500000000007</v>
      </c>
      <c r="BD5" s="15">
        <f t="shared" si="1"/>
        <v>1545.900000000001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3497.08</v>
      </c>
      <c r="AZ6" s="13" t="s">
        <v>2</v>
      </c>
      <c r="BA6" s="13">
        <f>ROUND($AY$6*BA5/$AZ$5,2)</f>
        <v>3497.08</v>
      </c>
      <c r="BB6" s="13">
        <f>ROUND($AY$6*BB5/$AZ$5,2)</f>
        <v>2725.8</v>
      </c>
      <c r="BC6" s="13">
        <f t="shared" ref="BC6:BH6" si="4">ROUND($AY$6*BC5/$AZ$5,2)</f>
        <v>661.55</v>
      </c>
      <c r="BD6" s="13">
        <f t="shared" si="4"/>
        <v>109.73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t="s">
        <v>3416</v>
      </c>
      <c r="L9" s="761"/>
      <c r="M9" s="1491" t="s">
        <v>3416</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1" t="s">
        <v>21</v>
      </c>
      <c r="L10" s="761"/>
      <c r="M10" s="1497" t="s">
        <v>3329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3415</v>
      </c>
      <c r="J11" s="1503"/>
      <c r="K11" s="1502" t="s">
        <v>3415</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59"/>
      <c r="D13" s="1513" t="s">
        <v>3413</v>
      </c>
      <c r="E13" s="13">
        <f>IF($C$3="是",ROUND($A$3*G13/$B$3,2),ROUND($A$3*(G13-AT13)/$B$3,2))</f>
        <v>0</v>
      </c>
      <c r="F13" s="29"/>
      <c r="G13" s="30">
        <f>H13+AC13+AT13</f>
        <v>51096.2</v>
      </c>
      <c r="H13" s="17">
        <f>SUMIF(I$12:AB$12,"总值",I13:AB13)</f>
        <v>50141.899999999994</v>
      </c>
      <c r="I13" s="1514">
        <f>房本面积!J9</f>
        <v>38613.699999999997</v>
      </c>
      <c r="J13" s="1514">
        <f>房本面积!J4</f>
        <v>212.36</v>
      </c>
      <c r="K13" s="1514">
        <f>房本面积!J10</f>
        <v>9319.9500000000007</v>
      </c>
      <c r="L13" s="1514"/>
      <c r="M13" s="1514">
        <f>房本面积!J7</f>
        <v>2208.2500000000009</v>
      </c>
      <c r="N13" s="1514">
        <f>房本面积!J2+房本面积!J3</f>
        <v>662.34999999999991</v>
      </c>
      <c r="O13" s="1514"/>
      <c r="P13" s="1514"/>
      <c r="Q13" s="1514"/>
      <c r="R13" s="1514"/>
      <c r="S13" s="1514"/>
      <c r="T13" s="1514"/>
      <c r="U13" s="1514"/>
      <c r="V13" s="1514"/>
      <c r="W13" s="1514"/>
      <c r="X13" s="1514"/>
      <c r="Y13" s="1514"/>
      <c r="Z13" s="1514"/>
      <c r="AA13" s="1514"/>
      <c r="AB13" s="1514"/>
      <c r="AC13" s="13">
        <f>SUMIF(AD$12:AS$12,"总值",AD13:AS13)</f>
        <v>954.3</v>
      </c>
      <c r="AD13" s="989"/>
      <c r="AE13" s="989"/>
      <c r="AF13" s="989"/>
      <c r="AG13" s="989"/>
      <c r="AH13" s="989"/>
      <c r="AI13" s="989"/>
      <c r="AJ13" s="989"/>
      <c r="AK13" s="989"/>
      <c r="AL13" s="989">
        <f>房本面积!J8</f>
        <v>954.3</v>
      </c>
      <c r="AM13" s="989">
        <f>AL13</f>
        <v>954.3</v>
      </c>
      <c r="AN13" s="989"/>
      <c r="AO13" s="989"/>
      <c r="AP13" s="989"/>
      <c r="AQ13" s="989"/>
      <c r="AR13" s="989"/>
      <c r="AS13" s="989"/>
      <c r="AT13" s="29"/>
      <c r="AU13" s="1515"/>
      <c r="AV13" s="8">
        <f t="shared" ref="AV13:AX17" si="6">A13</f>
        <v>0</v>
      </c>
      <c r="AW13" s="8">
        <f t="shared" si="6"/>
        <v>0</v>
      </c>
      <c r="AX13" s="8">
        <f t="shared" si="6"/>
        <v>0</v>
      </c>
      <c r="AY13" s="1260">
        <f>ROUND($AY$6*AZ13/$AZ$5,2)</f>
        <v>3497.08</v>
      </c>
      <c r="AZ13" s="13">
        <f>BA13+BL13</f>
        <v>49267.189999999995</v>
      </c>
      <c r="BA13" s="13">
        <f>SUM(BB13:BK13)</f>
        <v>49267.189999999995</v>
      </c>
      <c r="BB13" s="13">
        <f>IF($D13="是",I13-J13,0)</f>
        <v>38401.339999999997</v>
      </c>
      <c r="BC13" s="13">
        <f>IF($D13="是",K13-L13,0)</f>
        <v>9319.9500000000007</v>
      </c>
      <c r="BD13" s="13">
        <f>IF($D13="是",M13-N13,0)</f>
        <v>1545.900000000001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v>8176.44</v>
      </c>
      <c r="B14" s="31">
        <f>ROUND(B15/A15*A14,2)</f>
        <v>3497.09</v>
      </c>
      <c r="C14" s="3159"/>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8176.44</v>
      </c>
      <c r="AW14" s="8">
        <f t="shared" si="6"/>
        <v>3497.09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v>115190.26</v>
      </c>
      <c r="B15" s="628">
        <f>信息!E71</f>
        <v>49267.189999999995</v>
      </c>
      <c r="C15" s="3159"/>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115190.26</v>
      </c>
      <c r="AW15" s="8">
        <f t="shared" si="6"/>
        <v>49267.189999999995</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74"/>
  <sheetViews>
    <sheetView topLeftCell="A65" workbookViewId="0">
      <selection activeCell="O9" sqref="O9"/>
    </sheetView>
  </sheetViews>
  <sheetFormatPr defaultColWidth="9" defaultRowHeight="14.4"/>
  <cols>
    <col min="1" max="1" width="8.88671875" style="2810" customWidth="1"/>
    <col min="2" max="2" width="12.88671875" style="2810" customWidth="1"/>
    <col min="3" max="3" width="9" style="2810"/>
    <col min="4" max="4" width="10.44140625" style="2810" customWidth="1"/>
    <col min="5" max="5" width="22.6640625" style="2810" bestFit="1" customWidth="1"/>
    <col min="6" max="6" width="9" style="2810"/>
    <col min="8" max="8" width="11.33203125" customWidth="1"/>
    <col min="9" max="9" width="11.5546875" customWidth="1"/>
    <col min="10" max="10" width="11" customWidth="1"/>
    <col min="11" max="11" width="11.88671875" customWidth="1"/>
  </cols>
  <sheetData>
    <row r="1" spans="1:11" ht="16.2">
      <c r="A1" s="3193" t="s">
        <v>3516</v>
      </c>
      <c r="B1" s="3193" t="s">
        <v>3517</v>
      </c>
      <c r="C1" s="3193" t="s">
        <v>3518</v>
      </c>
      <c r="D1" s="3194" t="s">
        <v>3519</v>
      </c>
      <c r="E1" s="3193" t="s">
        <v>3520</v>
      </c>
      <c r="F1" s="3193" t="s">
        <v>3521</v>
      </c>
    </row>
    <row r="2" spans="1:11" ht="16.2">
      <c r="A2" s="3192">
        <v>1</v>
      </c>
      <c r="B2" s="3193" t="s">
        <v>3522</v>
      </c>
      <c r="C2" s="3192" t="s">
        <v>3523</v>
      </c>
      <c r="D2" s="3192">
        <v>-4</v>
      </c>
      <c r="E2" s="3192">
        <v>50.63</v>
      </c>
      <c r="F2" s="3192" t="s">
        <v>3524</v>
      </c>
      <c r="H2" s="3195"/>
      <c r="I2" s="3195"/>
      <c r="J2" s="3195"/>
      <c r="K2" s="3195"/>
    </row>
    <row r="3" spans="1:11" ht="16.2">
      <c r="A3" s="3192">
        <v>2</v>
      </c>
      <c r="B3" s="3193" t="s">
        <v>3525</v>
      </c>
      <c r="C3" s="3192" t="s">
        <v>3523</v>
      </c>
      <c r="D3" s="3192">
        <v>-4</v>
      </c>
      <c r="E3" s="3192">
        <v>46.03</v>
      </c>
      <c r="F3" s="3192" t="s">
        <v>3524</v>
      </c>
      <c r="H3" s="3195"/>
      <c r="I3" s="3195"/>
      <c r="J3" s="3195"/>
      <c r="K3" s="3195"/>
    </row>
    <row r="4" spans="1:11" ht="16.2">
      <c r="A4" s="3192">
        <v>3</v>
      </c>
      <c r="B4" s="3193" t="s">
        <v>3526</v>
      </c>
      <c r="C4" s="3192" t="s">
        <v>3523</v>
      </c>
      <c r="D4" s="3192">
        <v>-4</v>
      </c>
      <c r="E4" s="3192">
        <v>46.03</v>
      </c>
      <c r="F4" s="3192" t="s">
        <v>3524</v>
      </c>
      <c r="H4" s="3195"/>
      <c r="I4" s="3195"/>
      <c r="J4" s="3195"/>
      <c r="K4" s="3195"/>
    </row>
    <row r="5" spans="1:11" ht="16.2">
      <c r="A5" s="3192">
        <v>4</v>
      </c>
      <c r="B5" s="3193" t="s">
        <v>3527</v>
      </c>
      <c r="C5" s="3192" t="s">
        <v>3523</v>
      </c>
      <c r="D5" s="3192">
        <v>-4</v>
      </c>
      <c r="E5" s="3192">
        <v>56.19</v>
      </c>
      <c r="F5" s="3192" t="s">
        <v>3524</v>
      </c>
      <c r="H5" s="3195" t="s">
        <v>3389</v>
      </c>
      <c r="I5" s="3192">
        <f>SUM(E37:E70)</f>
        <v>38401.340000000004</v>
      </c>
      <c r="J5" s="3192">
        <v>1</v>
      </c>
      <c r="K5" s="3192">
        <v>9.3000000000000007</v>
      </c>
    </row>
    <row r="6" spans="1:11" ht="16.2">
      <c r="A6" s="3192">
        <v>5</v>
      </c>
      <c r="B6" s="3193" t="s">
        <v>3528</v>
      </c>
      <c r="C6" s="3192" t="s">
        <v>3523</v>
      </c>
      <c r="D6" s="3192">
        <v>-4</v>
      </c>
      <c r="E6" s="3192">
        <v>56.19</v>
      </c>
      <c r="F6" s="3192" t="s">
        <v>3524</v>
      </c>
      <c r="H6" s="3195" t="s">
        <v>3617</v>
      </c>
      <c r="I6" s="3192">
        <f>E36</f>
        <v>6191.47</v>
      </c>
      <c r="J6" s="3192">
        <v>0.6</v>
      </c>
      <c r="K6" s="3192">
        <f>$K$5*J6</f>
        <v>5.58</v>
      </c>
    </row>
    <row r="7" spans="1:11" ht="16.2">
      <c r="A7" s="3192">
        <v>6</v>
      </c>
      <c r="B7" s="3193" t="s">
        <v>3529</v>
      </c>
      <c r="C7" s="3192" t="s">
        <v>3523</v>
      </c>
      <c r="D7" s="3192">
        <v>-4</v>
      </c>
      <c r="E7" s="3192">
        <v>56.19</v>
      </c>
      <c r="F7" s="3192" t="s">
        <v>3524</v>
      </c>
      <c r="H7" s="3195" t="s">
        <v>3618</v>
      </c>
      <c r="I7" s="3192">
        <f>E30+E29</f>
        <v>2706.43</v>
      </c>
      <c r="J7" s="3192">
        <v>0.55000000000000004</v>
      </c>
      <c r="K7" s="3192">
        <f t="shared" ref="K7:K9" si="0">$K$5*J7</f>
        <v>5.1150000000000011</v>
      </c>
    </row>
    <row r="8" spans="1:11" ht="16.2">
      <c r="A8" s="3192">
        <v>7</v>
      </c>
      <c r="B8" s="3193" t="s">
        <v>3530</v>
      </c>
      <c r="C8" s="3192" t="s">
        <v>3523</v>
      </c>
      <c r="D8" s="3192">
        <v>-4</v>
      </c>
      <c r="E8" s="3192">
        <v>48.03</v>
      </c>
      <c r="F8" s="3192" t="s">
        <v>3524</v>
      </c>
      <c r="H8" s="3195" t="s">
        <v>3620</v>
      </c>
      <c r="I8" s="3192">
        <f>E21+E28</f>
        <v>422.05</v>
      </c>
      <c r="J8" s="3192">
        <v>0.4</v>
      </c>
      <c r="K8" s="3192">
        <f t="shared" si="0"/>
        <v>3.7200000000000006</v>
      </c>
    </row>
    <row r="9" spans="1:11" ht="16.2">
      <c r="A9" s="3192">
        <v>8</v>
      </c>
      <c r="B9" s="3193" t="s">
        <v>3531</v>
      </c>
      <c r="C9" s="3192" t="s">
        <v>3523</v>
      </c>
      <c r="D9" s="3192">
        <v>-4</v>
      </c>
      <c r="E9" s="3192">
        <v>48.03</v>
      </c>
      <c r="F9" s="3192" t="s">
        <v>3524</v>
      </c>
      <c r="H9" s="3195" t="s">
        <v>3619</v>
      </c>
      <c r="I9" s="3192">
        <f>SUM(E2:E35)-I8-I7</f>
        <v>1545.9000000000019</v>
      </c>
      <c r="J9" s="3192"/>
      <c r="K9" s="3192">
        <f t="shared" si="0"/>
        <v>0</v>
      </c>
    </row>
    <row r="10" spans="1:11" ht="16.2">
      <c r="A10" s="3192">
        <v>9</v>
      </c>
      <c r="B10" s="3193" t="s">
        <v>3532</v>
      </c>
      <c r="C10" s="3192" t="s">
        <v>3523</v>
      </c>
      <c r="D10" s="3192">
        <v>-4</v>
      </c>
      <c r="E10" s="3192">
        <v>48.03</v>
      </c>
      <c r="F10" s="3192" t="s">
        <v>3524</v>
      </c>
      <c r="H10" s="3195"/>
      <c r="I10" s="3192">
        <f>SUM(I5:I9)</f>
        <v>49267.19000000001</v>
      </c>
      <c r="J10" s="3192"/>
      <c r="K10" s="3213">
        <f>SUMPRODUCT(K5:K9,I5:I9)/I10</f>
        <v>8.2629896296094838</v>
      </c>
    </row>
    <row r="11" spans="1:11" ht="16.2">
      <c r="A11" s="3192">
        <v>10</v>
      </c>
      <c r="B11" s="3193" t="s">
        <v>3533</v>
      </c>
      <c r="C11" s="3192" t="s">
        <v>3523</v>
      </c>
      <c r="D11" s="3192">
        <v>-4</v>
      </c>
      <c r="E11" s="3192">
        <v>48.03</v>
      </c>
      <c r="F11" s="3192" t="s">
        <v>3524</v>
      </c>
      <c r="H11" s="3195"/>
      <c r="I11" s="3195"/>
      <c r="J11" s="3195"/>
      <c r="K11" s="3195"/>
    </row>
    <row r="12" spans="1:11" ht="16.2">
      <c r="A12" s="3192">
        <v>11</v>
      </c>
      <c r="B12" s="3193" t="s">
        <v>3534</v>
      </c>
      <c r="C12" s="3192" t="s">
        <v>3523</v>
      </c>
      <c r="D12" s="3192">
        <v>-4</v>
      </c>
      <c r="E12" s="3192">
        <v>48.03</v>
      </c>
      <c r="F12" s="3192" t="s">
        <v>3524</v>
      </c>
      <c r="H12" s="3195"/>
      <c r="I12" s="3210">
        <f>(I8+I9)/I10</f>
        <v>3.9944433607843305E-2</v>
      </c>
      <c r="J12" s="3195"/>
      <c r="K12" s="3195"/>
    </row>
    <row r="13" spans="1:11" ht="16.2">
      <c r="A13" s="3192">
        <v>12</v>
      </c>
      <c r="B13" s="3193" t="s">
        <v>3535</v>
      </c>
      <c r="C13" s="3192" t="s">
        <v>3523</v>
      </c>
      <c r="D13" s="3192">
        <v>-4</v>
      </c>
      <c r="E13" s="3192">
        <v>49.31</v>
      </c>
      <c r="F13" s="3192" t="s">
        <v>3524</v>
      </c>
    </row>
    <row r="14" spans="1:11" ht="16.2">
      <c r="A14" s="3192">
        <v>13</v>
      </c>
      <c r="B14" s="3193" t="s">
        <v>3536</v>
      </c>
      <c r="C14" s="3192" t="s">
        <v>3523</v>
      </c>
      <c r="D14" s="3192">
        <v>-4</v>
      </c>
      <c r="E14" s="3192">
        <v>49.31</v>
      </c>
      <c r="F14" s="3192" t="s">
        <v>3524</v>
      </c>
    </row>
    <row r="15" spans="1:11" ht="16.2">
      <c r="A15" s="3192">
        <v>14</v>
      </c>
      <c r="B15" s="3193" t="s">
        <v>3537</v>
      </c>
      <c r="C15" s="3192" t="s">
        <v>3523</v>
      </c>
      <c r="D15" s="3192">
        <v>-4</v>
      </c>
      <c r="E15" s="3192">
        <v>49.31</v>
      </c>
      <c r="F15" s="3192" t="s">
        <v>3524</v>
      </c>
    </row>
    <row r="16" spans="1:11" ht="16.2">
      <c r="A16" s="3192">
        <v>15</v>
      </c>
      <c r="B16" s="3192" t="s">
        <v>3538</v>
      </c>
      <c r="C16" s="3192" t="s">
        <v>3523</v>
      </c>
      <c r="D16" s="3192">
        <v>-4</v>
      </c>
      <c r="E16" s="3192">
        <v>46.43</v>
      </c>
      <c r="F16" s="3192" t="s">
        <v>3524</v>
      </c>
    </row>
    <row r="17" spans="1:6" ht="16.2">
      <c r="A17" s="3192">
        <v>16</v>
      </c>
      <c r="B17" s="3192" t="s">
        <v>3539</v>
      </c>
      <c r="C17" s="3192" t="s">
        <v>3523</v>
      </c>
      <c r="D17" s="3192">
        <v>-4</v>
      </c>
      <c r="E17" s="3192">
        <v>46.43</v>
      </c>
      <c r="F17" s="3192" t="s">
        <v>3524</v>
      </c>
    </row>
    <row r="18" spans="1:6" ht="16.2">
      <c r="A18" s="3192">
        <v>17</v>
      </c>
      <c r="B18" s="3192" t="s">
        <v>3540</v>
      </c>
      <c r="C18" s="3192" t="s">
        <v>3523</v>
      </c>
      <c r="D18" s="3192">
        <v>-4</v>
      </c>
      <c r="E18" s="3192">
        <v>56.19</v>
      </c>
      <c r="F18" s="3192" t="s">
        <v>3524</v>
      </c>
    </row>
    <row r="19" spans="1:6" ht="16.2">
      <c r="A19" s="3192">
        <v>18</v>
      </c>
      <c r="B19" s="3192" t="s">
        <v>3541</v>
      </c>
      <c r="C19" s="3192" t="s">
        <v>3523</v>
      </c>
      <c r="D19" s="3192">
        <v>-4</v>
      </c>
      <c r="E19" s="3192">
        <v>56.19</v>
      </c>
      <c r="F19" s="3192" t="s">
        <v>3524</v>
      </c>
    </row>
    <row r="20" spans="1:6" ht="16.2">
      <c r="A20" s="3192">
        <v>19</v>
      </c>
      <c r="B20" s="3192" t="s">
        <v>3542</v>
      </c>
      <c r="C20" s="3192" t="s">
        <v>3523</v>
      </c>
      <c r="D20" s="3192">
        <v>-4</v>
      </c>
      <c r="E20" s="3192">
        <v>56.19</v>
      </c>
      <c r="F20" s="3192" t="s">
        <v>3524</v>
      </c>
    </row>
    <row r="21" spans="1:6" ht="16.2">
      <c r="A21" s="3192">
        <v>20</v>
      </c>
      <c r="B21" s="3192" t="s">
        <v>3543</v>
      </c>
      <c r="C21" s="3192" t="s">
        <v>3523</v>
      </c>
      <c r="D21" s="3192">
        <v>-4</v>
      </c>
      <c r="E21" s="3192">
        <v>133.63</v>
      </c>
      <c r="F21" s="3192" t="s">
        <v>21</v>
      </c>
    </row>
    <row r="22" spans="1:6" ht="16.2">
      <c r="A22" s="3192">
        <v>21</v>
      </c>
      <c r="B22" s="3192" t="s">
        <v>3544</v>
      </c>
      <c r="C22" s="3192" t="s">
        <v>3523</v>
      </c>
      <c r="D22" s="3192">
        <v>-3</v>
      </c>
      <c r="E22" s="3192">
        <v>56.19</v>
      </c>
      <c r="F22" s="3192" t="s">
        <v>3524</v>
      </c>
    </row>
    <row r="23" spans="1:6" ht="16.2">
      <c r="A23" s="3192">
        <v>22</v>
      </c>
      <c r="B23" s="3192" t="s">
        <v>3545</v>
      </c>
      <c r="C23" s="3192" t="s">
        <v>3523</v>
      </c>
      <c r="D23" s="3192">
        <v>-3</v>
      </c>
      <c r="E23" s="3192">
        <v>56.19</v>
      </c>
      <c r="F23" s="3192" t="s">
        <v>3524</v>
      </c>
    </row>
    <row r="24" spans="1:6" ht="16.2">
      <c r="A24" s="3192">
        <v>23</v>
      </c>
      <c r="B24" s="3192" t="s">
        <v>3546</v>
      </c>
      <c r="C24" s="3192" t="s">
        <v>3523</v>
      </c>
      <c r="D24" s="3192">
        <v>-3</v>
      </c>
      <c r="E24" s="3192">
        <v>56.19</v>
      </c>
      <c r="F24" s="3192" t="s">
        <v>3524</v>
      </c>
    </row>
    <row r="25" spans="1:6" ht="16.2">
      <c r="A25" s="3192">
        <v>24</v>
      </c>
      <c r="B25" s="3192" t="s">
        <v>3613</v>
      </c>
      <c r="C25" s="3192" t="s">
        <v>3523</v>
      </c>
      <c r="D25" s="3192">
        <v>-3</v>
      </c>
      <c r="E25" s="3192">
        <v>55.23</v>
      </c>
      <c r="F25" s="3192" t="s">
        <v>3524</v>
      </c>
    </row>
    <row r="26" spans="1:6" ht="16.2">
      <c r="A26" s="3192">
        <v>25</v>
      </c>
      <c r="B26" s="3192" t="s">
        <v>3548</v>
      </c>
      <c r="C26" s="3192" t="s">
        <v>3523</v>
      </c>
      <c r="D26" s="3192">
        <v>-3</v>
      </c>
      <c r="E26" s="3192">
        <v>52.75</v>
      </c>
      <c r="F26" s="3192" t="s">
        <v>3524</v>
      </c>
    </row>
    <row r="27" spans="1:6" ht="16.2">
      <c r="A27" s="3192">
        <v>26</v>
      </c>
      <c r="B27" s="3192" t="s">
        <v>3549</v>
      </c>
      <c r="C27" s="3192" t="s">
        <v>3523</v>
      </c>
      <c r="D27" s="3192">
        <v>-3</v>
      </c>
      <c r="E27" s="3192">
        <v>52.83</v>
      </c>
      <c r="F27" s="3192" t="s">
        <v>3524</v>
      </c>
    </row>
    <row r="28" spans="1:6" ht="16.2">
      <c r="A28" s="3192">
        <v>27</v>
      </c>
      <c r="B28" s="3192" t="s">
        <v>3543</v>
      </c>
      <c r="C28" s="3192" t="s">
        <v>3523</v>
      </c>
      <c r="D28" s="3192">
        <v>-3</v>
      </c>
      <c r="E28" s="3192">
        <v>288.42</v>
      </c>
      <c r="F28" s="3192" t="s">
        <v>21</v>
      </c>
    </row>
    <row r="29" spans="1:6" ht="16.2">
      <c r="A29" s="3192">
        <v>28</v>
      </c>
      <c r="B29" s="3192" t="s">
        <v>3550</v>
      </c>
      <c r="C29" s="3192" t="s">
        <v>3523</v>
      </c>
      <c r="D29" s="3192">
        <v>-2</v>
      </c>
      <c r="E29" s="3192">
        <v>2454.33</v>
      </c>
      <c r="F29" s="3192" t="s">
        <v>21</v>
      </c>
    </row>
    <row r="30" spans="1:6" ht="16.2">
      <c r="A30" s="3192">
        <v>29</v>
      </c>
      <c r="B30" s="3192" t="s">
        <v>3543</v>
      </c>
      <c r="C30" s="3192" t="s">
        <v>3523</v>
      </c>
      <c r="D30" s="3192">
        <v>-2</v>
      </c>
      <c r="E30" s="3192">
        <v>252.1</v>
      </c>
      <c r="F30" s="3192" t="s">
        <v>21</v>
      </c>
    </row>
    <row r="31" spans="1:6" ht="16.2">
      <c r="A31" s="3192">
        <v>30</v>
      </c>
      <c r="B31" s="3192" t="s">
        <v>3551</v>
      </c>
      <c r="C31" s="3192" t="s">
        <v>3523</v>
      </c>
      <c r="D31" s="3192">
        <v>-1</v>
      </c>
      <c r="E31" s="3192">
        <v>49.47</v>
      </c>
      <c r="F31" s="3192" t="s">
        <v>3524</v>
      </c>
    </row>
    <row r="32" spans="1:6" ht="16.2">
      <c r="A32" s="3192">
        <v>31</v>
      </c>
      <c r="B32" s="3192" t="s">
        <v>3552</v>
      </c>
      <c r="C32" s="3192" t="s">
        <v>3523</v>
      </c>
      <c r="D32" s="3192">
        <v>-1</v>
      </c>
      <c r="E32" s="3192">
        <v>49.47</v>
      </c>
      <c r="F32" s="3192" t="s">
        <v>3524</v>
      </c>
    </row>
    <row r="33" spans="1:6" ht="16.2">
      <c r="A33" s="3192">
        <v>32</v>
      </c>
      <c r="B33" s="3192" t="s">
        <v>3553</v>
      </c>
      <c r="C33" s="3192" t="s">
        <v>3523</v>
      </c>
      <c r="D33" s="3192">
        <v>-1</v>
      </c>
      <c r="E33" s="3192">
        <v>52.27</v>
      </c>
      <c r="F33" s="3192" t="s">
        <v>3524</v>
      </c>
    </row>
    <row r="34" spans="1:6" ht="16.2">
      <c r="A34" s="3192">
        <v>33</v>
      </c>
      <c r="B34" s="3192" t="s">
        <v>3554</v>
      </c>
      <c r="C34" s="3192" t="s">
        <v>3523</v>
      </c>
      <c r="D34" s="3192">
        <v>-1</v>
      </c>
      <c r="E34" s="3192">
        <v>52.27</v>
      </c>
      <c r="F34" s="3192" t="s">
        <v>3524</v>
      </c>
    </row>
    <row r="35" spans="1:6" ht="16.2">
      <c r="A35" s="3192">
        <v>34</v>
      </c>
      <c r="B35" s="3192" t="s">
        <v>3555</v>
      </c>
      <c r="C35" s="3192" t="s">
        <v>3523</v>
      </c>
      <c r="D35" s="3192">
        <v>-1</v>
      </c>
      <c r="E35" s="3192">
        <v>52.27</v>
      </c>
      <c r="F35" s="3192" t="s">
        <v>3524</v>
      </c>
    </row>
    <row r="36" spans="1:6" ht="16.2">
      <c r="A36" s="3192">
        <v>35</v>
      </c>
      <c r="B36" s="3192" t="s">
        <v>3556</v>
      </c>
      <c r="C36" s="3192" t="s">
        <v>3523</v>
      </c>
      <c r="D36" s="3192" t="s">
        <v>3557</v>
      </c>
      <c r="E36" s="3192">
        <v>6191.47</v>
      </c>
      <c r="F36" s="3192" t="s">
        <v>3558</v>
      </c>
    </row>
    <row r="37" spans="1:6" ht="16.2">
      <c r="A37" s="3192">
        <v>36</v>
      </c>
      <c r="B37" s="3192" t="s">
        <v>3559</v>
      </c>
      <c r="C37" s="3192" t="s">
        <v>3523</v>
      </c>
      <c r="D37" s="3192" t="s">
        <v>3560</v>
      </c>
      <c r="E37" s="3192">
        <v>768.77</v>
      </c>
      <c r="F37" s="3192" t="s">
        <v>3558</v>
      </c>
    </row>
    <row r="38" spans="1:6" ht="16.2">
      <c r="A38" s="3192">
        <v>37</v>
      </c>
      <c r="B38" s="3192" t="s">
        <v>3561</v>
      </c>
      <c r="C38" s="3192" t="s">
        <v>3523</v>
      </c>
      <c r="D38" s="3192" t="s">
        <v>3560</v>
      </c>
      <c r="E38" s="3192">
        <v>765.34</v>
      </c>
      <c r="F38" s="3192" t="s">
        <v>3558</v>
      </c>
    </row>
    <row r="39" spans="1:6" ht="16.2">
      <c r="A39" s="3192">
        <v>38</v>
      </c>
      <c r="B39" s="3192" t="s">
        <v>3562</v>
      </c>
      <c r="C39" s="3192" t="s">
        <v>3523</v>
      </c>
      <c r="D39" s="3192" t="s">
        <v>3563</v>
      </c>
      <c r="E39" s="3192">
        <v>1277.56</v>
      </c>
      <c r="F39" s="3192" t="s">
        <v>3558</v>
      </c>
    </row>
    <row r="40" spans="1:6" ht="16.2">
      <c r="A40" s="3192">
        <v>39</v>
      </c>
      <c r="B40" s="3192" t="s">
        <v>3564</v>
      </c>
      <c r="C40" s="3192" t="s">
        <v>3523</v>
      </c>
      <c r="D40" s="3192" t="s">
        <v>3563</v>
      </c>
      <c r="E40" s="3192">
        <v>1271.8499999999999</v>
      </c>
      <c r="F40" s="3192" t="s">
        <v>3558</v>
      </c>
    </row>
    <row r="41" spans="1:6" ht="16.2">
      <c r="A41" s="3192">
        <v>40</v>
      </c>
      <c r="B41" s="3192" t="s">
        <v>3565</v>
      </c>
      <c r="C41" s="3192" t="s">
        <v>3523</v>
      </c>
      <c r="D41" s="3192" t="s">
        <v>3566</v>
      </c>
      <c r="E41" s="3192">
        <v>1339.77</v>
      </c>
      <c r="F41" s="3192" t="s">
        <v>3558</v>
      </c>
    </row>
    <row r="42" spans="1:6" ht="16.2">
      <c r="A42" s="3192">
        <v>41</v>
      </c>
      <c r="B42" s="3192" t="s">
        <v>3567</v>
      </c>
      <c r="C42" s="3192" t="s">
        <v>3523</v>
      </c>
      <c r="D42" s="3192" t="s">
        <v>3566</v>
      </c>
      <c r="E42" s="3192">
        <v>752.45</v>
      </c>
      <c r="F42" s="3192" t="s">
        <v>3558</v>
      </c>
    </row>
    <row r="43" spans="1:6" ht="16.2">
      <c r="A43" s="3192">
        <v>42</v>
      </c>
      <c r="B43" s="3192" t="s">
        <v>3568</v>
      </c>
      <c r="C43" s="3192" t="s">
        <v>3523</v>
      </c>
      <c r="D43" s="3192" t="s">
        <v>3566</v>
      </c>
      <c r="E43" s="3192">
        <v>209.35</v>
      </c>
      <c r="F43" s="3192" t="s">
        <v>3558</v>
      </c>
    </row>
    <row r="44" spans="1:6" ht="16.2">
      <c r="A44" s="3192">
        <v>43</v>
      </c>
      <c r="B44" s="3192" t="s">
        <v>3569</v>
      </c>
      <c r="C44" s="3192" t="s">
        <v>3523</v>
      </c>
      <c r="D44" s="3192" t="s">
        <v>3566</v>
      </c>
      <c r="E44" s="3192">
        <v>159.63</v>
      </c>
      <c r="F44" s="3192" t="s">
        <v>3558</v>
      </c>
    </row>
    <row r="45" spans="1:6" ht="16.2">
      <c r="A45" s="3192">
        <v>44</v>
      </c>
      <c r="B45" s="3192" t="s">
        <v>3570</v>
      </c>
      <c r="C45" s="3192" t="s">
        <v>3523</v>
      </c>
      <c r="D45" s="3192" t="s">
        <v>3571</v>
      </c>
      <c r="E45" s="3192">
        <v>1337.53</v>
      </c>
      <c r="F45" s="3192" t="s">
        <v>3558</v>
      </c>
    </row>
    <row r="46" spans="1:6" ht="16.2">
      <c r="A46" s="3192">
        <v>45</v>
      </c>
      <c r="B46" s="3192" t="s">
        <v>3572</v>
      </c>
      <c r="C46" s="3192" t="s">
        <v>3523</v>
      </c>
      <c r="D46" s="3192" t="s">
        <v>3573</v>
      </c>
      <c r="E46" s="3192">
        <v>1337.53</v>
      </c>
      <c r="F46" s="3192" t="s">
        <v>3558</v>
      </c>
    </row>
    <row r="47" spans="1:6" ht="16.2">
      <c r="A47" s="3192">
        <v>46</v>
      </c>
      <c r="B47" s="3192" t="s">
        <v>3574</v>
      </c>
      <c r="C47" s="3192" t="s">
        <v>3523</v>
      </c>
      <c r="D47" s="3192" t="s">
        <v>3575</v>
      </c>
      <c r="E47" s="3192">
        <v>1339.66</v>
      </c>
      <c r="F47" s="3192" t="s">
        <v>3558</v>
      </c>
    </row>
    <row r="48" spans="1:6" ht="16.2">
      <c r="A48" s="3192">
        <v>47</v>
      </c>
      <c r="B48" s="3192" t="s">
        <v>3576</v>
      </c>
      <c r="C48" s="3192" t="s">
        <v>3523</v>
      </c>
      <c r="D48" s="3192" t="s">
        <v>3577</v>
      </c>
      <c r="E48" s="3192">
        <v>1339.66</v>
      </c>
      <c r="F48" s="3192" t="s">
        <v>3558</v>
      </c>
    </row>
    <row r="49" spans="1:6" ht="16.2">
      <c r="A49" s="3192">
        <v>48</v>
      </c>
      <c r="B49" s="3192" t="s">
        <v>3578</v>
      </c>
      <c r="C49" s="3192" t="s">
        <v>3523</v>
      </c>
      <c r="D49" s="3192" t="s">
        <v>3579</v>
      </c>
      <c r="E49" s="3192">
        <v>1339.66</v>
      </c>
      <c r="F49" s="3192" t="s">
        <v>3558</v>
      </c>
    </row>
    <row r="50" spans="1:6" ht="16.2">
      <c r="A50" s="3192">
        <v>49</v>
      </c>
      <c r="B50" s="3192" t="s">
        <v>3580</v>
      </c>
      <c r="C50" s="3192" t="s">
        <v>3523</v>
      </c>
      <c r="D50" s="3192" t="s">
        <v>3581</v>
      </c>
      <c r="E50" s="3192">
        <v>1339.66</v>
      </c>
      <c r="F50" s="3192" t="s">
        <v>3558</v>
      </c>
    </row>
    <row r="51" spans="1:6" ht="16.2">
      <c r="A51" s="3192">
        <v>50</v>
      </c>
      <c r="B51" s="3192" t="s">
        <v>3582</v>
      </c>
      <c r="C51" s="3192" t="s">
        <v>3523</v>
      </c>
      <c r="D51" s="3192" t="s">
        <v>3583</v>
      </c>
      <c r="E51" s="3192">
        <v>1339.66</v>
      </c>
      <c r="F51" s="3192" t="s">
        <v>3558</v>
      </c>
    </row>
    <row r="52" spans="1:6" ht="16.2">
      <c r="A52" s="3192">
        <v>51</v>
      </c>
      <c r="B52" s="3192" t="s">
        <v>3584</v>
      </c>
      <c r="C52" s="3192" t="s">
        <v>3523</v>
      </c>
      <c r="D52" s="3192" t="s">
        <v>3585</v>
      </c>
      <c r="E52" s="3192">
        <v>962.57</v>
      </c>
      <c r="F52" s="3192" t="s">
        <v>3558</v>
      </c>
    </row>
    <row r="53" spans="1:6" ht="16.2">
      <c r="A53" s="3192">
        <v>52</v>
      </c>
      <c r="B53" s="3192" t="s">
        <v>3586</v>
      </c>
      <c r="C53" s="3192" t="s">
        <v>3523</v>
      </c>
      <c r="D53" s="3192" t="s">
        <v>3585</v>
      </c>
      <c r="E53" s="3192">
        <v>958.26</v>
      </c>
      <c r="F53" s="3192" t="s">
        <v>3558</v>
      </c>
    </row>
    <row r="54" spans="1:6" ht="16.2">
      <c r="A54" s="3192">
        <v>53</v>
      </c>
      <c r="B54" s="3192" t="s">
        <v>3587</v>
      </c>
      <c r="C54" s="3192" t="s">
        <v>3523</v>
      </c>
      <c r="D54" s="3192" t="s">
        <v>3588</v>
      </c>
      <c r="E54" s="3192">
        <v>1341.35</v>
      </c>
      <c r="F54" s="3192" t="s">
        <v>3558</v>
      </c>
    </row>
    <row r="55" spans="1:6" ht="16.2">
      <c r="A55" s="3192">
        <v>54</v>
      </c>
      <c r="B55" s="3192" t="s">
        <v>3589</v>
      </c>
      <c r="C55" s="3192" t="s">
        <v>3523</v>
      </c>
      <c r="D55" s="3192" t="s">
        <v>3590</v>
      </c>
      <c r="E55" s="3192">
        <v>1350.91</v>
      </c>
      <c r="F55" s="3192" t="s">
        <v>3558</v>
      </c>
    </row>
    <row r="56" spans="1:6" ht="16.2">
      <c r="A56" s="3192">
        <v>55</v>
      </c>
      <c r="B56" s="3192" t="s">
        <v>3591</v>
      </c>
      <c r="C56" s="3192" t="s">
        <v>3523</v>
      </c>
      <c r="D56" s="3192" t="s">
        <v>3592</v>
      </c>
      <c r="E56" s="3192">
        <v>1371.11</v>
      </c>
      <c r="F56" s="3192" t="s">
        <v>3558</v>
      </c>
    </row>
    <row r="57" spans="1:6" ht="16.2">
      <c r="A57" s="3192">
        <v>56</v>
      </c>
      <c r="B57" s="3192" t="s">
        <v>3593</v>
      </c>
      <c r="C57" s="3192" t="s">
        <v>3523</v>
      </c>
      <c r="D57" s="3192" t="s">
        <v>3594</v>
      </c>
      <c r="E57" s="3192">
        <v>1371.11</v>
      </c>
      <c r="F57" s="3192" t="s">
        <v>3558</v>
      </c>
    </row>
    <row r="58" spans="1:6" ht="16.2">
      <c r="A58" s="3192">
        <v>57</v>
      </c>
      <c r="B58" s="3192" t="s">
        <v>3595</v>
      </c>
      <c r="C58" s="3192" t="s">
        <v>3523</v>
      </c>
      <c r="D58" s="3192" t="s">
        <v>3596</v>
      </c>
      <c r="E58" s="3192">
        <v>1373.43</v>
      </c>
      <c r="F58" s="3192" t="s">
        <v>3558</v>
      </c>
    </row>
    <row r="59" spans="1:6" ht="16.2">
      <c r="A59" s="3192">
        <v>58</v>
      </c>
      <c r="B59" s="3192" t="s">
        <v>3597</v>
      </c>
      <c r="C59" s="3192" t="s">
        <v>3523</v>
      </c>
      <c r="D59" s="3192" t="s">
        <v>3598</v>
      </c>
      <c r="E59" s="3192">
        <v>1373.43</v>
      </c>
      <c r="F59" s="3192" t="s">
        <v>3558</v>
      </c>
    </row>
    <row r="60" spans="1:6" ht="16.2">
      <c r="A60" s="3192">
        <v>59</v>
      </c>
      <c r="B60" s="3192" t="s">
        <v>3599</v>
      </c>
      <c r="C60" s="3192" t="s">
        <v>3523</v>
      </c>
      <c r="D60" s="3192" t="s">
        <v>3600</v>
      </c>
      <c r="E60" s="3192">
        <v>1373.43</v>
      </c>
      <c r="F60" s="3192" t="s">
        <v>3558</v>
      </c>
    </row>
    <row r="61" spans="1:6" ht="16.2">
      <c r="A61" s="3192">
        <v>60</v>
      </c>
      <c r="B61" s="3192" t="s">
        <v>3601</v>
      </c>
      <c r="C61" s="3192" t="s">
        <v>3523</v>
      </c>
      <c r="D61" s="3192" t="s">
        <v>3602</v>
      </c>
      <c r="E61" s="3192">
        <v>1373.43</v>
      </c>
      <c r="F61" s="3192" t="s">
        <v>3558</v>
      </c>
    </row>
    <row r="62" spans="1:6" ht="16.2">
      <c r="A62" s="3192">
        <v>61</v>
      </c>
      <c r="B62" s="3192" t="s">
        <v>3603</v>
      </c>
      <c r="C62" s="3192" t="s">
        <v>3523</v>
      </c>
      <c r="D62" s="3192">
        <v>27</v>
      </c>
      <c r="E62" s="3192">
        <v>1373.43</v>
      </c>
      <c r="F62" s="3192" t="s">
        <v>3558</v>
      </c>
    </row>
    <row r="63" spans="1:6" ht="16.2">
      <c r="A63" s="3192">
        <v>62</v>
      </c>
      <c r="B63" s="3192" t="s">
        <v>3604</v>
      </c>
      <c r="C63" s="3192" t="s">
        <v>3523</v>
      </c>
      <c r="D63" s="3192">
        <v>28</v>
      </c>
      <c r="E63" s="3192">
        <v>1329.84</v>
      </c>
      <c r="F63" s="3192" t="s">
        <v>3558</v>
      </c>
    </row>
    <row r="64" spans="1:6" ht="16.2">
      <c r="A64" s="3192">
        <v>63</v>
      </c>
      <c r="B64" s="3192" t="s">
        <v>3605</v>
      </c>
      <c r="C64" s="3192" t="s">
        <v>3523</v>
      </c>
      <c r="D64" s="3192">
        <v>29</v>
      </c>
      <c r="E64" s="3192">
        <v>1329.84</v>
      </c>
      <c r="F64" s="3192" t="s">
        <v>3558</v>
      </c>
    </row>
    <row r="65" spans="1:6" ht="16.2">
      <c r="A65" s="3192">
        <v>64</v>
      </c>
      <c r="B65" s="3192" t="s">
        <v>3614</v>
      </c>
      <c r="C65" s="3192" t="s">
        <v>3523</v>
      </c>
      <c r="D65" s="3192">
        <v>30</v>
      </c>
      <c r="E65" s="3192">
        <v>1340.78</v>
      </c>
      <c r="F65" s="3192" t="s">
        <v>3558</v>
      </c>
    </row>
    <row r="66" spans="1:6" ht="16.2">
      <c r="A66" s="3192">
        <v>65</v>
      </c>
      <c r="B66" s="3192" t="s">
        <v>3607</v>
      </c>
      <c r="C66" s="3192" t="s">
        <v>3523</v>
      </c>
      <c r="D66" s="3192">
        <v>30</v>
      </c>
      <c r="E66" s="3192">
        <v>1329.84</v>
      </c>
      <c r="F66" s="3192" t="s">
        <v>3558</v>
      </c>
    </row>
    <row r="67" spans="1:6" ht="16.2">
      <c r="A67" s="3192">
        <v>66</v>
      </c>
      <c r="B67" s="3192" t="s">
        <v>3615</v>
      </c>
      <c r="C67" s="3192" t="s">
        <v>3523</v>
      </c>
      <c r="D67" s="3192">
        <v>31</v>
      </c>
      <c r="E67" s="3192">
        <v>673.62</v>
      </c>
      <c r="F67" s="3192" t="s">
        <v>3558</v>
      </c>
    </row>
    <row r="68" spans="1:6" ht="16.2">
      <c r="A68" s="3192">
        <v>67</v>
      </c>
      <c r="B68" s="3192" t="s">
        <v>3609</v>
      </c>
      <c r="C68" s="3192" t="s">
        <v>3523</v>
      </c>
      <c r="D68" s="3192">
        <v>31</v>
      </c>
      <c r="E68" s="3192">
        <v>1324.65</v>
      </c>
      <c r="F68" s="3192" t="s">
        <v>3558</v>
      </c>
    </row>
    <row r="69" spans="1:6" ht="16.2">
      <c r="A69" s="3192">
        <v>68</v>
      </c>
      <c r="B69" s="3192" t="s">
        <v>3616</v>
      </c>
      <c r="C69" s="3192" t="s">
        <v>3523</v>
      </c>
      <c r="D69" s="3192">
        <v>32</v>
      </c>
      <c r="E69" s="3192">
        <v>449.36</v>
      </c>
      <c r="F69" s="3192" t="s">
        <v>3558</v>
      </c>
    </row>
    <row r="70" spans="1:6" ht="16.2">
      <c r="A70" s="3192">
        <v>69</v>
      </c>
      <c r="B70" s="3192" t="s">
        <v>3611</v>
      </c>
      <c r="C70" s="3192" t="s">
        <v>3523</v>
      </c>
      <c r="D70" s="3192">
        <v>32</v>
      </c>
      <c r="E70" s="3192">
        <v>482.87</v>
      </c>
      <c r="F70" s="3192" t="s">
        <v>3558</v>
      </c>
    </row>
    <row r="71" spans="1:6" ht="16.2">
      <c r="A71" s="3192"/>
      <c r="B71" s="3192" t="s">
        <v>3612</v>
      </c>
      <c r="C71" s="3192"/>
      <c r="D71" s="3192"/>
      <c r="E71" s="3192">
        <v>49267.189999999995</v>
      </c>
      <c r="F71" s="3192"/>
    </row>
    <row r="73" spans="1:6">
      <c r="E73" s="2810" t="e">
        <v>#REF!</v>
      </c>
    </row>
    <row r="74" spans="1:6">
      <c r="E74" s="2810" t="e">
        <v>#REF!</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F13D-F9FB-4CF9-9EB9-2F71FBD065A1}">
  <dimension ref="A1:J90"/>
  <sheetViews>
    <sheetView workbookViewId="0">
      <selection activeCell="J10" sqref="J10"/>
    </sheetView>
  </sheetViews>
  <sheetFormatPr defaultColWidth="9" defaultRowHeight="14.4"/>
  <cols>
    <col min="1" max="1" width="9" style="3203"/>
    <col min="2" max="2" width="12.88671875" style="3203" customWidth="1"/>
    <col min="3" max="3" width="9" style="3203"/>
    <col min="4" max="5" width="10.44140625" style="3203" customWidth="1"/>
    <col min="6" max="6" width="9" style="3203"/>
    <col min="7" max="7" width="19.21875" style="3203" bestFit="1" customWidth="1"/>
    <col min="8" max="16384" width="9" style="3181"/>
  </cols>
  <sheetData>
    <row r="1" spans="1:10" ht="16.2">
      <c r="A1" s="3196" t="s">
        <v>3516</v>
      </c>
      <c r="B1" s="3196" t="s">
        <v>3517</v>
      </c>
      <c r="C1" s="3196" t="s">
        <v>3518</v>
      </c>
      <c r="D1" s="3197" t="s">
        <v>3519</v>
      </c>
      <c r="E1" s="3196" t="s">
        <v>3520</v>
      </c>
      <c r="F1" s="3196" t="s">
        <v>3521</v>
      </c>
      <c r="G1" s="3196" t="s">
        <v>3623</v>
      </c>
    </row>
    <row r="2" spans="1:10" s="3200" customFormat="1" ht="16.2">
      <c r="A2" s="3198">
        <v>1</v>
      </c>
      <c r="B2" s="3198" t="s">
        <v>3522</v>
      </c>
      <c r="C2" s="3199" t="s">
        <v>3523</v>
      </c>
      <c r="D2" s="3199">
        <v>-4</v>
      </c>
      <c r="E2" s="3198">
        <v>50.63</v>
      </c>
      <c r="F2" s="3199" t="s">
        <v>3524</v>
      </c>
      <c r="G2" s="3199"/>
      <c r="I2" s="3201" t="s">
        <v>3624</v>
      </c>
      <c r="J2" s="3200">
        <f>SUM(E5,E6,E10,E11,E14,E15,E16,E17,E18,E21,E22)</f>
        <v>538.08999999999992</v>
      </c>
    </row>
    <row r="3" spans="1:10" s="3200" customFormat="1" ht="16.2">
      <c r="A3" s="3198">
        <v>2</v>
      </c>
      <c r="B3" s="3198" t="s">
        <v>3525</v>
      </c>
      <c r="C3" s="3199" t="s">
        <v>3523</v>
      </c>
      <c r="D3" s="3199">
        <v>-4</v>
      </c>
      <c r="E3" s="3198">
        <v>46.03</v>
      </c>
      <c r="F3" s="3199" t="s">
        <v>3524</v>
      </c>
      <c r="G3" s="3199"/>
      <c r="I3" s="3201" t="s">
        <v>3625</v>
      </c>
      <c r="J3" s="3200">
        <f>SUM(E38,E39,E40)</f>
        <v>124.26</v>
      </c>
    </row>
    <row r="4" spans="1:10" s="3200" customFormat="1" ht="16.2">
      <c r="A4" s="3198">
        <v>3</v>
      </c>
      <c r="B4" s="3198" t="s">
        <v>3526</v>
      </c>
      <c r="C4" s="3199" t="s">
        <v>3523</v>
      </c>
      <c r="D4" s="3199">
        <v>-4</v>
      </c>
      <c r="E4" s="3198">
        <v>46.03</v>
      </c>
      <c r="F4" s="3199" t="s">
        <v>3524</v>
      </c>
      <c r="G4" s="3199"/>
      <c r="I4" s="3200" t="s">
        <v>2808</v>
      </c>
      <c r="J4" s="3200">
        <f>SUM(E60)</f>
        <v>212.36</v>
      </c>
    </row>
    <row r="5" spans="1:10" ht="16.2">
      <c r="A5" s="3196">
        <v>4</v>
      </c>
      <c r="B5" s="3196" t="s">
        <v>3626</v>
      </c>
      <c r="C5" s="3202" t="s">
        <v>3523</v>
      </c>
      <c r="D5" s="3202">
        <v>-4</v>
      </c>
      <c r="E5" s="3196">
        <v>49.83</v>
      </c>
      <c r="F5" s="3202" t="s">
        <v>3524</v>
      </c>
      <c r="G5" s="3202"/>
    </row>
    <row r="6" spans="1:10" ht="16.2">
      <c r="A6" s="3196">
        <v>5</v>
      </c>
      <c r="B6" s="3196" t="s">
        <v>3627</v>
      </c>
      <c r="C6" s="3202" t="s">
        <v>3523</v>
      </c>
      <c r="D6" s="3202">
        <v>-4</v>
      </c>
      <c r="E6" s="3196">
        <v>49.83</v>
      </c>
      <c r="F6" s="3202" t="s">
        <v>3524</v>
      </c>
      <c r="G6" s="3202"/>
    </row>
    <row r="7" spans="1:10" s="3200" customFormat="1" ht="16.2">
      <c r="A7" s="3198">
        <v>6</v>
      </c>
      <c r="B7" s="3198" t="s">
        <v>3527</v>
      </c>
      <c r="C7" s="3199" t="s">
        <v>3523</v>
      </c>
      <c r="D7" s="3199">
        <v>-4</v>
      </c>
      <c r="E7" s="3199">
        <v>56.19</v>
      </c>
      <c r="F7" s="3199" t="s">
        <v>3524</v>
      </c>
      <c r="G7" s="3199"/>
      <c r="I7" s="3204" t="s">
        <v>3524</v>
      </c>
      <c r="J7" s="3204">
        <f>SUM(E2:E51)-J10-J8</f>
        <v>2208.2500000000009</v>
      </c>
    </row>
    <row r="8" spans="1:10" s="3200" customFormat="1" ht="16.2">
      <c r="A8" s="3198">
        <v>7</v>
      </c>
      <c r="B8" s="3198" t="s">
        <v>3528</v>
      </c>
      <c r="C8" s="3199" t="s">
        <v>3523</v>
      </c>
      <c r="D8" s="3199">
        <v>-4</v>
      </c>
      <c r="E8" s="3199">
        <v>56.19</v>
      </c>
      <c r="F8" s="3199" t="s">
        <v>3524</v>
      </c>
      <c r="G8" s="3199"/>
      <c r="I8" s="3204" t="s">
        <v>3640</v>
      </c>
      <c r="J8" s="3204">
        <f>E51</f>
        <v>954.3</v>
      </c>
    </row>
    <row r="9" spans="1:10" s="3200" customFormat="1" ht="16.2">
      <c r="A9" s="3198">
        <v>8</v>
      </c>
      <c r="B9" s="3198" t="s">
        <v>3529</v>
      </c>
      <c r="C9" s="3199" t="s">
        <v>3523</v>
      </c>
      <c r="D9" s="3199">
        <v>-4</v>
      </c>
      <c r="E9" s="3199">
        <v>56.19</v>
      </c>
      <c r="F9" s="3199" t="s">
        <v>3524</v>
      </c>
      <c r="G9" s="3199"/>
      <c r="I9" s="3204" t="s">
        <v>21</v>
      </c>
      <c r="J9" s="3204">
        <f>SUM(E52:E86)</f>
        <v>38613.699999999997</v>
      </c>
    </row>
    <row r="10" spans="1:10" ht="16.2">
      <c r="A10" s="3196">
        <v>9</v>
      </c>
      <c r="B10" s="3196" t="s">
        <v>3628</v>
      </c>
      <c r="C10" s="3202" t="s">
        <v>3523</v>
      </c>
      <c r="D10" s="3202">
        <v>-4</v>
      </c>
      <c r="E10" s="3196">
        <v>48.03</v>
      </c>
      <c r="F10" s="3202" t="s">
        <v>3524</v>
      </c>
      <c r="G10" s="3202"/>
      <c r="I10" s="3204" t="s">
        <v>3643</v>
      </c>
      <c r="J10" s="3204">
        <f>SUM(E32,E42,E43,E44,E50)</f>
        <v>9319.9500000000007</v>
      </c>
    </row>
    <row r="11" spans="1:10" ht="16.2">
      <c r="A11" s="3196">
        <v>10</v>
      </c>
      <c r="B11" s="3196" t="s">
        <v>3629</v>
      </c>
      <c r="C11" s="3202" t="s">
        <v>3523</v>
      </c>
      <c r="D11" s="3202">
        <v>-4</v>
      </c>
      <c r="E11" s="3196">
        <v>48.03</v>
      </c>
      <c r="F11" s="3202" t="s">
        <v>3524</v>
      </c>
      <c r="G11" s="3202"/>
      <c r="I11" s="3204"/>
      <c r="J11" s="3204">
        <f>SUM(J7:J10)</f>
        <v>51096.2</v>
      </c>
    </row>
    <row r="12" spans="1:10" s="3200" customFormat="1" ht="16.2">
      <c r="A12" s="3198">
        <v>11</v>
      </c>
      <c r="B12" s="3198" t="s">
        <v>3530</v>
      </c>
      <c r="C12" s="3199" t="s">
        <v>3523</v>
      </c>
      <c r="D12" s="3199">
        <v>-4</v>
      </c>
      <c r="E12" s="3198">
        <v>48.03</v>
      </c>
      <c r="F12" s="3199" t="s">
        <v>3524</v>
      </c>
      <c r="G12" s="3199"/>
    </row>
    <row r="13" spans="1:10" s="3200" customFormat="1" ht="16.2">
      <c r="A13" s="3198">
        <v>12</v>
      </c>
      <c r="B13" s="3198" t="s">
        <v>3531</v>
      </c>
      <c r="C13" s="3199" t="s">
        <v>3523</v>
      </c>
      <c r="D13" s="3199">
        <v>-4</v>
      </c>
      <c r="E13" s="3198">
        <v>48.03</v>
      </c>
      <c r="F13" s="3199" t="s">
        <v>3524</v>
      </c>
      <c r="G13" s="3199"/>
    </row>
    <row r="14" spans="1:10" ht="16.2">
      <c r="A14" s="3196">
        <v>13</v>
      </c>
      <c r="B14" s="3196" t="s">
        <v>3630</v>
      </c>
      <c r="C14" s="3202" t="s">
        <v>3523</v>
      </c>
      <c r="D14" s="3202">
        <v>-4</v>
      </c>
      <c r="E14" s="3196">
        <v>48.03</v>
      </c>
      <c r="F14" s="3202" t="s">
        <v>3524</v>
      </c>
      <c r="G14" s="3202"/>
    </row>
    <row r="15" spans="1:10" ht="16.2">
      <c r="A15" s="3196">
        <v>14</v>
      </c>
      <c r="B15" s="3196" t="s">
        <v>3631</v>
      </c>
      <c r="C15" s="3202" t="s">
        <v>3523</v>
      </c>
      <c r="D15" s="3202">
        <v>-4</v>
      </c>
      <c r="E15" s="3196">
        <v>48.03</v>
      </c>
      <c r="F15" s="3202" t="s">
        <v>3524</v>
      </c>
      <c r="G15" s="3202"/>
    </row>
    <row r="16" spans="1:10" ht="16.2">
      <c r="A16" s="3196">
        <v>15</v>
      </c>
      <c r="B16" s="3196" t="s">
        <v>3632</v>
      </c>
      <c r="C16" s="3202" t="s">
        <v>3523</v>
      </c>
      <c r="D16" s="3202">
        <v>-4</v>
      </c>
      <c r="E16" s="3196">
        <v>51.11</v>
      </c>
      <c r="F16" s="3202" t="s">
        <v>3524</v>
      </c>
      <c r="G16" s="3202"/>
    </row>
    <row r="17" spans="1:7" ht="16.2">
      <c r="A17" s="3196">
        <v>16</v>
      </c>
      <c r="B17" s="3196" t="s">
        <v>3633</v>
      </c>
      <c r="C17" s="3202" t="s">
        <v>3523</v>
      </c>
      <c r="D17" s="3202">
        <v>-4</v>
      </c>
      <c r="E17" s="3196">
        <v>51.11</v>
      </c>
      <c r="F17" s="3202" t="s">
        <v>3524</v>
      </c>
      <c r="G17" s="3202"/>
    </row>
    <row r="18" spans="1:7" ht="16.2">
      <c r="A18" s="3196">
        <v>17</v>
      </c>
      <c r="B18" s="3196" t="s">
        <v>3634</v>
      </c>
      <c r="C18" s="3202" t="s">
        <v>3523</v>
      </c>
      <c r="D18" s="3202">
        <v>-4</v>
      </c>
      <c r="E18" s="3196">
        <v>48.03</v>
      </c>
      <c r="F18" s="3202" t="s">
        <v>3524</v>
      </c>
      <c r="G18" s="3202"/>
    </row>
    <row r="19" spans="1:7" s="3200" customFormat="1" ht="16.2">
      <c r="A19" s="3198">
        <v>18</v>
      </c>
      <c r="B19" s="3198" t="s">
        <v>3532</v>
      </c>
      <c r="C19" s="3199" t="s">
        <v>3523</v>
      </c>
      <c r="D19" s="3199">
        <v>-4</v>
      </c>
      <c r="E19" s="3198">
        <v>48.03</v>
      </c>
      <c r="F19" s="3199" t="s">
        <v>3524</v>
      </c>
      <c r="G19" s="3199"/>
    </row>
    <row r="20" spans="1:7" s="3200" customFormat="1" ht="16.2">
      <c r="A20" s="3198">
        <v>19</v>
      </c>
      <c r="B20" s="3198" t="s">
        <v>3533</v>
      </c>
      <c r="C20" s="3199" t="s">
        <v>3523</v>
      </c>
      <c r="D20" s="3199">
        <v>-4</v>
      </c>
      <c r="E20" s="3198">
        <v>48.03</v>
      </c>
      <c r="F20" s="3199" t="s">
        <v>3524</v>
      </c>
      <c r="G20" s="3199"/>
    </row>
    <row r="21" spans="1:7" ht="16.2">
      <c r="A21" s="3196">
        <v>20</v>
      </c>
      <c r="B21" s="3196" t="s">
        <v>3635</v>
      </c>
      <c r="C21" s="3202" t="s">
        <v>3523</v>
      </c>
      <c r="D21" s="3202">
        <v>-4</v>
      </c>
      <c r="E21" s="3196">
        <v>48.03</v>
      </c>
      <c r="F21" s="3202" t="s">
        <v>3524</v>
      </c>
      <c r="G21" s="3202"/>
    </row>
    <row r="22" spans="1:7" ht="16.2">
      <c r="A22" s="3196">
        <v>21</v>
      </c>
      <c r="B22" s="3196" t="s">
        <v>3636</v>
      </c>
      <c r="C22" s="3202" t="s">
        <v>3523</v>
      </c>
      <c r="D22" s="3202">
        <v>-4</v>
      </c>
      <c r="E22" s="3196">
        <v>48.03</v>
      </c>
      <c r="F22" s="3202" t="s">
        <v>3524</v>
      </c>
      <c r="G22" s="3202"/>
    </row>
    <row r="23" spans="1:7" s="3200" customFormat="1" ht="16.2">
      <c r="A23" s="3198">
        <v>22</v>
      </c>
      <c r="B23" s="3198" t="s">
        <v>3534</v>
      </c>
      <c r="C23" s="3199" t="s">
        <v>3523</v>
      </c>
      <c r="D23" s="3199">
        <v>-4</v>
      </c>
      <c r="E23" s="3198">
        <v>48.03</v>
      </c>
      <c r="F23" s="3199" t="s">
        <v>3524</v>
      </c>
      <c r="G23" s="3199"/>
    </row>
    <row r="24" spans="1:7" s="3200" customFormat="1" ht="16.2">
      <c r="A24" s="3198">
        <v>23</v>
      </c>
      <c r="B24" s="3198" t="s">
        <v>3535</v>
      </c>
      <c r="C24" s="3199" t="s">
        <v>3523</v>
      </c>
      <c r="D24" s="3199">
        <v>-4</v>
      </c>
      <c r="E24" s="3198">
        <v>49.31</v>
      </c>
      <c r="F24" s="3199" t="s">
        <v>3524</v>
      </c>
      <c r="G24" s="3199"/>
    </row>
    <row r="25" spans="1:7" s="3200" customFormat="1" ht="16.2">
      <c r="A25" s="3198">
        <v>24</v>
      </c>
      <c r="B25" s="3198" t="s">
        <v>3536</v>
      </c>
      <c r="C25" s="3199" t="s">
        <v>3523</v>
      </c>
      <c r="D25" s="3199">
        <v>-4</v>
      </c>
      <c r="E25" s="3198">
        <v>49.31</v>
      </c>
      <c r="F25" s="3199" t="s">
        <v>3524</v>
      </c>
      <c r="G25" s="3199"/>
    </row>
    <row r="26" spans="1:7" s="3200" customFormat="1" ht="16.2">
      <c r="A26" s="3198">
        <v>25</v>
      </c>
      <c r="B26" s="3198" t="s">
        <v>3537</v>
      </c>
      <c r="C26" s="3199" t="s">
        <v>3523</v>
      </c>
      <c r="D26" s="3199">
        <v>-4</v>
      </c>
      <c r="E26" s="3198">
        <v>49.31</v>
      </c>
      <c r="F26" s="3199" t="s">
        <v>3524</v>
      </c>
      <c r="G26" s="3199"/>
    </row>
    <row r="27" spans="1:7" s="3200" customFormat="1" ht="16.2">
      <c r="A27" s="3198">
        <v>26</v>
      </c>
      <c r="B27" s="3199" t="s">
        <v>3538</v>
      </c>
      <c r="C27" s="3199" t="s">
        <v>3523</v>
      </c>
      <c r="D27" s="3199">
        <v>-4</v>
      </c>
      <c r="E27" s="3199">
        <v>46.43</v>
      </c>
      <c r="F27" s="3199" t="s">
        <v>3524</v>
      </c>
      <c r="G27" s="3199"/>
    </row>
    <row r="28" spans="1:7" s="3200" customFormat="1" ht="16.2">
      <c r="A28" s="3198">
        <v>27</v>
      </c>
      <c r="B28" s="3199" t="s">
        <v>3539</v>
      </c>
      <c r="C28" s="3199" t="s">
        <v>3523</v>
      </c>
      <c r="D28" s="3199">
        <v>-4</v>
      </c>
      <c r="E28" s="3199">
        <v>46.43</v>
      </c>
      <c r="F28" s="3199" t="s">
        <v>3524</v>
      </c>
      <c r="G28" s="3199"/>
    </row>
    <row r="29" spans="1:7" s="3200" customFormat="1" ht="16.2">
      <c r="A29" s="3198">
        <v>28</v>
      </c>
      <c r="B29" s="3199" t="s">
        <v>3540</v>
      </c>
      <c r="C29" s="3199" t="s">
        <v>3523</v>
      </c>
      <c r="D29" s="3199">
        <v>-4</v>
      </c>
      <c r="E29" s="3199">
        <v>56.19</v>
      </c>
      <c r="F29" s="3199" t="s">
        <v>3524</v>
      </c>
      <c r="G29" s="3199"/>
    </row>
    <row r="30" spans="1:7" s="3200" customFormat="1" ht="16.2">
      <c r="A30" s="3198">
        <v>29</v>
      </c>
      <c r="B30" s="3199" t="s">
        <v>3541</v>
      </c>
      <c r="C30" s="3199" t="s">
        <v>3523</v>
      </c>
      <c r="D30" s="3199">
        <v>-4</v>
      </c>
      <c r="E30" s="3199">
        <v>56.19</v>
      </c>
      <c r="F30" s="3199" t="s">
        <v>3524</v>
      </c>
      <c r="G30" s="3199"/>
    </row>
    <row r="31" spans="1:7" s="3200" customFormat="1" ht="16.2">
      <c r="A31" s="3198">
        <v>30</v>
      </c>
      <c r="B31" s="3199" t="s">
        <v>3542</v>
      </c>
      <c r="C31" s="3199" t="s">
        <v>3523</v>
      </c>
      <c r="D31" s="3199">
        <v>-4</v>
      </c>
      <c r="E31" s="3199">
        <v>56.19</v>
      </c>
      <c r="F31" s="3199" t="s">
        <v>3524</v>
      </c>
      <c r="G31" s="3199"/>
    </row>
    <row r="32" spans="1:7" s="3200" customFormat="1" ht="16.2">
      <c r="A32" s="3198">
        <v>31</v>
      </c>
      <c r="B32" s="3199" t="s">
        <v>3543</v>
      </c>
      <c r="C32" s="3199" t="s">
        <v>3523</v>
      </c>
      <c r="D32" s="3199">
        <v>-4</v>
      </c>
      <c r="E32" s="3199">
        <v>133.63</v>
      </c>
      <c r="F32" s="3199" t="s">
        <v>21</v>
      </c>
      <c r="G32" s="3199"/>
    </row>
    <row r="33" spans="1:7" s="3200" customFormat="1" ht="16.2">
      <c r="A33" s="3198">
        <v>32</v>
      </c>
      <c r="B33" s="3199" t="s">
        <v>3544</v>
      </c>
      <c r="C33" s="3199" t="s">
        <v>3523</v>
      </c>
      <c r="D33" s="3199">
        <v>-3</v>
      </c>
      <c r="E33" s="3199">
        <v>56.19</v>
      </c>
      <c r="F33" s="3199" t="s">
        <v>3524</v>
      </c>
      <c r="G33" s="3199"/>
    </row>
    <row r="34" spans="1:7" s="3200" customFormat="1" ht="16.2">
      <c r="A34" s="3198">
        <v>33</v>
      </c>
      <c r="B34" s="3199" t="s">
        <v>3545</v>
      </c>
      <c r="C34" s="3199" t="s">
        <v>3523</v>
      </c>
      <c r="D34" s="3199">
        <v>-3</v>
      </c>
      <c r="E34" s="3199">
        <v>56.19</v>
      </c>
      <c r="F34" s="3199" t="s">
        <v>3524</v>
      </c>
      <c r="G34" s="3199"/>
    </row>
    <row r="35" spans="1:7" s="3200" customFormat="1" ht="16.2">
      <c r="A35" s="3198">
        <v>34</v>
      </c>
      <c r="B35" s="3199" t="s">
        <v>3546</v>
      </c>
      <c r="C35" s="3199" t="s">
        <v>3523</v>
      </c>
      <c r="D35" s="3199">
        <v>-3</v>
      </c>
      <c r="E35" s="3199">
        <v>56.19</v>
      </c>
      <c r="F35" s="3199" t="s">
        <v>3524</v>
      </c>
      <c r="G35" s="3199"/>
    </row>
    <row r="36" spans="1:7" s="3200" customFormat="1" ht="16.2">
      <c r="A36" s="3198">
        <v>35</v>
      </c>
      <c r="B36" s="3199" t="s">
        <v>3547</v>
      </c>
      <c r="C36" s="3199" t="s">
        <v>3523</v>
      </c>
      <c r="D36" s="3199">
        <v>-3</v>
      </c>
      <c r="E36" s="3199">
        <v>55.23</v>
      </c>
      <c r="F36" s="3199" t="s">
        <v>3524</v>
      </c>
      <c r="G36" s="3199"/>
    </row>
    <row r="37" spans="1:7" s="3200" customFormat="1" ht="16.2">
      <c r="A37" s="3198">
        <v>36</v>
      </c>
      <c r="B37" s="3199" t="s">
        <v>3548</v>
      </c>
      <c r="C37" s="3199" t="s">
        <v>3523</v>
      </c>
      <c r="D37" s="3199">
        <v>-3</v>
      </c>
      <c r="E37" s="3199">
        <v>52.75</v>
      </c>
      <c r="F37" s="3199" t="s">
        <v>3524</v>
      </c>
      <c r="G37" s="3199"/>
    </row>
    <row r="38" spans="1:7" ht="16.2">
      <c r="A38" s="3196">
        <v>37</v>
      </c>
      <c r="B38" s="3202" t="s">
        <v>3637</v>
      </c>
      <c r="C38" s="3202" t="s">
        <v>3523</v>
      </c>
      <c r="D38" s="3202">
        <v>-3</v>
      </c>
      <c r="E38" s="3202">
        <v>41.42</v>
      </c>
      <c r="F38" s="3202" t="s">
        <v>3524</v>
      </c>
      <c r="G38" s="3202"/>
    </row>
    <row r="39" spans="1:7" ht="16.2">
      <c r="A39" s="3196">
        <v>38</v>
      </c>
      <c r="B39" s="3202" t="s">
        <v>3638</v>
      </c>
      <c r="C39" s="3202" t="s">
        <v>3523</v>
      </c>
      <c r="D39" s="3202">
        <v>-3</v>
      </c>
      <c r="E39" s="3202">
        <v>41.42</v>
      </c>
      <c r="F39" s="3202" t="s">
        <v>3524</v>
      </c>
      <c r="G39" s="3202"/>
    </row>
    <row r="40" spans="1:7" ht="16.2">
      <c r="A40" s="3196">
        <v>39</v>
      </c>
      <c r="B40" s="3202" t="s">
        <v>3639</v>
      </c>
      <c r="C40" s="3202" t="s">
        <v>3523</v>
      </c>
      <c r="D40" s="3202">
        <v>-3</v>
      </c>
      <c r="E40" s="3202">
        <v>41.42</v>
      </c>
      <c r="F40" s="3202" t="s">
        <v>3524</v>
      </c>
      <c r="G40" s="3202"/>
    </row>
    <row r="41" spans="1:7" s="3200" customFormat="1" ht="16.2">
      <c r="A41" s="3198">
        <v>40</v>
      </c>
      <c r="B41" s="3199" t="s">
        <v>3549</v>
      </c>
      <c r="C41" s="3199" t="s">
        <v>3523</v>
      </c>
      <c r="D41" s="3199">
        <v>-3</v>
      </c>
      <c r="E41" s="3199">
        <v>52.83</v>
      </c>
      <c r="F41" s="3199" t="s">
        <v>3524</v>
      </c>
      <c r="G41" s="3199"/>
    </row>
    <row r="42" spans="1:7" s="3200" customFormat="1" ht="16.2">
      <c r="A42" s="3198">
        <v>41</v>
      </c>
      <c r="B42" s="3199" t="s">
        <v>3543</v>
      </c>
      <c r="C42" s="3199" t="s">
        <v>3523</v>
      </c>
      <c r="D42" s="3199">
        <v>-3</v>
      </c>
      <c r="E42" s="3199">
        <v>288.42</v>
      </c>
      <c r="F42" s="3199" t="s">
        <v>21</v>
      </c>
      <c r="G42" s="3199"/>
    </row>
    <row r="43" spans="1:7" s="3200" customFormat="1" ht="16.2">
      <c r="A43" s="3198">
        <v>42</v>
      </c>
      <c r="B43" s="3199" t="s">
        <v>3550</v>
      </c>
      <c r="C43" s="3199" t="s">
        <v>3523</v>
      </c>
      <c r="D43" s="3199">
        <v>-2</v>
      </c>
      <c r="E43" s="3199">
        <v>2454.33</v>
      </c>
      <c r="F43" s="3199" t="s">
        <v>21</v>
      </c>
      <c r="G43" s="3199"/>
    </row>
    <row r="44" spans="1:7" s="3200" customFormat="1" ht="16.2">
      <c r="A44" s="3198">
        <v>43</v>
      </c>
      <c r="B44" s="3199" t="s">
        <v>3543</v>
      </c>
      <c r="C44" s="3199" t="s">
        <v>3523</v>
      </c>
      <c r="D44" s="3199">
        <v>-2</v>
      </c>
      <c r="E44" s="3199">
        <v>252.1</v>
      </c>
      <c r="F44" s="3199" t="s">
        <v>21</v>
      </c>
      <c r="G44" s="3199"/>
    </row>
    <row r="45" spans="1:7" s="3200" customFormat="1" ht="16.2">
      <c r="A45" s="3198">
        <v>44</v>
      </c>
      <c r="B45" s="3199" t="s">
        <v>3551</v>
      </c>
      <c r="C45" s="3199" t="s">
        <v>3523</v>
      </c>
      <c r="D45" s="3199">
        <v>-1</v>
      </c>
      <c r="E45" s="3199">
        <v>49.47</v>
      </c>
      <c r="F45" s="3199" t="s">
        <v>3524</v>
      </c>
      <c r="G45" s="3199"/>
    </row>
    <row r="46" spans="1:7" s="3200" customFormat="1" ht="16.2">
      <c r="A46" s="3198">
        <v>45</v>
      </c>
      <c r="B46" s="3199" t="s">
        <v>3552</v>
      </c>
      <c r="C46" s="3199" t="s">
        <v>3523</v>
      </c>
      <c r="D46" s="3199">
        <v>-1</v>
      </c>
      <c r="E46" s="3199">
        <v>49.47</v>
      </c>
      <c r="F46" s="3199" t="s">
        <v>3524</v>
      </c>
      <c r="G46" s="3199"/>
    </row>
    <row r="47" spans="1:7" s="3200" customFormat="1" ht="16.2">
      <c r="A47" s="3198">
        <v>46</v>
      </c>
      <c r="B47" s="3199" t="s">
        <v>3553</v>
      </c>
      <c r="C47" s="3199" t="s">
        <v>3523</v>
      </c>
      <c r="D47" s="3199">
        <v>-1</v>
      </c>
      <c r="E47" s="3199">
        <v>52.27</v>
      </c>
      <c r="F47" s="3199" t="s">
        <v>3524</v>
      </c>
      <c r="G47" s="3199"/>
    </row>
    <row r="48" spans="1:7" s="3200" customFormat="1" ht="16.2">
      <c r="A48" s="3198">
        <v>47</v>
      </c>
      <c r="B48" s="3199" t="s">
        <v>3554</v>
      </c>
      <c r="C48" s="3199" t="s">
        <v>3523</v>
      </c>
      <c r="D48" s="3199">
        <v>-1</v>
      </c>
      <c r="E48" s="3199">
        <v>52.27</v>
      </c>
      <c r="F48" s="3199" t="s">
        <v>3524</v>
      </c>
      <c r="G48" s="3199"/>
    </row>
    <row r="49" spans="1:7" s="3200" customFormat="1" ht="16.2">
      <c r="A49" s="3198">
        <v>48</v>
      </c>
      <c r="B49" s="3199" t="s">
        <v>3555</v>
      </c>
      <c r="C49" s="3199" t="s">
        <v>3523</v>
      </c>
      <c r="D49" s="3199">
        <v>-1</v>
      </c>
      <c r="E49" s="3199">
        <v>52.27</v>
      </c>
      <c r="F49" s="3199" t="s">
        <v>3524</v>
      </c>
      <c r="G49" s="3199"/>
    </row>
    <row r="50" spans="1:7" s="3200" customFormat="1" ht="16.2">
      <c r="A50" s="3198">
        <v>49</v>
      </c>
      <c r="B50" s="3199" t="s">
        <v>3556</v>
      </c>
      <c r="C50" s="3199" t="s">
        <v>3523</v>
      </c>
      <c r="D50" s="3199" t="s">
        <v>3557</v>
      </c>
      <c r="E50" s="3199">
        <v>6191.47</v>
      </c>
      <c r="F50" s="3199" t="s">
        <v>3558</v>
      </c>
      <c r="G50" s="3199"/>
    </row>
    <row r="51" spans="1:7" s="3200" customFormat="1" ht="16.2">
      <c r="A51" s="3198">
        <v>50</v>
      </c>
      <c r="B51" s="3199" t="s">
        <v>3640</v>
      </c>
      <c r="C51" s="3199" t="s">
        <v>3523</v>
      </c>
      <c r="D51" s="3199" t="s">
        <v>3557</v>
      </c>
      <c r="E51" s="3199">
        <v>954.3</v>
      </c>
      <c r="F51" s="3199" t="s">
        <v>3524</v>
      </c>
      <c r="G51" s="3199"/>
    </row>
    <row r="52" spans="1:7" s="3200" customFormat="1" ht="16.2">
      <c r="A52" s="3198">
        <v>51</v>
      </c>
      <c r="B52" s="3199" t="s">
        <v>3559</v>
      </c>
      <c r="C52" s="3199" t="s">
        <v>3523</v>
      </c>
      <c r="D52" s="3199" t="s">
        <v>3560</v>
      </c>
      <c r="E52" s="3199">
        <v>768.77</v>
      </c>
      <c r="F52" s="3199" t="s">
        <v>3558</v>
      </c>
      <c r="G52" s="3199"/>
    </row>
    <row r="53" spans="1:7" s="3200" customFormat="1" ht="16.2">
      <c r="A53" s="3198">
        <v>52</v>
      </c>
      <c r="B53" s="3199" t="s">
        <v>3561</v>
      </c>
      <c r="C53" s="3199" t="s">
        <v>3523</v>
      </c>
      <c r="D53" s="3199" t="s">
        <v>3560</v>
      </c>
      <c r="E53" s="3199">
        <v>765.34</v>
      </c>
      <c r="F53" s="3199" t="s">
        <v>3558</v>
      </c>
      <c r="G53" s="3199"/>
    </row>
    <row r="54" spans="1:7" s="3200" customFormat="1" ht="16.2">
      <c r="A54" s="3198">
        <v>53</v>
      </c>
      <c r="B54" s="3199" t="s">
        <v>3562</v>
      </c>
      <c r="C54" s="3199" t="s">
        <v>3523</v>
      </c>
      <c r="D54" s="3199" t="s">
        <v>3563</v>
      </c>
      <c r="E54" s="3199">
        <v>1277.56</v>
      </c>
      <c r="F54" s="3199" t="s">
        <v>3558</v>
      </c>
      <c r="G54" s="3199"/>
    </row>
    <row r="55" spans="1:7" s="3200" customFormat="1" ht="16.2">
      <c r="A55" s="3198">
        <v>54</v>
      </c>
      <c r="B55" s="3199" t="s">
        <v>3564</v>
      </c>
      <c r="C55" s="3199" t="s">
        <v>3523</v>
      </c>
      <c r="D55" s="3199" t="s">
        <v>3563</v>
      </c>
      <c r="E55" s="3199">
        <v>1271.8499999999999</v>
      </c>
      <c r="F55" s="3199" t="s">
        <v>3558</v>
      </c>
      <c r="G55" s="3199"/>
    </row>
    <row r="56" spans="1:7" s="3200" customFormat="1" ht="16.2">
      <c r="A56" s="3198">
        <v>55</v>
      </c>
      <c r="B56" s="3199" t="s">
        <v>3565</v>
      </c>
      <c r="C56" s="3199" t="s">
        <v>3523</v>
      </c>
      <c r="D56" s="3199" t="s">
        <v>3566</v>
      </c>
      <c r="E56" s="3199">
        <v>1339.77</v>
      </c>
      <c r="F56" s="3199" t="s">
        <v>3558</v>
      </c>
      <c r="G56" s="3199"/>
    </row>
    <row r="57" spans="1:7" s="3200" customFormat="1" ht="16.2">
      <c r="A57" s="3198">
        <v>56</v>
      </c>
      <c r="B57" s="3199" t="s">
        <v>3567</v>
      </c>
      <c r="C57" s="3199" t="s">
        <v>3523</v>
      </c>
      <c r="D57" s="3199" t="s">
        <v>3566</v>
      </c>
      <c r="E57" s="3199">
        <v>752.45</v>
      </c>
      <c r="F57" s="3199" t="s">
        <v>3558</v>
      </c>
      <c r="G57" s="3199"/>
    </row>
    <row r="58" spans="1:7" s="3200" customFormat="1" ht="16.2">
      <c r="A58" s="3198">
        <v>57</v>
      </c>
      <c r="B58" s="3199" t="s">
        <v>3568</v>
      </c>
      <c r="C58" s="3199" t="s">
        <v>3523</v>
      </c>
      <c r="D58" s="3199" t="s">
        <v>3566</v>
      </c>
      <c r="E58" s="3199">
        <v>209.35</v>
      </c>
      <c r="F58" s="3199" t="s">
        <v>3558</v>
      </c>
      <c r="G58" s="3199"/>
    </row>
    <row r="59" spans="1:7" s="3200" customFormat="1" ht="16.2">
      <c r="A59" s="3198">
        <v>58</v>
      </c>
      <c r="B59" s="3199" t="s">
        <v>3569</v>
      </c>
      <c r="C59" s="3199" t="s">
        <v>3523</v>
      </c>
      <c r="D59" s="3199" t="s">
        <v>3566</v>
      </c>
      <c r="E59" s="3199">
        <v>159.63</v>
      </c>
      <c r="F59" s="3199" t="s">
        <v>3558</v>
      </c>
      <c r="G59" s="3199"/>
    </row>
    <row r="60" spans="1:7" ht="16.2">
      <c r="A60" s="3196">
        <v>59</v>
      </c>
      <c r="B60" s="3202" t="s">
        <v>3641</v>
      </c>
      <c r="C60" s="3202" t="s">
        <v>3523</v>
      </c>
      <c r="D60" s="3202" t="s">
        <v>3566</v>
      </c>
      <c r="E60" s="3202">
        <v>212.36</v>
      </c>
      <c r="F60" s="3202" t="s">
        <v>3558</v>
      </c>
      <c r="G60" s="3202"/>
    </row>
    <row r="61" spans="1:7" s="3200" customFormat="1" ht="16.2">
      <c r="A61" s="3198">
        <v>60</v>
      </c>
      <c r="B61" s="3199" t="s">
        <v>3570</v>
      </c>
      <c r="C61" s="3199" t="s">
        <v>3523</v>
      </c>
      <c r="D61" s="3199" t="s">
        <v>3571</v>
      </c>
      <c r="E61" s="3199">
        <v>1337.53</v>
      </c>
      <c r="F61" s="3199" t="s">
        <v>3558</v>
      </c>
      <c r="G61" s="3199"/>
    </row>
    <row r="62" spans="1:7" s="3200" customFormat="1" ht="16.2">
      <c r="A62" s="3198">
        <v>61</v>
      </c>
      <c r="B62" s="3199" t="s">
        <v>3572</v>
      </c>
      <c r="C62" s="3199" t="s">
        <v>3523</v>
      </c>
      <c r="D62" s="3199" t="s">
        <v>3573</v>
      </c>
      <c r="E62" s="3199">
        <v>1337.53</v>
      </c>
      <c r="F62" s="3199" t="s">
        <v>3558</v>
      </c>
      <c r="G62" s="3199"/>
    </row>
    <row r="63" spans="1:7" s="3200" customFormat="1" ht="16.2">
      <c r="A63" s="3198">
        <v>62</v>
      </c>
      <c r="B63" s="3199" t="s">
        <v>3574</v>
      </c>
      <c r="C63" s="3199" t="s">
        <v>3523</v>
      </c>
      <c r="D63" s="3199" t="s">
        <v>3575</v>
      </c>
      <c r="E63" s="3199">
        <v>1339.66</v>
      </c>
      <c r="F63" s="3199" t="s">
        <v>3558</v>
      </c>
      <c r="G63" s="3199"/>
    </row>
    <row r="64" spans="1:7" s="3200" customFormat="1" ht="16.2">
      <c r="A64" s="3198">
        <v>63</v>
      </c>
      <c r="B64" s="3199" t="s">
        <v>3576</v>
      </c>
      <c r="C64" s="3199" t="s">
        <v>3523</v>
      </c>
      <c r="D64" s="3199" t="s">
        <v>3577</v>
      </c>
      <c r="E64" s="3199">
        <v>1339.66</v>
      </c>
      <c r="F64" s="3199" t="s">
        <v>3558</v>
      </c>
      <c r="G64" s="3199"/>
    </row>
    <row r="65" spans="1:7" s="3200" customFormat="1" ht="16.2">
      <c r="A65" s="3198">
        <v>64</v>
      </c>
      <c r="B65" s="3199" t="s">
        <v>3578</v>
      </c>
      <c r="C65" s="3199" t="s">
        <v>3523</v>
      </c>
      <c r="D65" s="3199" t="s">
        <v>3579</v>
      </c>
      <c r="E65" s="3199">
        <v>1339.66</v>
      </c>
      <c r="F65" s="3199" t="s">
        <v>3558</v>
      </c>
      <c r="G65" s="3199"/>
    </row>
    <row r="66" spans="1:7" s="3200" customFormat="1" ht="16.2">
      <c r="A66" s="3198">
        <v>65</v>
      </c>
      <c r="B66" s="3199" t="s">
        <v>3580</v>
      </c>
      <c r="C66" s="3199" t="s">
        <v>3523</v>
      </c>
      <c r="D66" s="3199" t="s">
        <v>3581</v>
      </c>
      <c r="E66" s="3199">
        <v>1339.66</v>
      </c>
      <c r="F66" s="3199" t="s">
        <v>3558</v>
      </c>
      <c r="G66" s="3199"/>
    </row>
    <row r="67" spans="1:7" s="3200" customFormat="1" ht="16.2">
      <c r="A67" s="3198">
        <v>66</v>
      </c>
      <c r="B67" s="3199" t="s">
        <v>3582</v>
      </c>
      <c r="C67" s="3199" t="s">
        <v>3523</v>
      </c>
      <c r="D67" s="3199" t="s">
        <v>3583</v>
      </c>
      <c r="E67" s="3199">
        <v>1339.66</v>
      </c>
      <c r="F67" s="3199" t="s">
        <v>3558</v>
      </c>
      <c r="G67" s="3199"/>
    </row>
    <row r="68" spans="1:7" s="3200" customFormat="1" ht="16.2">
      <c r="A68" s="3198">
        <v>67</v>
      </c>
      <c r="B68" s="3199" t="s">
        <v>3584</v>
      </c>
      <c r="C68" s="3199" t="s">
        <v>3523</v>
      </c>
      <c r="D68" s="3199" t="s">
        <v>3585</v>
      </c>
      <c r="E68" s="3199">
        <v>962.57</v>
      </c>
      <c r="F68" s="3199" t="s">
        <v>3558</v>
      </c>
      <c r="G68" s="3199"/>
    </row>
    <row r="69" spans="1:7" s="3200" customFormat="1" ht="16.2">
      <c r="A69" s="3198">
        <v>68</v>
      </c>
      <c r="B69" s="3199" t="s">
        <v>3586</v>
      </c>
      <c r="C69" s="3199" t="s">
        <v>3523</v>
      </c>
      <c r="D69" s="3199" t="s">
        <v>3585</v>
      </c>
      <c r="E69" s="3199">
        <v>958.26</v>
      </c>
      <c r="F69" s="3199" t="s">
        <v>3558</v>
      </c>
      <c r="G69" s="3199"/>
    </row>
    <row r="70" spans="1:7" s="3200" customFormat="1" ht="16.2">
      <c r="A70" s="3198">
        <v>69</v>
      </c>
      <c r="B70" s="3199" t="s">
        <v>3587</v>
      </c>
      <c r="C70" s="3199" t="s">
        <v>3523</v>
      </c>
      <c r="D70" s="3199" t="s">
        <v>3588</v>
      </c>
      <c r="E70" s="3199">
        <v>1341.35</v>
      </c>
      <c r="F70" s="3199" t="s">
        <v>3558</v>
      </c>
      <c r="G70" s="3199"/>
    </row>
    <row r="71" spans="1:7" s="3200" customFormat="1" ht="16.2">
      <c r="A71" s="3198">
        <v>70</v>
      </c>
      <c r="B71" s="3199" t="s">
        <v>3589</v>
      </c>
      <c r="C71" s="3199" t="s">
        <v>3523</v>
      </c>
      <c r="D71" s="3199" t="s">
        <v>3590</v>
      </c>
      <c r="E71" s="3199">
        <v>1350.91</v>
      </c>
      <c r="F71" s="3199" t="s">
        <v>3558</v>
      </c>
      <c r="G71" s="3199"/>
    </row>
    <row r="72" spans="1:7" s="3200" customFormat="1" ht="16.2">
      <c r="A72" s="3198">
        <v>71</v>
      </c>
      <c r="B72" s="3199" t="s">
        <v>3591</v>
      </c>
      <c r="C72" s="3199" t="s">
        <v>3523</v>
      </c>
      <c r="D72" s="3199" t="s">
        <v>3592</v>
      </c>
      <c r="E72" s="3199">
        <v>1371.11</v>
      </c>
      <c r="F72" s="3199" t="s">
        <v>3558</v>
      </c>
      <c r="G72" s="3199"/>
    </row>
    <row r="73" spans="1:7" s="3200" customFormat="1" ht="16.2">
      <c r="A73" s="3198">
        <v>72</v>
      </c>
      <c r="B73" s="3199" t="s">
        <v>3593</v>
      </c>
      <c r="C73" s="3199" t="s">
        <v>3523</v>
      </c>
      <c r="D73" s="3199" t="s">
        <v>3594</v>
      </c>
      <c r="E73" s="3199">
        <v>1371.11</v>
      </c>
      <c r="F73" s="3199" t="s">
        <v>3558</v>
      </c>
      <c r="G73" s="3199"/>
    </row>
    <row r="74" spans="1:7" s="3200" customFormat="1" ht="16.2">
      <c r="A74" s="3198">
        <v>73</v>
      </c>
      <c r="B74" s="3199" t="s">
        <v>3595</v>
      </c>
      <c r="C74" s="3199" t="s">
        <v>3523</v>
      </c>
      <c r="D74" s="3199" t="s">
        <v>3596</v>
      </c>
      <c r="E74" s="3199">
        <v>1373.43</v>
      </c>
      <c r="F74" s="3199" t="s">
        <v>3558</v>
      </c>
      <c r="G74" s="3199"/>
    </row>
    <row r="75" spans="1:7" s="3200" customFormat="1" ht="16.2">
      <c r="A75" s="3198">
        <v>74</v>
      </c>
      <c r="B75" s="3199" t="s">
        <v>3597</v>
      </c>
      <c r="C75" s="3199" t="s">
        <v>3523</v>
      </c>
      <c r="D75" s="3199" t="s">
        <v>3598</v>
      </c>
      <c r="E75" s="3199">
        <v>1373.43</v>
      </c>
      <c r="F75" s="3199" t="s">
        <v>3558</v>
      </c>
      <c r="G75" s="3199"/>
    </row>
    <row r="76" spans="1:7" s="3200" customFormat="1" ht="16.2">
      <c r="A76" s="3198">
        <v>75</v>
      </c>
      <c r="B76" s="3199" t="s">
        <v>3599</v>
      </c>
      <c r="C76" s="3199" t="s">
        <v>3523</v>
      </c>
      <c r="D76" s="3199" t="s">
        <v>3600</v>
      </c>
      <c r="E76" s="3199">
        <v>1373.43</v>
      </c>
      <c r="F76" s="3199" t="s">
        <v>3558</v>
      </c>
      <c r="G76" s="3199" t="s">
        <v>2821</v>
      </c>
    </row>
    <row r="77" spans="1:7" s="3200" customFormat="1" ht="16.2">
      <c r="A77" s="3198">
        <v>76</v>
      </c>
      <c r="B77" s="3199" t="s">
        <v>3601</v>
      </c>
      <c r="C77" s="3199" t="s">
        <v>3523</v>
      </c>
      <c r="D77" s="3199" t="s">
        <v>3602</v>
      </c>
      <c r="E77" s="3199">
        <v>1373.43</v>
      </c>
      <c r="F77" s="3199" t="s">
        <v>3558</v>
      </c>
      <c r="G77" s="3199"/>
    </row>
    <row r="78" spans="1:7" s="3200" customFormat="1" ht="16.2">
      <c r="A78" s="3198">
        <v>77</v>
      </c>
      <c r="B78" s="3199" t="s">
        <v>3603</v>
      </c>
      <c r="C78" s="3199" t="s">
        <v>3523</v>
      </c>
      <c r="D78" s="3199">
        <v>27</v>
      </c>
      <c r="E78" s="3199">
        <v>1373.43</v>
      </c>
      <c r="F78" s="3199" t="s">
        <v>3558</v>
      </c>
      <c r="G78" s="3199"/>
    </row>
    <row r="79" spans="1:7" s="3200" customFormat="1" ht="16.2">
      <c r="A79" s="3198">
        <v>78</v>
      </c>
      <c r="B79" s="3199" t="s">
        <v>3604</v>
      </c>
      <c r="C79" s="3199" t="s">
        <v>3523</v>
      </c>
      <c r="D79" s="3199">
        <v>28</v>
      </c>
      <c r="E79" s="3199">
        <v>1329.84</v>
      </c>
      <c r="F79" s="3199" t="s">
        <v>3558</v>
      </c>
      <c r="G79" s="3199"/>
    </row>
    <row r="80" spans="1:7" s="3200" customFormat="1" ht="16.2">
      <c r="A80" s="3198">
        <v>79</v>
      </c>
      <c r="B80" s="3199" t="s">
        <v>3605</v>
      </c>
      <c r="C80" s="3199" t="s">
        <v>3523</v>
      </c>
      <c r="D80" s="3199">
        <v>29</v>
      </c>
      <c r="E80" s="3199">
        <v>1329.84</v>
      </c>
      <c r="F80" s="3199" t="s">
        <v>3558</v>
      </c>
      <c r="G80" s="3199"/>
    </row>
    <row r="81" spans="1:7" s="3200" customFormat="1" ht="16.2">
      <c r="A81" s="3198">
        <v>80</v>
      </c>
      <c r="B81" s="3199" t="s">
        <v>3606</v>
      </c>
      <c r="C81" s="3199" t="s">
        <v>3523</v>
      </c>
      <c r="D81" s="3199">
        <v>30</v>
      </c>
      <c r="E81" s="3199">
        <v>1340.78</v>
      </c>
      <c r="F81" s="3199" t="s">
        <v>3558</v>
      </c>
      <c r="G81" s="3199" t="s">
        <v>3642</v>
      </c>
    </row>
    <row r="82" spans="1:7" s="3200" customFormat="1" ht="16.2">
      <c r="A82" s="3198">
        <v>81</v>
      </c>
      <c r="B82" s="3199" t="s">
        <v>3607</v>
      </c>
      <c r="C82" s="3199" t="s">
        <v>3523</v>
      </c>
      <c r="D82" s="3199">
        <v>30</v>
      </c>
      <c r="E82" s="3199">
        <v>1329.84</v>
      </c>
      <c r="F82" s="3199" t="s">
        <v>3558</v>
      </c>
      <c r="G82" s="3199"/>
    </row>
    <row r="83" spans="1:7" s="3200" customFormat="1" ht="16.2">
      <c r="A83" s="3198">
        <v>82</v>
      </c>
      <c r="B83" s="3199" t="s">
        <v>3608</v>
      </c>
      <c r="C83" s="3199" t="s">
        <v>3523</v>
      </c>
      <c r="D83" s="3199">
        <v>31</v>
      </c>
      <c r="E83" s="3199">
        <v>673.62</v>
      </c>
      <c r="F83" s="3199" t="s">
        <v>3558</v>
      </c>
      <c r="G83" s="3199"/>
    </row>
    <row r="84" spans="1:7" s="3200" customFormat="1" ht="16.2">
      <c r="A84" s="3198">
        <v>83</v>
      </c>
      <c r="B84" s="3199" t="s">
        <v>3609</v>
      </c>
      <c r="C84" s="3199" t="s">
        <v>3523</v>
      </c>
      <c r="D84" s="3199">
        <v>31</v>
      </c>
      <c r="E84" s="3199">
        <v>1324.65</v>
      </c>
      <c r="F84" s="3199" t="s">
        <v>3558</v>
      </c>
      <c r="G84" s="3199"/>
    </row>
    <row r="85" spans="1:7" s="3200" customFormat="1" ht="16.2">
      <c r="A85" s="3198">
        <v>84</v>
      </c>
      <c r="B85" s="3199" t="s">
        <v>3610</v>
      </c>
      <c r="C85" s="3199" t="s">
        <v>3523</v>
      </c>
      <c r="D85" s="3199">
        <v>32</v>
      </c>
      <c r="E85" s="3199">
        <v>449.36</v>
      </c>
      <c r="F85" s="3199" t="s">
        <v>3558</v>
      </c>
      <c r="G85" s="3199"/>
    </row>
    <row r="86" spans="1:7" s="3200" customFormat="1" ht="16.2">
      <c r="A86" s="3198">
        <v>85</v>
      </c>
      <c r="B86" s="3199" t="s">
        <v>3611</v>
      </c>
      <c r="C86" s="3199" t="s">
        <v>3523</v>
      </c>
      <c r="D86" s="3199">
        <v>32</v>
      </c>
      <c r="E86" s="3199">
        <v>482.87</v>
      </c>
      <c r="F86" s="3199" t="s">
        <v>3558</v>
      </c>
      <c r="G86" s="3199"/>
    </row>
    <row r="87" spans="1:7" ht="16.2">
      <c r="A87" s="3202"/>
      <c r="B87" s="3202" t="s">
        <v>3612</v>
      </c>
      <c r="C87" s="3202"/>
      <c r="D87" s="3202"/>
      <c r="E87" s="3202">
        <f>SUM(E2:E86)</f>
        <v>51096.2</v>
      </c>
      <c r="F87" s="3202"/>
      <c r="G87" s="3202"/>
    </row>
    <row r="88" spans="1:7">
      <c r="E88" s="3203">
        <f>SUM(E5,E6,E10,E11,E14,E15,E16,E17,E18,E21,E22,E38,E39,E40,E60)</f>
        <v>874.70999999999981</v>
      </c>
    </row>
    <row r="89" spans="1:7">
      <c r="E89" s="3203">
        <f>E51</f>
        <v>954.3</v>
      </c>
    </row>
    <row r="90" spans="1:7">
      <c r="E90" s="3203">
        <f>E87-E88-E89</f>
        <v>49267.189999999995</v>
      </c>
    </row>
  </sheetData>
  <autoFilter ref="A1:G88" xr:uid="{00000000-0009-0000-0000-00000C000000}"/>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4" t="s">
        <v>1131</v>
      </c>
      <c r="B2" s="3294"/>
      <c r="C2" s="3294"/>
      <c r="D2" s="748" t="s">
        <v>1107</v>
      </c>
      <c r="E2" s="1523" t="s">
        <v>1108</v>
      </c>
      <c r="F2" s="2437"/>
      <c r="G2" s="2430"/>
      <c r="H2" s="2431"/>
      <c r="I2" s="2146" t="s">
        <v>1132</v>
      </c>
      <c r="J2" s="2437"/>
      <c r="K2" s="2437"/>
      <c r="L2" s="2437"/>
      <c r="M2" s="2437"/>
      <c r="N2" s="2438"/>
      <c r="O2" s="2437"/>
      <c r="P2" s="2437"/>
    </row>
    <row r="3" spans="1:16" ht="15" thickBot="1">
      <c r="A3" s="3295" t="s">
        <v>1105</v>
      </c>
      <c r="B3" s="3295"/>
      <c r="C3" s="3295"/>
      <c r="D3" s="41">
        <f>'数据-基础表'!AY6</f>
        <v>3497.08</v>
      </c>
      <c r="E3" s="41">
        <f>'数据-基础表'!AZ5</f>
        <v>49267.189999999995</v>
      </c>
      <c r="F3" s="2437"/>
      <c r="G3" s="42"/>
      <c r="H3" s="43" t="s">
        <v>1106</v>
      </c>
      <c r="I3" s="802" t="e">
        <f>ROUND('数据-基础表'!B3/'数据-基础表'!A3,2)</f>
        <v>#DIV/0!</v>
      </c>
      <c r="J3" s="2437"/>
      <c r="K3" s="2437"/>
      <c r="L3" s="2437"/>
      <c r="M3" s="2437"/>
      <c r="N3" s="2438"/>
      <c r="O3" s="2437"/>
      <c r="P3" s="2437"/>
    </row>
    <row r="4" spans="1:16" ht="14.4">
      <c r="A4" s="3296"/>
      <c r="B4" s="3297"/>
      <c r="C4" s="329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99" t="s">
        <v>1110</v>
      </c>
      <c r="C5" s="3299"/>
      <c r="D5" s="43">
        <f>ROUND($D$3*E5/$E$3,2)</f>
        <v>0</v>
      </c>
      <c r="E5" s="44">
        <f>SUMIF('数据-基础表'!$11:$11,"住宅",'数据-基础表'!$5:$5)</f>
        <v>0</v>
      </c>
      <c r="F5" s="2437"/>
      <c r="G5" s="42"/>
      <c r="H5" s="43" t="s">
        <v>1106</v>
      </c>
      <c r="I5" s="802">
        <f>ROUND(E31/D31,2)</f>
        <v>14.09</v>
      </c>
      <c r="J5" s="2437"/>
      <c r="K5" s="2437"/>
      <c r="L5" s="2437"/>
      <c r="M5" s="2437"/>
      <c r="N5" s="2437"/>
      <c r="O5" s="2437"/>
      <c r="P5" s="2437"/>
    </row>
    <row r="6" spans="1:16" ht="15" thickBot="1">
      <c r="A6" s="1527"/>
      <c r="B6" s="3299" t="s">
        <v>1111</v>
      </c>
      <c r="C6" s="3299"/>
      <c r="D6" s="43">
        <f>ROUND($D$3*E6/$E$3,2)</f>
        <v>3497.08</v>
      </c>
      <c r="E6" s="44">
        <f>E3-E5</f>
        <v>49267.189999999995</v>
      </c>
      <c r="F6" s="2437"/>
      <c r="G6" s="1529" t="s">
        <v>1112</v>
      </c>
      <c r="H6" s="45" t="s">
        <v>1113</v>
      </c>
      <c r="I6" s="2433">
        <f>ROUND(F31/D31,2)</f>
        <v>10.98</v>
      </c>
      <c r="J6" s="2437"/>
      <c r="K6" s="2437"/>
      <c r="L6" s="2437"/>
      <c r="M6" s="2437"/>
      <c r="N6" s="2437"/>
      <c r="O6" s="2437"/>
      <c r="P6" s="2437"/>
    </row>
    <row r="7" spans="1:16" ht="15" thickBot="1">
      <c r="A7" s="3291"/>
      <c r="B7" s="3292"/>
      <c r="C7" s="3293"/>
      <c r="D7" s="1524" t="s">
        <v>1107</v>
      </c>
      <c r="E7" s="1528" t="s">
        <v>1114</v>
      </c>
      <c r="F7" s="2437"/>
      <c r="G7" s="2434" t="s">
        <v>1115</v>
      </c>
      <c r="H7" s="95"/>
      <c r="I7" s="2435">
        <v>4.87</v>
      </c>
      <c r="J7" s="2437"/>
      <c r="K7" s="2437"/>
      <c r="L7" s="2437"/>
      <c r="M7" s="2437"/>
      <c r="N7" s="2437"/>
      <c r="O7" s="2437"/>
      <c r="P7" s="2437"/>
    </row>
    <row r="8" spans="1:16" ht="14.4">
      <c r="A8" s="42" t="s">
        <v>1116</v>
      </c>
      <c r="B8" s="45" t="s">
        <v>1117</v>
      </c>
      <c r="C8" s="43" t="s">
        <v>1118</v>
      </c>
      <c r="D8" s="43">
        <f t="shared" ref="D8:D15" si="0">ROUND($D$3*E8/$E$3,2)</f>
        <v>2725.8</v>
      </c>
      <c r="E8" s="46">
        <f>SUMIF('数据-基础表'!BB10:BK10,"地上",'数据-基础表'!BB5:BK5)</f>
        <v>38401.339999999997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661.55</v>
      </c>
      <c r="E11" s="46">
        <f>SUMPRODUCT(('数据-基础表'!BB10:BK10="地下")*('数据-基础表'!BB11:BK11="办公")*('数据-基础表'!BB5:BK5))+'数据-基础表'!BP5</f>
        <v>9319.9500000000007</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109.73</v>
      </c>
      <c r="E13" s="46">
        <f>SUMPRODUCT(('数据-基础表'!BB10:BK10="地下")*('数据-基础表'!BB11:BK11="车库")*('数据-基础表'!BB5:BK5))</f>
        <v>1545.900000000001</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3497.0800000000004</v>
      </c>
      <c r="E16" s="48">
        <f>SUM(E8:E15)</f>
        <v>49267.189999999995</v>
      </c>
      <c r="F16" s="2437"/>
      <c r="G16" s="2437"/>
      <c r="H16" s="1531" t="s">
        <v>1135</v>
      </c>
      <c r="I16" s="1532"/>
      <c r="J16" s="1071"/>
      <c r="K16" s="3288" t="s">
        <v>1135</v>
      </c>
      <c r="L16" s="3289"/>
      <c r="M16" s="3289"/>
      <c r="N16" s="3289"/>
      <c r="O16" s="3289"/>
      <c r="P16" s="3290"/>
    </row>
    <row r="17" spans="1:19" ht="14.4">
      <c r="A17" s="1533" t="s">
        <v>1136</v>
      </c>
      <c r="B17" s="1534" t="s">
        <v>1137</v>
      </c>
      <c r="C17" s="1535" t="s">
        <v>1138</v>
      </c>
      <c r="D17" s="1536" t="s">
        <v>1126</v>
      </c>
      <c r="E17" s="1537" t="s">
        <v>1127</v>
      </c>
      <c r="F17" s="1538"/>
      <c r="G17" s="1539"/>
      <c r="H17" s="1540" t="s">
        <v>1139</v>
      </c>
      <c r="I17" s="1541" t="s">
        <v>1124</v>
      </c>
      <c r="J17" s="1071"/>
      <c r="K17" s="3285" t="s">
        <v>1140</v>
      </c>
      <c r="L17" s="3286"/>
      <c r="M17" s="3287"/>
      <c r="N17" s="3285" t="s">
        <v>1141</v>
      </c>
      <c r="O17" s="3286"/>
      <c r="P17" s="328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3644</v>
      </c>
      <c r="D19" s="43">
        <f>ROUND($D$3*E19/$E$3,2)</f>
        <v>3497.08</v>
      </c>
      <c r="E19" s="51">
        <f t="shared" ref="E19:E26" si="1">SUM(F19:G19)</f>
        <v>49267.189999999995</v>
      </c>
      <c r="F19" s="2554">
        <f>'数据-基础表'!I13-'数据-基础表'!J13</f>
        <v>38401.339999999997</v>
      </c>
      <c r="G19" s="1243">
        <f>'数据-基础表'!K13+'数据-基础表'!M13-'数据-基础表'!N13</f>
        <v>10865.85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3497.08</v>
      </c>
      <c r="S19" s="51">
        <f t="shared" si="5"/>
        <v>49267.189999999995</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3497.08</v>
      </c>
      <c r="E27" s="1073">
        <f>IF(SUM(E19:E26)='数据-基础表'!BA5,SUM(E19:E26),IF(F27="地上面积有误","面积有误","地下面积有误"))</f>
        <v>49267.189999999995</v>
      </c>
      <c r="F27" s="1072">
        <f>IF(SUM(F19:F26)=E8,SUM(F19:F26),"地上面积有误")</f>
        <v>38401.339999999997</v>
      </c>
      <c r="G27" s="1074">
        <f>SUM(G19:G26)</f>
        <v>10865.85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3497.08</v>
      </c>
      <c r="S27" s="43">
        <f>IF(SUM(S19:S26)=$E$3,SUM(S19:S26),SUM(S19:S26)&amp;"误差"&amp;ROUND(SUM(S19:S26)-E3,2))</f>
        <v>49267.189999999995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3497.08</v>
      </c>
      <c r="E31" s="643">
        <f>E27+E30</f>
        <v>49267.189999999995</v>
      </c>
      <c r="F31" s="644">
        <f>F27+F30</f>
        <v>38401.339999999997</v>
      </c>
      <c r="G31" s="645">
        <f>G27+G30</f>
        <v>10865.85</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67">
        <f>G27/E27</f>
        <v>0.22054941635599679</v>
      </c>
    </row>
    <row r="38" spans="4:7">
      <c r="E38" s="3187">
        <f ca="1">结果表!G19-'数据-汇总表'!E39</f>
        <v>282662.49</v>
      </c>
      <c r="F38" s="3188">
        <f>F31</f>
        <v>38401.339999999997</v>
      </c>
      <c r="G38" s="3189">
        <f ca="1">E38/F38*10000</f>
        <v>73607.454844023683</v>
      </c>
    </row>
    <row r="39" spans="4:7">
      <c r="E39" s="3187">
        <f>F39*G39/10000</f>
        <v>6519.51</v>
      </c>
      <c r="F39" s="1522">
        <f>'数据-汇总表'!G19</f>
        <v>10865.85</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办公用房</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27.86</v>
      </c>
      <c r="G6" s="62">
        <f>IF(ISERROR(ROUND(POWER(1+H6,D6-F6)*(POWER(1+H6,F6)-1)/(POWER(1+H6,D6)-1),3)),0,ROUND(POWER(1+H6,D6-F6)*(POWER(1+H6,F6)-1)/(POWER(1+H6,D6)-1),3))</f>
        <v>0.81399999999999995</v>
      </c>
      <c r="H6" s="691">
        <v>0.05</v>
      </c>
      <c r="I6" s="691">
        <v>5.5E-2</v>
      </c>
      <c r="J6" s="63">
        <v>7.0000000000000007E-2</v>
      </c>
      <c r="K6" s="970">
        <f>SUMIF('数据-汇总表'!C$19:C$33,A6,'数据-汇总表'!E$19:E$33)</f>
        <v>49267.189999999995</v>
      </c>
      <c r="L6" s="692">
        <v>6000</v>
      </c>
      <c r="M6" s="64">
        <f t="shared" ref="M6:M14" si="0">ROUND(K6*L6/10000,0)</f>
        <v>29560</v>
      </c>
      <c r="N6" s="690">
        <f>N21</f>
        <v>0.8</v>
      </c>
      <c r="O6" s="64" t="str">
        <f>IF($N$5="成新度","——",ROUND(M6*N6,0))</f>
        <v>——</v>
      </c>
      <c r="P6" s="65" t="str">
        <f>IF($N$5="成新度","——",M6-O6)</f>
        <v>——</v>
      </c>
      <c r="Q6" s="693">
        <v>0.2</v>
      </c>
      <c r="R6" s="66">
        <f ca="1">SUMIF('数据-汇总表'!C$19:C$33,A6,'数据-汇总表'!R$19:R$27)</f>
        <v>3497.08</v>
      </c>
      <c r="S6" s="49">
        <f>IF('数据-汇总表'!$I$17="按面积比例",SUMIF('数据-汇总表'!C$19:C$33,A6,'数据-汇总表'!K$19:K$33),SUMIF('数据-汇总表'!C$19:C$33,A6,'数据-汇总表'!N$19:N$33))</f>
        <v>0</v>
      </c>
      <c r="T6" s="1092">
        <f>ROUND($L$14*S6/10000,0)</f>
        <v>0</v>
      </c>
      <c r="U6" s="3183">
        <v>8.3000000000000007</v>
      </c>
      <c r="V6" s="67">
        <v>0.02</v>
      </c>
      <c r="W6" s="67">
        <v>0.1</v>
      </c>
      <c r="X6" s="979"/>
      <c r="Y6" s="68">
        <f>N6</f>
        <v>0.8</v>
      </c>
      <c r="Z6" s="69"/>
      <c r="AA6" s="63"/>
      <c r="AB6" s="63"/>
      <c r="AC6" s="979"/>
      <c r="AD6" s="70"/>
      <c r="AE6" s="980">
        <f ca="1">IF(AN6="",0,SUMIF(INDIRECT("'"&amp;AN6&amp;"'"&amp;"!E:E"),$AE$5,INDIRECT("'"&amp;AN6&amp;"'"&amp;"!F:F")))</f>
        <v>27.86</v>
      </c>
      <c r="AF6" s="74"/>
      <c r="AG6" s="130">
        <f>IF(AF6="",0,AE6-AF6)</f>
        <v>0</v>
      </c>
      <c r="AH6" s="71"/>
      <c r="AI6" s="73">
        <v>365</v>
      </c>
      <c r="AJ6" s="74"/>
      <c r="AK6" s="75">
        <v>5.0000000000000001E-3</v>
      </c>
      <c r="AL6" s="76">
        <v>1E-3</v>
      </c>
      <c r="AM6" s="77">
        <v>0.01</v>
      </c>
      <c r="AN6" s="1589" t="s">
        <v>3421</v>
      </c>
      <c r="AO6" s="50">
        <f ca="1">SUMIF(INDIRECT("'"&amp;AN6&amp;"'"&amp;"!A:A"),"总价",INDIRECT("'"&amp;AN6&amp;"'"&amp;"!B:B"))</f>
        <v>190275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692">
        <f>L6</f>
        <v>6000</v>
      </c>
      <c r="M14" s="64">
        <f t="shared" si="0"/>
        <v>0</v>
      </c>
      <c r="N14" s="80">
        <f>N6</f>
        <v>0.8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0.81399999999999995</v>
      </c>
      <c r="H16" s="84">
        <f>ROUND(SUMPRODUCT(H6:H13,K6:K13)/SUMPRODUCT((H6:H13&gt;0)*(K6:K13)),3)</f>
        <v>0.05</v>
      </c>
      <c r="I16" s="85"/>
      <c r="J16" s="85"/>
      <c r="K16" s="86">
        <f>SUM(K6:K15)</f>
        <v>49267.189999999995</v>
      </c>
      <c r="L16" s="87">
        <f>ROUND(M16*10000/SUM(K6:K14),0)</f>
        <v>6000</v>
      </c>
      <c r="M16" s="87">
        <f>SUM(M6:M14)</f>
        <v>29560</v>
      </c>
      <c r="N16" s="88">
        <f>ROUND(SUMPRODUCT(M6:M14,N6:N14)/M16,3)</f>
        <v>0.8</v>
      </c>
      <c r="O16" s="87">
        <f>SUM(O6:O14)</f>
        <v>0</v>
      </c>
      <c r="P16" s="87">
        <f>SUM(P6:P14)</f>
        <v>0</v>
      </c>
      <c r="Q16" s="89">
        <f>ROUND(SUMPRODUCT(Q6:Q13,K6:K13)/SUMPRODUCT((Q6:Q13&gt;0)*(K6:K13)),2)</f>
        <v>0.2</v>
      </c>
      <c r="R16" s="974">
        <f ca="1">SUM(R6:R13)</f>
        <v>3497.08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0" t="s">
        <v>3418</v>
      </c>
      <c r="N18" s="2446">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7" t="s">
        <v>2298</v>
      </c>
      <c r="D19" s="2449"/>
      <c r="E19" s="2437"/>
      <c r="F19" s="2437"/>
      <c r="G19" s="2437"/>
      <c r="H19" s="2437"/>
      <c r="I19" s="2437"/>
      <c r="J19" s="2437"/>
      <c r="K19" s="2447"/>
      <c r="L19" s="2447"/>
      <c r="M19" s="3160" t="s">
        <v>3419</v>
      </c>
      <c r="N19" s="2446">
        <f>ROUND(1-(1-0)*(2025-N18)/60,2)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8" t="s">
        <v>2296</v>
      </c>
      <c r="D20" s="2449"/>
      <c r="E20" s="2437"/>
      <c r="F20" s="2437"/>
      <c r="G20" s="2437"/>
      <c r="H20" s="2437"/>
      <c r="I20" s="2437"/>
      <c r="J20" s="2437"/>
      <c r="K20" s="2447"/>
      <c r="L20" s="2447"/>
      <c r="M20" s="3160" t="s">
        <v>3420</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60" t="s">
        <v>458</v>
      </c>
      <c r="N21" s="2446">
        <f>ROUND(N20*0.7+N19*0.3,2)</f>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59"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985</v>
      </c>
      <c r="C29" s="2560"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1"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1"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1"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1"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1"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1"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5">
        <f ca="1">IF(A40="利息：取LPR",存贷款利率!G1,存贷款利率!G1+C40)</f>
        <v>0.03</v>
      </c>
      <c r="C40" s="2569">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1"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0"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0"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3"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0"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0"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2"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300" t="s">
        <v>2282</v>
      </c>
      <c r="B1" s="3301"/>
      <c r="C1" s="3301"/>
      <c r="D1" s="3301"/>
      <c r="E1" s="3301"/>
      <c r="F1" s="3301"/>
      <c r="G1" s="330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84">
      <c r="A5" s="2247"/>
      <c r="B5" s="315" t="s">
        <v>2257</v>
      </c>
      <c r="C5" s="3161" t="s">
        <v>3674</v>
      </c>
      <c r="D5" s="2265"/>
      <c r="E5" s="2269"/>
      <c r="F5" s="315" t="s">
        <v>2258</v>
      </c>
      <c r="G5" s="2270" t="s">
        <v>2259</v>
      </c>
      <c r="H5" s="751"/>
      <c r="I5" s="751"/>
      <c r="J5" s="751"/>
      <c r="K5" s="751"/>
      <c r="L5" s="751"/>
      <c r="M5" s="751"/>
      <c r="N5" s="751"/>
      <c r="O5" s="751"/>
      <c r="P5" s="751"/>
      <c r="Q5" s="751"/>
    </row>
    <row r="6" spans="1:29" ht="84">
      <c r="A6" s="2247"/>
      <c r="B6" s="315" t="s">
        <v>2260</v>
      </c>
      <c r="C6" s="3162" t="s">
        <v>3675</v>
      </c>
      <c r="D6" s="2265"/>
      <c r="E6" s="2269"/>
      <c r="F6" s="315" t="s">
        <v>2261</v>
      </c>
      <c r="G6" s="2270" t="s">
        <v>2262</v>
      </c>
      <c r="H6" s="751"/>
      <c r="I6" s="751"/>
      <c r="J6" s="751"/>
      <c r="K6" s="751"/>
      <c r="L6" s="751"/>
      <c r="M6" s="751"/>
      <c r="N6" s="751"/>
      <c r="O6" s="751"/>
      <c r="P6" s="751"/>
      <c r="Q6" s="751"/>
    </row>
    <row r="7" spans="1:29" ht="108.6" thickBot="1">
      <c r="A7" s="2247"/>
      <c r="B7" s="315" t="s">
        <v>2258</v>
      </c>
      <c r="C7" s="3162" t="s">
        <v>3678</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1" t="s">
        <v>3676</v>
      </c>
      <c r="D9" s="2265"/>
      <c r="E9" s="2244"/>
      <c r="F9" s="121"/>
      <c r="G9" s="121"/>
      <c r="H9" s="751"/>
      <c r="I9" s="751"/>
      <c r="J9" s="751"/>
      <c r="K9" s="751"/>
      <c r="L9" s="751"/>
      <c r="M9" s="751"/>
      <c r="N9" s="751"/>
      <c r="O9" s="751"/>
      <c r="P9" s="751"/>
      <c r="Q9" s="751"/>
    </row>
    <row r="10" spans="1:29" ht="14.4" thickBot="1">
      <c r="A10" s="2248"/>
      <c r="B10" s="2274" t="s">
        <v>2266</v>
      </c>
      <c r="C10" s="3163" t="s">
        <v>3422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92.4">
      <c r="A17" s="2251"/>
      <c r="B17" s="2289" t="s">
        <v>2257</v>
      </c>
      <c r="C17" s="2290" t="str">
        <f>C5</f>
        <v>估价对象地处北京商务中心区，北京商务中心区（CBD）是首都六大高端产业功能区之一区域内高品质写字楼项目聚集，如国贸中心、银泰中心、环球金融中心等，区域办公集聚程度好</v>
      </c>
      <c r="D17" s="2244"/>
      <c r="E17" s="2252"/>
      <c r="F17" s="2291" t="s">
        <v>2272</v>
      </c>
      <c r="G17" s="2293"/>
    </row>
    <row r="18" spans="1:17" ht="92.4">
      <c r="A18" s="2251"/>
      <c r="B18" s="2291" t="s">
        <v>2260</v>
      </c>
      <c r="C18" s="2292" t="str">
        <f>C6</f>
        <v>周边1公里范围内有特8内路、348路、805快路、806路、814路、846路等多条公交线路及地铁1、10号线国贸站，公交便捷度好。综上分析，估价对象所在区位整体交通便捷度较好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周边约1公里范围内有庆丰公园，CBD历史文化公园，中国海关博物馆等，南侧有通惠河经过，环境状况较好</v>
      </c>
      <c r="D20" s="2244"/>
      <c r="E20" s="2252"/>
      <c r="F20" s="315" t="s">
        <v>2261</v>
      </c>
      <c r="G20" s="2292" t="str">
        <f>G6</f>
        <v>估价对象所在区域基础设施水平</v>
      </c>
    </row>
    <row r="21" spans="1:17" ht="118.8">
      <c r="A21" s="2251"/>
      <c r="B21" s="315" t="s">
        <v>2258</v>
      </c>
      <c r="C21" s="2292"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N9" sqref="N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49267.189999999995</v>
      </c>
      <c r="C1" s="2459"/>
      <c r="D1" s="2459"/>
      <c r="E1" s="2459"/>
      <c r="F1" s="2459"/>
      <c r="G1" s="2460"/>
      <c r="H1" s="2460"/>
      <c r="I1" s="2460"/>
      <c r="J1" s="2460"/>
      <c r="K1" s="2460"/>
    </row>
    <row r="2" spans="1:11" ht="16.2">
      <c r="A2" s="2298" t="s">
        <v>653</v>
      </c>
      <c r="B2" s="2298">
        <f>SUM(C14:C23)</f>
        <v>3497.08</v>
      </c>
      <c r="C2" s="2459"/>
      <c r="D2" s="2459"/>
      <c r="E2" s="2459"/>
      <c r="F2" s="2459"/>
      <c r="G2" s="2460"/>
      <c r="H2" s="2460"/>
      <c r="I2" s="2460"/>
      <c r="J2" s="2460"/>
      <c r="K2" s="2460"/>
    </row>
    <row r="3" spans="1:11" ht="15.6">
      <c r="A3" s="2298" t="s">
        <v>662</v>
      </c>
      <c r="B3" s="2300">
        <f>项目基本情况!D3</f>
        <v>45800</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289182</v>
      </c>
      <c r="C5" s="2298">
        <f ca="1">IF(B5=D14,结果表!H102,ROUND(B5*10000/$B$1,0))</f>
        <v>58697</v>
      </c>
      <c r="D5" s="2298">
        <f ca="1">ROUND(B5*10000/$B$2,0)</f>
        <v>826924</v>
      </c>
      <c r="E5" s="2459"/>
      <c r="F5" s="2460"/>
      <c r="G5" s="2460"/>
      <c r="H5" s="2460"/>
      <c r="I5" s="2460"/>
      <c r="J5" s="2460"/>
      <c r="K5" s="2460"/>
    </row>
    <row r="6" spans="1:11" ht="15.6">
      <c r="A6" s="2298" t="s">
        <v>656</v>
      </c>
      <c r="B6" s="2298">
        <f ca="1">SUM(G14:G23)</f>
        <v>289182</v>
      </c>
      <c r="C6" s="2298">
        <f ca="1">IF(B6=G14,结果表!H108,ROUND(B6*10000/$B$1,0))</f>
        <v>58697</v>
      </c>
      <c r="D6" s="2298">
        <f ca="1">ROUND(B6*10000/$B$2,0)</f>
        <v>826924</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273614</v>
      </c>
      <c r="C8" s="2298">
        <f ca="1">ROUND(B8*10000/B14,0)</f>
        <v>55537</v>
      </c>
      <c r="D8" s="2298">
        <f ca="1">ROUND(B8*10000/$B$2,0)</f>
        <v>782407</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3"/>
      <c r="F10" s="3137" t="s">
        <v>3354</v>
      </c>
      <c r="G10" s="3134"/>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49267.189999999995</v>
      </c>
      <c r="C14" s="2304">
        <f>结果表!C118</f>
        <v>3497.08</v>
      </c>
      <c r="D14" s="2304">
        <f ca="1">结果表!H118</f>
        <v>289182</v>
      </c>
      <c r="E14" s="2304">
        <f ca="1">ROUND(D14*10000/B14,0)</f>
        <v>58697</v>
      </c>
      <c r="F14" s="2304">
        <f ca="1">ROUND(D14*10000/C14,0)</f>
        <v>826924</v>
      </c>
      <c r="G14" s="2304">
        <f ca="1">D14</f>
        <v>289182</v>
      </c>
      <c r="H14" s="2304"/>
      <c r="I14" s="2304">
        <f ca="1">结果表!P59</f>
        <v>273614</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4" t="str">
        <f>项目基本情况!B1</f>
        <v>北京市朝阳区建国门外大街甲6号1幢房地产抵押价值预评估</v>
      </c>
      <c r="C37" s="3214"/>
      <c r="D37" s="3214"/>
      <c r="E37" s="3214"/>
      <c r="F37" s="3214"/>
      <c r="G37" s="3214"/>
      <c r="H37" s="3214"/>
      <c r="I37" s="321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梁津（注册号：1119970066)、郑燚（注册号：1120070131)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7" zoomScaleNormal="100" zoomScaleSheetLayoutView="100" zoomScalePageLayoutView="80" workbookViewId="0">
      <selection activeCell="D119" sqref="D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3558</v>
      </c>
      <c r="D1" s="646"/>
      <c r="E1" s="646"/>
      <c r="F1" s="1621" t="s">
        <v>1263</v>
      </c>
      <c r="G1" s="1453" t="s">
        <v>3441</v>
      </c>
      <c r="H1" s="1621" t="str">
        <f>IF(G1="现房","——","估价对象范围")</f>
        <v>——</v>
      </c>
      <c r="I1" s="1622" t="s">
        <v>3689</v>
      </c>
    </row>
    <row r="2" spans="1:12" ht="21.75" customHeight="1" thickBot="1">
      <c r="A2" s="3336" t="str">
        <f>项目基本情况!S2</f>
        <v>北京市朝阳区建国门外大街甲6号1幢房地产</v>
      </c>
      <c r="B2" s="3337"/>
      <c r="C2" s="3337"/>
      <c r="D2" s="3337"/>
      <c r="E2" s="3337"/>
      <c r="F2" s="3337"/>
      <c r="G2" s="3337"/>
      <c r="H2" s="3337"/>
      <c r="I2" s="3338"/>
    </row>
    <row r="3" spans="1:12" ht="13.2">
      <c r="A3" s="3340" t="s">
        <v>1264</v>
      </c>
      <c r="B3" s="3341"/>
      <c r="C3" s="3341"/>
      <c r="D3" s="3341"/>
      <c r="E3" s="3341"/>
      <c r="F3" s="3341"/>
      <c r="G3" s="3341"/>
      <c r="H3" s="3341"/>
      <c r="I3" s="3341"/>
    </row>
    <row r="4" spans="1:12" ht="14.4">
      <c r="A4" s="1624" t="s">
        <v>1265</v>
      </c>
      <c r="B4" s="1625" t="s">
        <v>1266</v>
      </c>
      <c r="C4" s="1626" t="s">
        <v>3509</v>
      </c>
      <c r="D4" s="1626" t="s">
        <v>3421</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6" t="s">
        <v>1268</v>
      </c>
      <c r="B5" s="3303">
        <v>25</v>
      </c>
      <c r="C5" s="3319"/>
      <c r="D5" s="3339"/>
      <c r="E5" s="123" t="s">
        <v>1269</v>
      </c>
      <c r="F5" s="1627"/>
      <c r="G5" s="1627"/>
      <c r="H5" s="1627"/>
      <c r="I5" s="1281"/>
    </row>
    <row r="6" spans="1:12" ht="13.2">
      <c r="A6" s="3316"/>
      <c r="B6" s="3303"/>
      <c r="C6" s="3320"/>
      <c r="D6" s="3339"/>
      <c r="E6" s="123" t="s">
        <v>1270</v>
      </c>
      <c r="F6" s="1627"/>
      <c r="G6" s="1627"/>
      <c r="H6" s="1627"/>
      <c r="I6" s="1281"/>
    </row>
    <row r="7" spans="1:12" ht="13.2">
      <c r="A7" s="3316"/>
      <c r="B7" s="3303"/>
      <c r="C7" s="3321"/>
      <c r="D7" s="3339"/>
      <c r="E7" s="123" t="s">
        <v>1271</v>
      </c>
      <c r="F7" s="1627"/>
      <c r="G7" s="1627"/>
      <c r="H7" s="1627"/>
      <c r="I7" s="1281"/>
    </row>
    <row r="8" spans="1:12" ht="13.2">
      <c r="A8" s="3316" t="s">
        <v>1272</v>
      </c>
      <c r="B8" s="3303">
        <v>15</v>
      </c>
      <c r="C8" s="3319"/>
      <c r="D8" s="3339"/>
      <c r="E8" s="123" t="s">
        <v>1273</v>
      </c>
      <c r="F8" s="1627"/>
      <c r="G8" s="1627"/>
      <c r="H8" s="1627"/>
      <c r="I8" s="1281"/>
    </row>
    <row r="9" spans="1:12" ht="13.2">
      <c r="A9" s="3316"/>
      <c r="B9" s="3303"/>
      <c r="C9" s="3321"/>
      <c r="D9" s="3339"/>
      <c r="E9" s="123" t="s">
        <v>1274</v>
      </c>
      <c r="F9" s="1627"/>
      <c r="G9" s="1627"/>
      <c r="H9" s="1627"/>
      <c r="I9" s="1281"/>
    </row>
    <row r="10" spans="1:12" ht="13.2">
      <c r="A10" s="3316" t="s">
        <v>1275</v>
      </c>
      <c r="B10" s="3303">
        <v>15</v>
      </c>
      <c r="C10" s="3319"/>
      <c r="D10" s="3339"/>
      <c r="E10" s="123" t="s">
        <v>1276</v>
      </c>
      <c r="F10" s="1627"/>
      <c r="G10" s="1627"/>
      <c r="H10" s="1627"/>
      <c r="I10" s="1281"/>
    </row>
    <row r="11" spans="1:12" ht="13.2">
      <c r="A11" s="3316"/>
      <c r="B11" s="3303"/>
      <c r="C11" s="3321"/>
      <c r="D11" s="3339"/>
      <c r="E11" s="123" t="s">
        <v>1277</v>
      </c>
      <c r="F11" s="1627"/>
      <c r="G11" s="1627"/>
      <c r="H11" s="1627"/>
      <c r="I11" s="1281"/>
    </row>
    <row r="12" spans="1:12" ht="13.2">
      <c r="A12" s="3316" t="s">
        <v>1278</v>
      </c>
      <c r="B12" s="3303">
        <v>15</v>
      </c>
      <c r="C12" s="3319"/>
      <c r="D12" s="3339"/>
      <c r="E12" s="123" t="s">
        <v>1279</v>
      </c>
      <c r="F12" s="1627"/>
      <c r="G12" s="1627"/>
      <c r="H12" s="1627"/>
      <c r="I12" s="1281"/>
    </row>
    <row r="13" spans="1:12" ht="13.2">
      <c r="A13" s="3316"/>
      <c r="B13" s="3303"/>
      <c r="C13" s="3321"/>
      <c r="D13" s="3339"/>
      <c r="E13" s="123" t="s">
        <v>1280</v>
      </c>
      <c r="F13" s="1627"/>
      <c r="G13" s="1627"/>
      <c r="H13" s="1627"/>
      <c r="I13" s="1281"/>
    </row>
    <row r="14" spans="1:12" ht="13.2">
      <c r="A14" s="3316" t="s">
        <v>1281</v>
      </c>
      <c r="B14" s="3303">
        <v>30</v>
      </c>
      <c r="C14" s="3319">
        <v>55</v>
      </c>
      <c r="D14" s="3339">
        <v>45</v>
      </c>
      <c r="E14" s="123" t="s">
        <v>1282</v>
      </c>
      <c r="F14" s="1627"/>
      <c r="G14" s="1627"/>
      <c r="H14" s="1627"/>
      <c r="I14" s="1281"/>
    </row>
    <row r="15" spans="1:12" ht="13.2">
      <c r="A15" s="3316"/>
      <c r="B15" s="3303"/>
      <c r="C15" s="3320"/>
      <c r="D15" s="3339"/>
      <c r="E15" s="123" t="s">
        <v>1283</v>
      </c>
      <c r="F15" s="1627"/>
      <c r="G15" s="1627"/>
      <c r="H15" s="1627"/>
      <c r="I15" s="1281"/>
    </row>
    <row r="16" spans="1:12" ht="13.2">
      <c r="A16" s="3316"/>
      <c r="B16" s="3303"/>
      <c r="C16" s="3321"/>
      <c r="D16" s="3339"/>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326" t="s">
        <v>2131</v>
      </c>
      <c r="F18" s="3327"/>
      <c r="G18" s="3327"/>
      <c r="H18" s="3327"/>
      <c r="I18" s="3327"/>
      <c r="K18" s="294" t="s">
        <v>1289</v>
      </c>
      <c r="L18" s="294">
        <f>IF(C1="",'数据-汇总表'!E3,SUMIF(项目类型,C1,'数据-汇总表'!E17:E26)+SUMIF(项目类型,C1,'数据-汇总表'!I17:I26))</f>
        <v>49267.189999999995</v>
      </c>
      <c r="M18" s="294">
        <f>IF(C1="",'数据-汇总表'!E3,SUMIF(项目类型,C1,'数据-汇总表'!E17:E26))</f>
        <v>49267.189999999995</v>
      </c>
    </row>
    <row r="19" spans="1:36" ht="14.4">
      <c r="A19" s="1630" t="s">
        <v>1290</v>
      </c>
      <c r="B19" s="1631" t="s">
        <v>1291</v>
      </c>
      <c r="C19" s="126">
        <f ca="1">SUMIF(INDIRECT("'"&amp;C4&amp;"'"&amp;"!A:A"),结果表!B19,INDIRECT("'"&amp;C4&amp;"'"&amp;"!B:B"))</f>
        <v>370105</v>
      </c>
      <c r="D19" s="127">
        <f ca="1">SUMIF(INDIRECT("'"&amp;D4&amp;"'"&amp;"!A:A"),结果表!B19,INDIRECT("'"&amp;D4&amp;"'"&amp;"!B:B"))</f>
        <v>190275</v>
      </c>
      <c r="E19" s="1630" t="s">
        <v>1292</v>
      </c>
      <c r="F19" s="1631" t="s">
        <v>1291</v>
      </c>
      <c r="G19" s="128">
        <f ca="1">ROUND(C19*$C$18+D19*$D$18,0)</f>
        <v>289182</v>
      </c>
      <c r="H19" s="1632"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4.4">
      <c r="A20" s="1633"/>
      <c r="B20" s="43" t="s">
        <v>1295</v>
      </c>
      <c r="C20" s="129">
        <f ca="1">SUMIF(INDIRECT("'"&amp;C4&amp;"'"&amp;"!A:A"),结果表!B20,INDIRECT("'"&amp;C4&amp;"'"&amp;"!B:B"))</f>
        <v>75122</v>
      </c>
      <c r="D20" s="130">
        <f ca="1">SUMIF(INDIRECT("'"&amp;D4&amp;"'"&amp;"!A:A"),结果表!B20,INDIRECT("'"&amp;D4&amp;"'"&amp;"!B:B"))</f>
        <v>38621</v>
      </c>
      <c r="E20" s="1633"/>
      <c r="F20" s="43" t="s">
        <v>1295</v>
      </c>
      <c r="G20" s="131">
        <f ca="1">ROUND(C20*$C$18+D20*$D$18,0)</f>
        <v>58697</v>
      </c>
      <c r="H20" s="760" t="s">
        <v>1296</v>
      </c>
      <c r="I20" s="121"/>
    </row>
    <row r="21" spans="1:36" ht="15" customHeight="1" thickBot="1">
      <c r="A21" s="449"/>
      <c r="B21" s="93" t="s">
        <v>1297</v>
      </c>
      <c r="C21" s="678">
        <f ca="1">ROUND(C19*10000/L19,0)</f>
        <v>1058326</v>
      </c>
      <c r="D21" s="679">
        <f ca="1">ROUND(D19*10000/L19,0)</f>
        <v>544097</v>
      </c>
      <c r="E21" s="449"/>
      <c r="F21" s="93" t="s">
        <v>1297</v>
      </c>
      <c r="G21" s="132">
        <f ca="1">ROUND(G19*10000/L19,0)</f>
        <v>826924</v>
      </c>
      <c r="H21" s="1634" t="s">
        <v>1296</v>
      </c>
      <c r="I21" s="121"/>
    </row>
    <row r="22" spans="1:36" ht="15" thickBot="1">
      <c r="A22" s="1564" t="s">
        <v>1298</v>
      </c>
      <c r="B22" s="1635"/>
      <c r="C22" s="1636"/>
      <c r="D22" s="680">
        <f ca="1">IF(C19&lt;D19,D19/C19-1,C19/D19-1)</f>
        <v>0.94510576796741552</v>
      </c>
      <c r="E22" s="121"/>
      <c r="F22" s="121"/>
      <c r="G22" s="121"/>
      <c r="H22" s="121"/>
      <c r="I22" s="121"/>
    </row>
    <row r="23" spans="1:36" ht="13.8" thickBot="1">
      <c r="A23" s="646"/>
      <c r="B23" s="646"/>
      <c r="C23" s="646"/>
      <c r="D23" s="646"/>
      <c r="E23" s="121"/>
      <c r="F23" s="121"/>
      <c r="G23" s="121"/>
      <c r="H23" s="121"/>
      <c r="I23" s="121"/>
    </row>
    <row r="24" spans="1:36" ht="14.4">
      <c r="A24" s="3310" t="s">
        <v>1299</v>
      </c>
      <c r="B24" s="1631" t="s">
        <v>1291</v>
      </c>
      <c r="C24" s="128">
        <f>IF(B30=0,0,D30)</f>
        <v>0</v>
      </c>
      <c r="D24" s="1637"/>
      <c r="E24" s="121"/>
      <c r="F24" s="121"/>
      <c r="G24" s="121"/>
      <c r="H24" s="121"/>
      <c r="I24" s="121"/>
    </row>
    <row r="25" spans="1:36" ht="14.4">
      <c r="A25" s="33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289182</v>
      </c>
      <c r="D32" s="1641" t="s">
        <v>3511</v>
      </c>
      <c r="E32" s="121"/>
      <c r="F32" s="121"/>
      <c r="G32" s="121"/>
      <c r="H32" s="121"/>
      <c r="I32" s="121"/>
    </row>
    <row r="33" spans="1:16" ht="14.4">
      <c r="A33" s="740" t="s">
        <v>1306</v>
      </c>
      <c r="B33" s="123"/>
      <c r="C33" s="1642" t="s">
        <v>3512</v>
      </c>
      <c r="D33" s="1643" t="s">
        <v>3421</v>
      </c>
      <c r="E33" s="1644" t="s">
        <v>1307</v>
      </c>
      <c r="F33" s="1645" t="str">
        <f>IF(D32="楼面单价","取值（单价）","取值（总价）")</f>
        <v>取值（总价）</v>
      </c>
      <c r="G33" s="121"/>
      <c r="H33" s="121"/>
      <c r="I33" s="121"/>
    </row>
    <row r="34" spans="1:16" ht="14.4">
      <c r="A34" s="1646"/>
      <c r="B34" s="1647" t="s">
        <v>1308</v>
      </c>
      <c r="C34" s="140">
        <f ca="1">IF(C33="自定义",F34,C32-C35)</f>
        <v>221224</v>
      </c>
      <c r="D34" s="808">
        <f ca="1">IF(C33="自定义",ROUND(C34/C32,3),IF(C33="收益比率",SUMIF(INDIRECT("'"&amp;D33&amp;"'"&amp;"!b:b"),"土地收益比率",INDIRECT("'"&amp;D33&amp;"'"&amp;"!c:c")),SUMIF(INDIRECT("'"&amp;D33&amp;"'"&amp;"!b:b"),"土地成本比率",INDIRECT("'"&amp;D33&amp;"'"&amp;"!c:c"))))</f>
        <v>0.76500000000000001</v>
      </c>
      <c r="E34" s="1648" t="s">
        <v>1309</v>
      </c>
      <c r="F34" s="1243"/>
      <c r="G34" s="121"/>
      <c r="H34" s="121"/>
      <c r="I34" s="121"/>
    </row>
    <row r="35" spans="1:16" ht="15" thickBot="1">
      <c r="A35" s="1649"/>
      <c r="B35" s="1650" t="s">
        <v>1310</v>
      </c>
      <c r="C35" s="1090">
        <f ca="1">IF(C33="自定义",F35,ROUND(C32*D35,0))</f>
        <v>67958</v>
      </c>
      <c r="D35" s="1091">
        <f ca="1">IF(C33="自定义",ROUND(C35/C32,3),IF(C33="收益比率",SUMIF(INDIRECT("'"&amp;D33&amp;"'"&amp;"!b:b"),"建筑物收益比率",INDIRECT("'"&amp;D33&amp;"'"&amp;"!c:c")),SUMIF(INDIRECT("'"&amp;D33&amp;"'"&amp;"!b:b"),"建筑物成本比率",INDIRECT("'"&amp;D33&amp;"'"&amp;"!c:c"))))</f>
        <v>0.23499999999999999</v>
      </c>
      <c r="E35" s="1651" t="s">
        <v>1311</v>
      </c>
      <c r="F35" s="146"/>
      <c r="G35" s="121"/>
      <c r="H35" s="121"/>
      <c r="I35" s="121"/>
    </row>
    <row r="36" spans="1:16" ht="15" thickBot="1">
      <c r="A36" s="3330" t="s">
        <v>1312</v>
      </c>
      <c r="B36" s="1652" t="s">
        <v>1313</v>
      </c>
      <c r="C36" s="137"/>
      <c r="D36" s="1653"/>
      <c r="E36" s="1567"/>
      <c r="F36" s="1654"/>
      <c r="G36" s="121"/>
      <c r="H36" s="121"/>
      <c r="I36" s="121"/>
    </row>
    <row r="37" spans="1:16" ht="15" thickBot="1">
      <c r="A37" s="3331"/>
      <c r="B37" s="1555" t="s">
        <v>1314</v>
      </c>
      <c r="C37" s="139"/>
      <c r="D37" s="1071"/>
      <c r="E37" s="1071"/>
      <c r="F37" s="1654"/>
      <c r="G37" s="121"/>
      <c r="H37" s="121"/>
      <c r="I37" s="121"/>
    </row>
    <row r="38" spans="1:16" ht="15" thickBot="1">
      <c r="A38" s="3332"/>
      <c r="B38" s="1655" t="s">
        <v>1315</v>
      </c>
      <c r="C38" s="641"/>
      <c r="D38" s="1656" t="s">
        <v>1316</v>
      </c>
      <c r="E38" s="1071"/>
      <c r="F38" s="1654"/>
      <c r="G38" s="121"/>
      <c r="H38" s="121"/>
      <c r="I38" s="121"/>
    </row>
    <row r="39" spans="1:16" ht="14.4">
      <c r="A39" s="1633" t="s">
        <v>1317</v>
      </c>
      <c r="B39" s="1657" t="s">
        <v>1318</v>
      </c>
      <c r="C39" s="1658" t="s">
        <v>1319</v>
      </c>
      <c r="D39" s="1658" t="s">
        <v>1320</v>
      </c>
      <c r="E39" s="1659" t="s">
        <v>1321</v>
      </c>
      <c r="F39" s="1654"/>
      <c r="G39" s="121"/>
      <c r="H39" s="121"/>
      <c r="I39" s="121"/>
    </row>
    <row r="40" spans="1:16" ht="13.8">
      <c r="A40" s="1660" t="s">
        <v>1322</v>
      </c>
      <c r="B40" s="141"/>
      <c r="C40" s="142"/>
      <c r="D40" s="142"/>
      <c r="E40" s="143"/>
      <c r="F40" s="1654"/>
      <c r="G40" s="121"/>
      <c r="H40" s="121"/>
      <c r="I40" s="121"/>
    </row>
    <row r="41" spans="1:16" ht="13.8">
      <c r="A41" s="1660" t="s">
        <v>1323</v>
      </c>
      <c r="B41" s="141"/>
      <c r="C41" s="142"/>
      <c r="D41" s="142"/>
      <c r="E41" s="143"/>
      <c r="F41" s="1654"/>
      <c r="G41" s="121"/>
      <c r="H41" s="121"/>
      <c r="I41" s="121"/>
    </row>
    <row r="42" spans="1:16" ht="14.4" thickBot="1">
      <c r="A42" s="1661"/>
      <c r="B42" s="144"/>
      <c r="C42" s="145"/>
      <c r="D42" s="145"/>
      <c r="E42" s="146"/>
      <c r="F42" s="1654"/>
      <c r="G42" s="121"/>
      <c r="H42" s="121"/>
      <c r="I42" s="121"/>
    </row>
    <row r="43" spans="1:16" ht="13.2">
      <c r="A43" s="1467"/>
      <c r="B43" s="1467"/>
      <c r="C43" s="1467"/>
      <c r="D43" s="1467"/>
      <c r="E43" s="1467"/>
      <c r="F43" s="1662"/>
      <c r="G43" s="1662"/>
      <c r="H43" s="1662"/>
      <c r="I43" s="1663"/>
    </row>
    <row r="44" spans="1:16" ht="17.399999999999999">
      <c r="A44" s="1464" t="s">
        <v>1324</v>
      </c>
      <c r="B44" s="1664"/>
      <c r="C44" s="1664"/>
      <c r="D44" s="1665"/>
      <c r="E44" s="1665"/>
      <c r="F44" s="1666"/>
      <c r="G44" s="1666"/>
      <c r="H44" s="1666"/>
      <c r="I44" s="1666"/>
      <c r="J44" s="1667" t="s">
        <v>1325</v>
      </c>
      <c r="K44" s="4"/>
      <c r="L44" s="4"/>
      <c r="M44" s="4"/>
      <c r="N44" s="4"/>
      <c r="O44" s="4"/>
    </row>
    <row r="45" spans="1:16" ht="14.25" customHeight="1" thickBot="1">
      <c r="A45" s="3307" t="s">
        <v>1326</v>
      </c>
      <c r="B45" s="3308"/>
      <c r="C45" s="3309"/>
      <c r="D45" s="147">
        <f ca="1">ROUND(H101*F45,0)</f>
        <v>289182</v>
      </c>
      <c r="E45" s="148" t="s">
        <v>1327</v>
      </c>
      <c r="F45" s="149">
        <v>1</v>
      </c>
      <c r="G45" s="150" t="s">
        <v>1328</v>
      </c>
      <c r="H45" s="121"/>
      <c r="I45" s="121"/>
      <c r="J45" s="3385" t="s">
        <v>1329</v>
      </c>
      <c r="K45" s="3385"/>
      <c r="L45" s="3385"/>
      <c r="M45" s="3385"/>
      <c r="N45" s="3385"/>
      <c r="O45" s="3385"/>
    </row>
    <row r="46" spans="1:16" ht="14.25" customHeight="1">
      <c r="A46" s="3304" t="s">
        <v>1330</v>
      </c>
      <c r="B46" s="3305"/>
      <c r="C46" s="3305"/>
      <c r="D46" s="3305"/>
      <c r="E46" s="3305"/>
      <c r="F46" s="3305"/>
      <c r="G46" s="3306"/>
      <c r="H46" s="1668"/>
      <c r="I46" s="151"/>
      <c r="J46" s="2308">
        <v>1</v>
      </c>
      <c r="K46" s="3366" t="s">
        <v>1331</v>
      </c>
      <c r="L46" s="3366"/>
      <c r="M46" s="3386"/>
      <c r="N46" s="3386"/>
      <c r="O46" s="3386"/>
    </row>
    <row r="47" spans="1:16" ht="12" customHeight="1">
      <c r="A47" s="152" t="s">
        <v>1332</v>
      </c>
      <c r="B47" s="153"/>
      <c r="C47" s="154"/>
      <c r="D47" s="1024" t="s">
        <v>1333</v>
      </c>
      <c r="E47" s="294" t="s">
        <v>1334</v>
      </c>
      <c r="F47" s="155" t="s">
        <v>1335</v>
      </c>
      <c r="G47" s="2331" t="s">
        <v>1336</v>
      </c>
      <c r="H47" s="2332"/>
      <c r="I47" s="151"/>
      <c r="J47" s="2308">
        <v>2</v>
      </c>
      <c r="K47" s="3366" t="s">
        <v>1337</v>
      </c>
      <c r="L47" s="3366"/>
      <c r="M47" s="3387">
        <f>'数据-取费表'!B2</f>
        <v>45800</v>
      </c>
      <c r="N47" s="3387"/>
      <c r="O47" s="3387"/>
    </row>
    <row r="48" spans="1:16" ht="26.4">
      <c r="A48" s="3335" t="s">
        <v>1338</v>
      </c>
      <c r="B48" s="3318"/>
      <c r="C48" s="3318"/>
      <c r="D48" s="12">
        <f ca="1">IF(H48="情况1",0,IF(H48="情况2",D52,IF(H48="情况3",D53,IF(H48="情况4",D54))))</f>
        <v>15423</v>
      </c>
      <c r="E48" s="1256" t="str">
        <f>IF(H48="情况4","(销售额-原购置价)×税（费）率","销售额×税（费）率")</f>
        <v>销售额×税（费）率</v>
      </c>
      <c r="F48" s="2333">
        <f>IF(H48="情况1","免征",'数据-取费表'!B41)</f>
        <v>5.6000000000000001E-2</v>
      </c>
      <c r="G48" s="2334" t="s">
        <v>1339</v>
      </c>
      <c r="H48" s="2335" t="s">
        <v>3513</v>
      </c>
      <c r="I48" s="1668"/>
      <c r="J48" s="2308">
        <v>3</v>
      </c>
      <c r="K48" s="3366" t="s">
        <v>1340</v>
      </c>
      <c r="L48" s="3366"/>
      <c r="M48" s="3388">
        <f ca="1">H101</f>
        <v>289182</v>
      </c>
      <c r="N48" s="3388"/>
      <c r="O48" s="3388"/>
      <c r="P48" s="684">
        <f ca="1">M48</f>
        <v>289182</v>
      </c>
    </row>
    <row r="49" spans="1:35" ht="25.5" customHeight="1">
      <c r="A49" s="2152" t="s">
        <v>1341</v>
      </c>
      <c r="B49" s="3302" t="s">
        <v>1342</v>
      </c>
      <c r="C49" s="3302"/>
      <c r="D49" s="1478">
        <v>0</v>
      </c>
      <c r="E49" s="316" t="s">
        <v>1343</v>
      </c>
      <c r="F49" s="2232" t="s">
        <v>28</v>
      </c>
      <c r="G49" s="3372"/>
      <c r="H49" s="2134" t="s">
        <v>2134</v>
      </c>
      <c r="I49" s="2135"/>
      <c r="J49" s="2308">
        <v>4</v>
      </c>
      <c r="K49" s="3366" t="str">
        <f>IF(项目基本情况!E8="房地产抵押价值","房地产抵押价值","抵押担保权已注销时的房地产抵押价值")</f>
        <v>房地产抵押价值</v>
      </c>
      <c r="L49" s="3366"/>
      <c r="M49" s="3388">
        <f ca="1">IF(项目基本情况!E8="房地产抵押价值",H107,H109)</f>
        <v>289182</v>
      </c>
      <c r="N49" s="3388"/>
      <c r="O49" s="3388"/>
      <c r="P49" s="684">
        <f ca="1">M49</f>
        <v>289182</v>
      </c>
    </row>
    <row r="50" spans="1:35" ht="25.5" customHeight="1">
      <c r="A50" s="2336"/>
      <c r="B50" s="3302" t="s">
        <v>1344</v>
      </c>
      <c r="C50" s="3302"/>
      <c r="D50" s="2188"/>
      <c r="E50" s="323"/>
      <c r="F50" s="2232"/>
      <c r="G50" s="3373"/>
      <c r="H50" s="2136" t="s">
        <v>2135</v>
      </c>
      <c r="I50" s="2135"/>
      <c r="J50" s="3385" t="s">
        <v>1345</v>
      </c>
      <c r="K50" s="3385"/>
      <c r="L50" s="3385"/>
      <c r="M50" s="3385"/>
      <c r="N50" s="3385"/>
      <c r="O50" s="3385"/>
    </row>
    <row r="51" spans="1:35" ht="20.399999999999999" customHeight="1">
      <c r="A51" s="2337"/>
      <c r="B51" s="3302" t="s">
        <v>1346</v>
      </c>
      <c r="C51" s="3302"/>
      <c r="D51" s="1024"/>
      <c r="E51" s="319"/>
      <c r="F51" s="2232"/>
      <c r="G51" s="3374"/>
      <c r="H51" s="2136" t="s">
        <v>2136</v>
      </c>
      <c r="I51" s="2135"/>
      <c r="J51" s="2309" t="s">
        <v>1347</v>
      </c>
      <c r="K51" s="3366" t="s">
        <v>1348</v>
      </c>
      <c r="L51" s="3366"/>
      <c r="M51" s="2309" t="s">
        <v>1349</v>
      </c>
      <c r="N51" s="2309" t="s">
        <v>1350</v>
      </c>
      <c r="O51" s="2309" t="s">
        <v>1351</v>
      </c>
    </row>
    <row r="52" spans="1:35" ht="24" customHeight="1">
      <c r="A52" s="2153" t="s">
        <v>1352</v>
      </c>
      <c r="B52" s="3302" t="s">
        <v>1353</v>
      </c>
      <c r="C52" s="3302"/>
      <c r="D52" s="1024">
        <f ca="1">ROUND(D45*'数据-取费表'!B41/(1+'数据-取费表'!C42),0)</f>
        <v>15423</v>
      </c>
      <c r="E52" s="1256" t="s">
        <v>1354</v>
      </c>
      <c r="F52" s="2338">
        <f>'数据-取费表'!B41</f>
        <v>5.6000000000000001E-2</v>
      </c>
      <c r="G52" s="2339"/>
      <c r="H52" s="2329"/>
      <c r="I52" s="1669"/>
      <c r="J52" s="2308">
        <v>1</v>
      </c>
      <c r="K52" s="3367" t="s">
        <v>1355</v>
      </c>
      <c r="L52" s="3367"/>
      <c r="M52" s="2310">
        <f ca="1">D48</f>
        <v>15423</v>
      </c>
      <c r="N52" s="2308" t="str">
        <f>E48</f>
        <v>销售额×税（费）率</v>
      </c>
      <c r="O52" s="2311">
        <f>F48</f>
        <v>5.6000000000000001E-2</v>
      </c>
      <c r="P52" s="684">
        <f ca="1">M52</f>
        <v>15423</v>
      </c>
    </row>
    <row r="53" spans="1:35" ht="12" customHeight="1">
      <c r="A53" s="2153" t="s">
        <v>1356</v>
      </c>
      <c r="B53" s="3328" t="s">
        <v>2287</v>
      </c>
      <c r="C53" s="3329"/>
      <c r="D53" s="1024">
        <f ca="1">ROUND(D45*'数据-取费表'!B41/(1+'数据-取费表'!C42),0)</f>
        <v>15423</v>
      </c>
      <c r="E53" s="1256" t="s">
        <v>1354</v>
      </c>
      <c r="F53" s="2338">
        <f>'数据-取费表'!B41</f>
        <v>5.6000000000000001E-2</v>
      </c>
      <c r="G53" s="2339"/>
      <c r="H53" s="2329"/>
      <c r="I53" s="1669"/>
      <c r="J53" s="2308">
        <v>2</v>
      </c>
      <c r="K53" s="3367" t="s">
        <v>1357</v>
      </c>
      <c r="L53" s="3367"/>
      <c r="M53" s="2310">
        <f t="shared" ref="M53:O54" ca="1" si="0">D55</f>
        <v>145</v>
      </c>
      <c r="N53" s="2308" t="str">
        <f t="shared" si="0"/>
        <v>销售额×税（费）率</v>
      </c>
      <c r="O53" s="2311">
        <f t="shared" si="0"/>
        <v>5.0000000000000001E-4</v>
      </c>
      <c r="P53" s="684">
        <f ca="1">M53</f>
        <v>145</v>
      </c>
    </row>
    <row r="54" spans="1:35" ht="12" customHeight="1">
      <c r="A54" s="2153" t="s">
        <v>1358</v>
      </c>
      <c r="B54" s="3328" t="s">
        <v>2288</v>
      </c>
      <c r="C54" s="3329"/>
      <c r="D54" s="1024">
        <f ca="1">C68</f>
        <v>15423</v>
      </c>
      <c r="E54" s="319" t="s">
        <v>1359</v>
      </c>
      <c r="F54" s="2338">
        <f>'数据-取费表'!B41</f>
        <v>5.6000000000000001E-2</v>
      </c>
      <c r="G54" s="2339"/>
      <c r="H54" s="2340"/>
      <c r="I54" s="1669"/>
      <c r="J54" s="2308">
        <v>3</v>
      </c>
      <c r="K54" s="3367" t="s">
        <v>1360</v>
      </c>
      <c r="L54" s="3367"/>
      <c r="M54" s="2310">
        <f t="shared" ca="1" si="0"/>
        <v>163677</v>
      </c>
      <c r="N54" s="2308" t="str">
        <f t="shared" si="0"/>
        <v>增值额×税（费）率</v>
      </c>
      <c r="O54" s="2312" t="str">
        <f t="shared" si="0"/>
        <v>——</v>
      </c>
    </row>
    <row r="55" spans="1:35" ht="24" customHeight="1">
      <c r="A55" s="3317" t="s">
        <v>1361</v>
      </c>
      <c r="B55" s="3318"/>
      <c r="C55" s="3318"/>
      <c r="D55" s="12">
        <f ca="1">IF(H55="个人住宅",0,ROUND(D45*I55,0))</f>
        <v>145</v>
      </c>
      <c r="E55" s="1256" t="s">
        <v>1362</v>
      </c>
      <c r="F55" s="2338">
        <f>IF(H55="正常",I55,"免征")</f>
        <v>5.0000000000000001E-4</v>
      </c>
      <c r="G55" s="2339"/>
      <c r="H55" s="2335" t="s">
        <v>3443</v>
      </c>
      <c r="I55" s="157">
        <f>'数据-取费表'!B49</f>
        <v>5.0000000000000001E-4</v>
      </c>
      <c r="J55" s="2308" t="str">
        <f>IF(H59="非个人房产","",4)</f>
        <v/>
      </c>
      <c r="K55" s="3367" t="str">
        <f>IF(H59="非个人房产","——","个人所得税")</f>
        <v>——</v>
      </c>
      <c r="L55" s="3367"/>
      <c r="M55" s="2313" t="str">
        <f>D59</f>
        <v>——</v>
      </c>
      <c r="N55" s="1883" t="str">
        <f>E59</f>
        <v>——</v>
      </c>
      <c r="O55" s="2314" t="str">
        <f>F59</f>
        <v>——</v>
      </c>
    </row>
    <row r="56" spans="1:35" ht="25.2">
      <c r="A56" s="3317" t="s">
        <v>1363</v>
      </c>
      <c r="B56" s="3318"/>
      <c r="C56" s="3318"/>
      <c r="D56" s="12">
        <f ca="1">IF(H56="个人住宅",D57,D58)</f>
        <v>163677</v>
      </c>
      <c r="E56" s="1256" t="s">
        <v>1364</v>
      </c>
      <c r="F56" s="2338" t="str">
        <f>IF(H56="正常",F58,"免征")</f>
        <v>——</v>
      </c>
      <c r="G56" s="2341" t="s">
        <v>1365</v>
      </c>
      <c r="H56" s="2342" t="s">
        <v>3443</v>
      </c>
      <c r="I56" s="1670"/>
      <c r="J56" s="2308" t="str">
        <f>IF(项目基本情况!K6="上海银行",IF(J55="",4,J55+1),"")</f>
        <v/>
      </c>
      <c r="K56" s="3390" t="str">
        <f>IF(项目基本情况!K6="上海银行","其他处置费用","")</f>
        <v/>
      </c>
      <c r="L56" s="3391"/>
      <c r="M56" s="2310" t="str">
        <f>IF(项目基本情况!K6="上海银行",M69,"")</f>
        <v/>
      </c>
      <c r="N56" s="3390" t="str">
        <f>IF(项目基本情况!K6="上海银行","包含处置中涉及的律师、诉讼、拍卖、评估等费用","")</f>
        <v/>
      </c>
      <c r="O56" s="3393"/>
    </row>
    <row r="57" spans="1:35" ht="13.2">
      <c r="A57" s="2153" t="s">
        <v>1341</v>
      </c>
      <c r="B57" s="3328" t="s">
        <v>1366</v>
      </c>
      <c r="C57" s="3329"/>
      <c r="D57" s="1478">
        <v>0</v>
      </c>
      <c r="E57" s="316" t="s">
        <v>1343</v>
      </c>
      <c r="F57" s="294"/>
      <c r="G57" s="2339"/>
      <c r="H57" s="2343"/>
      <c r="I57" s="1670"/>
      <c r="J57" s="3367">
        <f>IF(AND(J55="",J56=""),4,IF(项目基本情况!K6="上海银行",结果表!J56+1,结果表!J55+1))</f>
        <v>4</v>
      </c>
      <c r="K57" s="3367" t="s">
        <v>1367</v>
      </c>
      <c r="L57" s="2315" t="s">
        <v>1368</v>
      </c>
      <c r="M57" s="2316"/>
      <c r="N57" s="2317">
        <f ca="1">SUMIF(M52:M56,"&lt;9e307")</f>
        <v>179245</v>
      </c>
      <c r="O57" s="2318"/>
      <c r="P57" s="121">
        <f ca="1">P52+P53</f>
        <v>15568</v>
      </c>
    </row>
    <row r="58" spans="1:35" ht="25.2">
      <c r="A58" s="2153" t="s">
        <v>1352</v>
      </c>
      <c r="B58" s="3328" t="s">
        <v>1369</v>
      </c>
      <c r="C58" s="3302"/>
      <c r="D58" s="12">
        <f ca="1">IF(H58="转让取得",C81,C97)</f>
        <v>163677</v>
      </c>
      <c r="E58" s="1256" t="s">
        <v>1364</v>
      </c>
      <c r="F58" s="294" t="s">
        <v>28</v>
      </c>
      <c r="G58" s="2339"/>
      <c r="H58" s="2342" t="s">
        <v>3514</v>
      </c>
      <c r="I58" s="1670"/>
      <c r="J58" s="3367"/>
      <c r="K58" s="3367"/>
      <c r="L58" s="2315" t="s">
        <v>1370</v>
      </c>
      <c r="M58" s="2319"/>
      <c r="N58" s="2320" t="str">
        <f ca="1">NUMBERSTRING(INT(N57*10000),2)&amp;"元整"</f>
        <v>壹拾柒亿玖仟贰佰肆拾伍万元整</v>
      </c>
      <c r="O58" s="2321"/>
      <c r="P58" s="3211" t="str">
        <f ca="1">NUMBERSTRING(INT(P57*10000),2)&amp;"元整"</f>
        <v>壹亿伍仟伍佰陆拾捌万元整</v>
      </c>
    </row>
    <row r="59" spans="1:35" ht="24.6" thickBot="1">
      <c r="A59" s="3370" t="s">
        <v>1371</v>
      </c>
      <c r="B59" s="3371"/>
      <c r="C59" s="337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3515</v>
      </c>
      <c r="I59" s="2137" t="s">
        <v>2137</v>
      </c>
      <c r="J59" s="3368">
        <f>J57+1</f>
        <v>5</v>
      </c>
      <c r="K59" s="3367" t="s">
        <v>1372</v>
      </c>
      <c r="L59" s="2308" t="s">
        <v>1368</v>
      </c>
      <c r="M59" s="2322"/>
      <c r="N59" s="2323">
        <f ca="1">M49-N57</f>
        <v>109937</v>
      </c>
      <c r="O59" s="2324"/>
      <c r="P59" s="684">
        <f ca="1">P49-P57</f>
        <v>273614</v>
      </c>
    </row>
    <row r="60" spans="1:35" ht="12" customHeight="1">
      <c r="A60" s="1671"/>
      <c r="B60" s="646"/>
      <c r="C60" s="646"/>
      <c r="D60" s="646"/>
      <c r="E60" s="1466"/>
      <c r="F60" s="1670"/>
      <c r="G60" s="1670"/>
      <c r="H60" s="151"/>
      <c r="I60" s="121"/>
      <c r="J60" s="3369"/>
      <c r="K60" s="3367"/>
      <c r="L60" s="2315" t="s">
        <v>1370</v>
      </c>
      <c r="M60" s="2319"/>
      <c r="N60" s="2320" t="str">
        <f ca="1">NUMBERSTRING(INT(N59*10000),2)&amp;"元整"</f>
        <v>壹拾亿玖仟玖佰叁拾柒万元整</v>
      </c>
      <c r="O60" s="2321"/>
      <c r="P60" s="3211" t="str">
        <f ca="1">NUMBERSTRING(INT(P59*10000),2)&amp;"元整"</f>
        <v>贰拾柒亿叁仟陆佰壹拾肆万元整</v>
      </c>
    </row>
    <row r="61" spans="1:35" ht="13.8" thickBot="1">
      <c r="A61" s="3315" t="s">
        <v>1373</v>
      </c>
      <c r="B61" s="3315"/>
      <c r="C61" s="3315"/>
      <c r="D61" s="3315"/>
      <c r="E61" s="3315"/>
      <c r="F61" s="1670"/>
      <c r="G61" s="1670"/>
      <c r="H61" s="151"/>
      <c r="I61" s="121"/>
      <c r="J61" s="2308">
        <f>J59+1</f>
        <v>6</v>
      </c>
      <c r="K61" s="3367" t="s">
        <v>1374</v>
      </c>
      <c r="L61" s="3367"/>
      <c r="M61" s="2325"/>
      <c r="N61" s="2326">
        <f ca="1">ROUND(N59*10000/'数据-汇总表'!E3,0)</f>
        <v>22314</v>
      </c>
      <c r="O61" s="2327"/>
      <c r="P61" s="3212">
        <f ca="1">ROUND(P59*10000/L18,0)</f>
        <v>55537</v>
      </c>
    </row>
    <row r="62" spans="1:35" ht="13.2">
      <c r="A62" s="3333" t="s">
        <v>1375</v>
      </c>
      <c r="B62" s="3334"/>
      <c r="C62" s="1865"/>
      <c r="D62" s="1865" t="s">
        <v>1376</v>
      </c>
      <c r="E62" s="158" t="s">
        <v>1377</v>
      </c>
      <c r="F62" s="1670"/>
      <c r="G62" s="1670"/>
      <c r="H62" s="151"/>
      <c r="I62" s="121"/>
    </row>
    <row r="63" spans="1:35" ht="13.2">
      <c r="A63" s="165" t="s">
        <v>330</v>
      </c>
      <c r="B63" s="159" t="s">
        <v>1378</v>
      </c>
      <c r="C63" s="2348">
        <f ca="1">ROUND((C64+C65)/(1+'数据-取费表'!C42),0)</f>
        <v>275411</v>
      </c>
      <c r="D63" s="159"/>
      <c r="E63" s="160"/>
      <c r="F63" s="1670"/>
      <c r="G63" s="1670"/>
      <c r="H63" s="151"/>
      <c r="I63" s="121"/>
      <c r="J63" s="3392" t="s">
        <v>1379</v>
      </c>
      <c r="K63" s="1245" t="s">
        <v>1380</v>
      </c>
      <c r="L63" s="1245">
        <f ca="1">IF(M49&gt;10000,M49*0.5%,IF(AND(M49&gt;1000,M49&lt;=10000),M49*1%,IF(AND(M49&gt;100,M49&lt;=1000),M49*3%,IF(AND(M49&gt;10,M49&lt;=100),M49*5%,M49*8%))))</f>
        <v>1445.91</v>
      </c>
      <c r="M63" s="294">
        <f ca="1">ROUND(L63,1)</f>
        <v>1445.9</v>
      </c>
      <c r="N63" s="2328"/>
      <c r="Z63" s="1623"/>
      <c r="AI63" s="1561"/>
    </row>
    <row r="64" spans="1:35" ht="14.25" customHeight="1">
      <c r="A64" s="161" t="s">
        <v>325</v>
      </c>
      <c r="B64" s="162" t="s">
        <v>1381</v>
      </c>
      <c r="C64" s="2349">
        <f ca="1">D45</f>
        <v>289182</v>
      </c>
      <c r="D64" s="162" t="s">
        <v>26</v>
      </c>
      <c r="E64" s="164"/>
      <c r="F64" s="1670"/>
      <c r="G64" s="1670"/>
      <c r="H64" s="151"/>
      <c r="I64" s="121"/>
      <c r="J64" s="3392"/>
      <c r="K64" s="1245" t="s">
        <v>1382</v>
      </c>
      <c r="L64" s="1245">
        <f ca="1">IF(M49&gt;2000,M49*0.5%,IF(AND(M49&gt;1000,M49&lt;=2000),M49*0.6%,IF(AND(M49&gt;500,M49&lt;=1000),M49*0.7%,IF(AND(M49&gt;200,M49&lt;=500),M49*0.8%,IF(AND(M49&gt;100,M49&lt;=200),M49*0.9%,IF(AND(M49&gt;50,M49&lt;=100),M49*1%,IF(AND(M49&gt;20,M49&lt;=50),M49*1.5%,IF(AND(M49&gt;10,M49&lt;=20),M49*2%,IF(AND(M49&gt;1,M49&lt;=10),M49*2.5%)))))))))</f>
        <v>1445.91</v>
      </c>
      <c r="M64" s="294">
        <f t="shared" ref="M64:M65" ca="1" si="1">ROUND(L64,1)</f>
        <v>1445.9</v>
      </c>
      <c r="N64" s="2329" t="s">
        <v>1383</v>
      </c>
      <c r="Z64" s="1623"/>
      <c r="AI64" s="1561"/>
    </row>
    <row r="65" spans="1:35" ht="14.25" customHeight="1">
      <c r="A65" s="161" t="s">
        <v>326</v>
      </c>
      <c r="B65" s="162" t="s">
        <v>1384</v>
      </c>
      <c r="C65" s="2350"/>
      <c r="D65" s="162"/>
      <c r="E65" s="164"/>
      <c r="F65" s="1670"/>
      <c r="G65" s="1670"/>
      <c r="H65" s="151"/>
      <c r="I65" s="121"/>
      <c r="J65" s="3392"/>
      <c r="K65" s="1245" t="s">
        <v>1385</v>
      </c>
      <c r="L65" s="1245">
        <f ca="1">IF(M49&gt;1000,M49*0.1%,IF(AND(M49&gt;500,M49&lt;=1000),M49*0.5%,IF(AND(M49&gt;50,M49&lt;=500),M49*1%,IF(AND(M49&gt;1,M49&lt;=50),M49*1.5%))))</f>
        <v>289.18200000000002</v>
      </c>
      <c r="M65" s="294">
        <f t="shared" ca="1" si="1"/>
        <v>289.2</v>
      </c>
      <c r="N65" s="2329" t="s">
        <v>1383</v>
      </c>
      <c r="Z65" s="1623"/>
      <c r="AI65" s="1561"/>
    </row>
    <row r="66" spans="1:35" ht="14.25" customHeight="1">
      <c r="A66" s="165" t="s">
        <v>327</v>
      </c>
      <c r="B66" s="166" t="s">
        <v>1386</v>
      </c>
      <c r="C66" s="2351"/>
      <c r="D66" s="166" t="s">
        <v>26</v>
      </c>
      <c r="E66" s="1251" t="s">
        <v>671</v>
      </c>
      <c r="F66" s="1670"/>
      <c r="G66" s="1670"/>
      <c r="H66" s="151"/>
      <c r="I66" s="121"/>
      <c r="J66" s="3392"/>
      <c r="K66" s="1245" t="s">
        <v>1387</v>
      </c>
      <c r="L66" s="1245">
        <f ca="1">M49*0.5%</f>
        <v>1445.91</v>
      </c>
      <c r="M66" s="294">
        <f ca="1">IF(L66&gt;0.5,0.5,ROUND(L66,0))</f>
        <v>0.5</v>
      </c>
      <c r="N66" s="2329" t="s">
        <v>1388</v>
      </c>
      <c r="Z66" s="1623"/>
      <c r="AI66" s="1561"/>
    </row>
    <row r="67" spans="1:35" ht="14.25" customHeight="1">
      <c r="A67" s="165" t="s">
        <v>328</v>
      </c>
      <c r="B67" s="166" t="s">
        <v>1389</v>
      </c>
      <c r="C67" s="2352">
        <f ca="1">C63-C66</f>
        <v>275411</v>
      </c>
      <c r="D67" s="162" t="s">
        <v>26</v>
      </c>
      <c r="E67" s="164"/>
      <c r="F67" s="1670"/>
      <c r="G67" s="1670"/>
      <c r="H67" s="151"/>
      <c r="I67" s="121"/>
      <c r="J67" s="3392"/>
      <c r="K67" s="1245" t="s">
        <v>1390</v>
      </c>
      <c r="L67" s="1245">
        <f ca="1">IF(M49&gt;=10000,(8.25+(M49-10000)*0.01%),IF(AND(M49&gt;=8000,M49&lt;10000),(7.85+(M49-8000)*0.02%),IF(AND(M49&gt;=5000,M49&lt;8000),(6.65+(M49-5000)*0.04%),IF(AND(M49&gt;=2000,M49&lt;5000),(4.25+(PM49-2000)*0.08%),IF(AND(M49&gt;=1000,M49&lt;2000),(2.75+(M49-1000)*0.15%),IF(AND(M49&gt;=100,M49&lt;1000),(0.5+(M49-100)*0.25%),IF(AND(M49&gt;0,M49&lt;100),M49*0.5%)))))))</f>
        <v>36.168199999999999</v>
      </c>
      <c r="M67" s="294">
        <f ca="1">ROUND(L67*0.9,1)</f>
        <v>32.6</v>
      </c>
      <c r="N67" s="2328"/>
      <c r="Z67" s="1623"/>
      <c r="AI67" s="1561"/>
    </row>
    <row r="68" spans="1:35" ht="14.25" customHeight="1" thickBot="1">
      <c r="A68" s="168" t="s">
        <v>329</v>
      </c>
      <c r="B68" s="169" t="s">
        <v>1391</v>
      </c>
      <c r="C68" s="2353">
        <f ca="1">IF(C67&lt;=0,0,ROUND(C67*D68,0))</f>
        <v>15423</v>
      </c>
      <c r="D68" s="2354">
        <f>'数据-取费表'!B41</f>
        <v>5.6000000000000001E-2</v>
      </c>
      <c r="E68" s="170"/>
      <c r="F68" s="1670"/>
      <c r="G68" s="1670"/>
      <c r="H68" s="151"/>
      <c r="I68" s="121"/>
      <c r="J68" s="3392"/>
      <c r="K68" s="1245" t="s">
        <v>1392</v>
      </c>
      <c r="L68" s="1245">
        <f ca="1">IF(M49&gt;10000,M49*0.5%,IF(AND(M49&gt;5000,M49&lt;=10000),M49*1%,IF(AND(M49&gt;1000,M49&lt;=5000),M49*2%,IF(AND(M49&gt;200,M49&lt;=1000),M49*3%,M49*5%))))</f>
        <v>1445.91</v>
      </c>
      <c r="M68" s="294">
        <f ca="1">ROUND(L68,1)</f>
        <v>1445.9</v>
      </c>
      <c r="N68" s="2328"/>
      <c r="Z68" s="1623"/>
      <c r="AI68" s="1561"/>
    </row>
    <row r="69" spans="1:35" ht="16.5" customHeight="1">
      <c r="A69" s="1672"/>
      <c r="B69" s="1673"/>
      <c r="C69" s="1674"/>
      <c r="D69" s="1675"/>
      <c r="E69" s="1676"/>
      <c r="F69" s="1466"/>
      <c r="G69" s="1466"/>
      <c r="H69" s="1467"/>
      <c r="I69" s="646"/>
      <c r="J69" s="3392"/>
      <c r="K69" s="1245" t="s">
        <v>1393</v>
      </c>
      <c r="L69" s="1245"/>
      <c r="M69" s="294">
        <f ca="1">ROUND(SUM(M63:M68),0)</f>
        <v>4660</v>
      </c>
      <c r="N69" s="2330">
        <f ca="1">M69/M49</f>
        <v>1.6114419293040368E-2</v>
      </c>
      <c r="Z69" s="1623"/>
      <c r="AI69" s="1561"/>
    </row>
    <row r="70" spans="1:35" s="642" customFormat="1" ht="14.4" thickBot="1">
      <c r="A70" s="3354" t="s">
        <v>1394</v>
      </c>
      <c r="B70" s="3355"/>
      <c r="C70" s="3355"/>
      <c r="D70" s="3355"/>
      <c r="E70" s="3355"/>
      <c r="F70" s="3355"/>
      <c r="G70" s="3355"/>
      <c r="H70" s="335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3" t="s">
        <v>1375</v>
      </c>
      <c r="B71" s="333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275411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1652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8" t="s">
        <v>1402</v>
      </c>
      <c r="F76" s="3302"/>
      <c r="G76" s="3302"/>
      <c r="H76" s="335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1652</v>
      </c>
      <c r="D78" s="2361">
        <f>'数据-取费表'!B43</f>
        <v>6.000000000000001E-3</v>
      </c>
      <c r="E78" s="3312" t="s">
        <v>1406</v>
      </c>
      <c r="F78" s="3313"/>
      <c r="G78" s="3313"/>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273759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165.7136803874092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163677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4" t="s">
        <v>1410</v>
      </c>
      <c r="B83" s="3355"/>
      <c r="C83" s="3355"/>
      <c r="D83" s="3355"/>
      <c r="E83" s="3355"/>
      <c r="F83" s="3355"/>
      <c r="G83" s="3355"/>
      <c r="H83" s="335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3" t="s">
        <v>1375</v>
      </c>
      <c r="B84" s="333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275411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1652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94" t="s">
        <v>2129</v>
      </c>
      <c r="H90" s="339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2" t="s">
        <v>1422</v>
      </c>
      <c r="F92" s="3313"/>
      <c r="G92" s="3313"/>
      <c r="H92" s="3322"/>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1652</v>
      </c>
      <c r="D93" s="2361">
        <f>'数据-取费表'!B43</f>
        <v>6.000000000000001E-3</v>
      </c>
      <c r="E93" s="3312" t="s">
        <v>1406</v>
      </c>
      <c r="F93" s="3313"/>
      <c r="G93" s="3313"/>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3" t="s">
        <v>1426</v>
      </c>
      <c r="F94" s="3324"/>
      <c r="G94" s="3324"/>
      <c r="H94" s="33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273759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165.7136803874092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163677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6" t="s">
        <v>1428</v>
      </c>
      <c r="B100" s="3297"/>
      <c r="C100" s="3297"/>
      <c r="D100" s="3314"/>
      <c r="E100" s="3297" t="s">
        <v>1429</v>
      </c>
      <c r="F100" s="3297"/>
      <c r="G100" s="3297"/>
      <c r="H100" s="3314"/>
      <c r="I100" s="121"/>
    </row>
    <row r="101" spans="1:35" ht="18.75" customHeight="1">
      <c r="A101" s="3375" t="s">
        <v>1430</v>
      </c>
      <c r="B101" s="3376"/>
      <c r="C101" s="2369" t="str">
        <f>C4</f>
        <v>比较法-办公</v>
      </c>
      <c r="D101" s="2370" t="str">
        <f>D4</f>
        <v>收益法</v>
      </c>
      <c r="E101" s="3389" t="s">
        <v>1431</v>
      </c>
      <c r="F101" s="3346"/>
      <c r="G101" s="1687" t="s">
        <v>1432</v>
      </c>
      <c r="H101" s="2379">
        <f ca="1">H118</f>
        <v>289182</v>
      </c>
      <c r="I101" s="121"/>
    </row>
    <row r="102" spans="1:35" ht="18.75" customHeight="1">
      <c r="A102" s="3348" t="s">
        <v>1433</v>
      </c>
      <c r="B102" s="2368" t="s">
        <v>1432</v>
      </c>
      <c r="C102" s="2369">
        <f ca="1">IF(D32="楼面单价",ROUND(C19,0),C19)</f>
        <v>370105</v>
      </c>
      <c r="D102" s="2370">
        <f ca="1">IF(D32="楼面单价",ROUND(D19,0),D19)</f>
        <v>190275</v>
      </c>
      <c r="E102" s="3389"/>
      <c r="F102" s="3346"/>
      <c r="G102" s="1687" t="s">
        <v>1434</v>
      </c>
      <c r="H102" s="2339">
        <f ca="1">I118</f>
        <v>58697</v>
      </c>
      <c r="I102" s="121"/>
    </row>
    <row r="103" spans="1:35" ht="42.75" customHeight="1">
      <c r="A103" s="3348"/>
      <c r="B103" s="2368" t="s">
        <v>1434</v>
      </c>
      <c r="C103" s="2371">
        <f ca="1">C20</f>
        <v>75122</v>
      </c>
      <c r="D103" s="2372">
        <f ca="1">D20</f>
        <v>38621</v>
      </c>
      <c r="E103" s="3383" t="s">
        <v>1435</v>
      </c>
      <c r="F103" s="3384"/>
      <c r="G103" s="1688" t="s">
        <v>1436</v>
      </c>
      <c r="H103" s="2379">
        <f>IF(D36="正常操作",H104+H105+H106,H105+H106)</f>
        <v>0</v>
      </c>
      <c r="I103" s="121"/>
    </row>
    <row r="104" spans="1:35" ht="18.75" customHeight="1">
      <c r="A104" s="3348" t="s">
        <v>1437</v>
      </c>
      <c r="B104" s="2373" t="s">
        <v>1432</v>
      </c>
      <c r="C104" s="2374">
        <f ca="1">H118</f>
        <v>289182</v>
      </c>
      <c r="D104" s="2375"/>
      <c r="E104" s="1555" t="s">
        <v>1438</v>
      </c>
      <c r="F104" s="1548"/>
      <c r="G104" s="1688" t="s">
        <v>1436</v>
      </c>
      <c r="H104" s="2380">
        <f>IF(D36="同一抵押权人同一抵押物续贷",C36&amp;"（续贷，未扣减，详见特别提示）",C36)</f>
        <v>0</v>
      </c>
      <c r="I104" s="121"/>
    </row>
    <row r="105" spans="1:35" ht="18.75" customHeight="1" thickBot="1">
      <c r="A105" s="3349"/>
      <c r="B105" s="2376" t="s">
        <v>1434</v>
      </c>
      <c r="C105" s="2377">
        <f ca="1">I118</f>
        <v>58697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5" t="str">
        <f>IF(项目基本情况!E8="已注销","——","3.房地产抵押价值")</f>
        <v>3.房地产抵押价值</v>
      </c>
      <c r="F107" s="3346"/>
      <c r="G107" s="1687" t="s">
        <v>1432</v>
      </c>
      <c r="H107" s="2379">
        <f ca="1">IF(E107="——","——",H101-H103)</f>
        <v>289182</v>
      </c>
      <c r="I107" s="121"/>
    </row>
    <row r="108" spans="1:35" ht="18.75" customHeight="1">
      <c r="A108" s="121"/>
      <c r="B108" s="121"/>
      <c r="C108" s="121"/>
      <c r="D108" s="121"/>
      <c r="E108" s="3345"/>
      <c r="F108" s="3346"/>
      <c r="G108" s="1687" t="s">
        <v>1434</v>
      </c>
      <c r="H108" s="2339">
        <f ca="1">IF(H107=H101,H102,ROUND(H107*10000/'数据-汇总表'!E3,0))</f>
        <v>58697</v>
      </c>
      <c r="I108" s="121"/>
    </row>
    <row r="109" spans="1:35" ht="18.75" customHeight="1">
      <c r="A109" s="121"/>
      <c r="B109" s="121"/>
      <c r="C109" s="121"/>
      <c r="D109" s="121"/>
      <c r="E109" s="3345" t="str">
        <f>IF(项目基本情况!E8="已注销及未注销","4.抵押担保权已注销时的房地产抵押价值",IF(项目基本情况!E8="已注销","3.抵押担保权已注销时的房地产抵押价值","——"))</f>
        <v>——</v>
      </c>
      <c r="F109" s="3346"/>
      <c r="G109" s="1687" t="s">
        <v>1432</v>
      </c>
      <c r="H109" s="2382" t="str">
        <f>IF(E109="——","——",H101-H105-H106)</f>
        <v>——</v>
      </c>
      <c r="I109" s="121"/>
    </row>
    <row r="110" spans="1:35" ht="18.75" customHeight="1">
      <c r="A110" s="121"/>
      <c r="B110" s="121"/>
      <c r="C110" s="121"/>
      <c r="D110" s="121"/>
      <c r="E110" s="3345"/>
      <c r="F110" s="3346"/>
      <c r="G110" s="1687" t="s">
        <v>1434</v>
      </c>
      <c r="H110" s="2339" t="str">
        <f>IF(H109="——","——",ROUND(H109*10000/'数据-汇总表'!E3,0))</f>
        <v>——</v>
      </c>
      <c r="I110" s="121"/>
    </row>
    <row r="111" spans="1:35" ht="18.75" customHeight="1">
      <c r="A111" s="121"/>
      <c r="B111" s="121"/>
      <c r="C111" s="121"/>
      <c r="D111" s="121"/>
      <c r="E111" s="3377" t="str">
        <f>IF(项目基本情况!E9="抵押净值",IF(OR(项目基本情况!E8="已注销",项目基本情况!E8="房地产抵押价值"),"4.抵押净值","5.抵押净值"),"——")</f>
        <v>4.抵押净值</v>
      </c>
      <c r="F111" s="3347"/>
      <c r="G111" s="1687" t="s">
        <v>1432</v>
      </c>
      <c r="H111" s="2379">
        <f ca="1">IF(E111="——","——",N59)</f>
        <v>109937</v>
      </c>
      <c r="I111" s="121"/>
    </row>
    <row r="112" spans="1:35" ht="18.75" customHeight="1" thickBot="1">
      <c r="A112" s="121"/>
      <c r="B112" s="121"/>
      <c r="C112" s="121"/>
      <c r="D112" s="121"/>
      <c r="E112" s="3378"/>
      <c r="F112" s="3379"/>
      <c r="G112" s="1690" t="s">
        <v>1434</v>
      </c>
      <c r="H112" s="2383">
        <f ca="1">IF(E111="——","——",N61)</f>
        <v>22314</v>
      </c>
      <c r="I112" s="121"/>
    </row>
    <row r="113" spans="1:27" ht="18.75" customHeight="1">
      <c r="A113" s="121"/>
      <c r="B113" s="121"/>
      <c r="C113" s="121"/>
      <c r="D113" s="121"/>
      <c r="E113" s="3350" t="s">
        <v>1440</v>
      </c>
      <c r="F113" s="3350"/>
      <c r="G113" s="3350"/>
      <c r="H113" s="3350"/>
      <c r="I113" s="121"/>
    </row>
    <row r="114" spans="1:27" ht="3.75" customHeight="1">
      <c r="A114" s="646"/>
      <c r="B114" s="646"/>
      <c r="C114" s="646"/>
      <c r="D114" s="646"/>
      <c r="E114" s="1671"/>
      <c r="F114" s="1671"/>
      <c r="G114" s="1671"/>
      <c r="H114" s="1671"/>
      <c r="I114" s="646"/>
    </row>
    <row r="115" spans="1:27" ht="18.75" customHeight="1">
      <c r="A115" s="3360" t="s">
        <v>1442</v>
      </c>
      <c r="B115" s="3361"/>
      <c r="C115" s="3361"/>
      <c r="D115" s="3361"/>
      <c r="E115" s="3361"/>
      <c r="F115" s="3361"/>
      <c r="G115" s="3361"/>
      <c r="H115" s="3361"/>
      <c r="I115" s="3362"/>
    </row>
    <row r="116" spans="1:27" ht="27" customHeight="1">
      <c r="A116" s="3316" t="s">
        <v>1443</v>
      </c>
      <c r="B116" s="3351" t="s">
        <v>1444</v>
      </c>
      <c r="C116" s="3351" t="s">
        <v>1445</v>
      </c>
      <c r="D116" s="3364" t="s">
        <v>1446</v>
      </c>
      <c r="E116" s="3365"/>
      <c r="F116" s="3359" t="s">
        <v>1447</v>
      </c>
      <c r="G116" s="3359"/>
      <c r="H116" s="3316" t="s">
        <v>1448</v>
      </c>
      <c r="I116" s="3316"/>
    </row>
    <row r="117" spans="1:27" ht="18.75" customHeight="1">
      <c r="A117" s="3316"/>
      <c r="B117" s="3352"/>
      <c r="C117" s="3352"/>
      <c r="D117" s="2150" t="s">
        <v>1449</v>
      </c>
      <c r="E117" s="2150" t="s">
        <v>1450</v>
      </c>
      <c r="F117" s="2150" t="s">
        <v>1449</v>
      </c>
      <c r="G117" s="2150" t="s">
        <v>1451</v>
      </c>
      <c r="H117" s="2150" t="s">
        <v>1449</v>
      </c>
      <c r="I117" s="2150" t="s">
        <v>1451</v>
      </c>
    </row>
    <row r="118" spans="1:27" ht="24.75" customHeight="1">
      <c r="A118" s="2384" t="str">
        <f>项目基本情况!S2</f>
        <v>北京市朝阳区建国门外大街甲6号1幢房地产</v>
      </c>
      <c r="B118" s="2150">
        <f>M18</f>
        <v>49267.189999999995</v>
      </c>
      <c r="C118" s="2150">
        <f>M19</f>
        <v>3497.08</v>
      </c>
      <c r="D118" s="2150">
        <f ca="1">ROUND(IF(D32="总价",C34,E118*B118/10000),0)</f>
        <v>221224</v>
      </c>
      <c r="E118" s="2150">
        <f ca="1">ROUND(IF(C33="自定义",IF(D32="楼面单价",C34,D118*10000/B118),I118-G118),0)</f>
        <v>44903</v>
      </c>
      <c r="F118" s="2150">
        <f ca="1">ROUND(IF(D32="总价",C35,G118*B118/10000),0)</f>
        <v>67958</v>
      </c>
      <c r="G118" s="2150">
        <f ca="1">ROUND(IF(D32="楼面单价",C35,F118*10000/B118),0)</f>
        <v>13794</v>
      </c>
      <c r="H118" s="2150">
        <f ca="1">ROUND(IF(D32="总价",C32,I118*B118/10000),0)</f>
        <v>289182</v>
      </c>
      <c r="I118" s="2150">
        <f ca="1">ROUND(IF(D32="楼面单价",C32,H118*10000/B118),0)</f>
        <v>58697</v>
      </c>
    </row>
    <row r="119" spans="1:27" ht="18.75" customHeight="1">
      <c r="A119" s="3316" t="s">
        <v>1452</v>
      </c>
      <c r="B119" s="3316"/>
      <c r="C119" s="3316"/>
      <c r="D119" s="3356" t="str">
        <f ca="1">NUMBERSTRING(INT(D118*10000),2)&amp;"元整"</f>
        <v>贰拾贰亿壹仟贰佰贰拾肆万元整</v>
      </c>
      <c r="E119" s="3358"/>
      <c r="F119" s="3356" t="str">
        <f ca="1">NUMBERSTRING(INT(F118*10000),2)&amp;"元整"</f>
        <v>陆亿柒仟玖佰伍拾捌万元整</v>
      </c>
      <c r="G119" s="3358"/>
      <c r="H119" s="3356" t="str">
        <f ca="1">NUMBERSTRING(INT(H118*10000),2)&amp;"元整"</f>
        <v>贰拾捌亿玖仟壹佰捌拾贰万元整</v>
      </c>
      <c r="I119" s="3358"/>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6" t="s">
        <v>1452</v>
      </c>
      <c r="B121" s="3357"/>
      <c r="C121" s="3358"/>
      <c r="D121" s="3356" t="str">
        <f>IF(D120=0,"零元整",NUMBERSTRING(INT(D120*10000),2)&amp;"元整")</f>
        <v>零元整</v>
      </c>
      <c r="E121" s="3357"/>
      <c r="F121" s="3357"/>
      <c r="G121" s="3357"/>
      <c r="H121" s="3357"/>
      <c r="I121" s="3358"/>
      <c r="AA121" s="684"/>
    </row>
    <row r="122" spans="1:27" ht="18.75" customHeight="1">
      <c r="A122" s="3347" t="str">
        <f>IF(项目基本情况!B9="房地产市场价值","",MID(E107,3,LEN(E107)-2))</f>
        <v>房地产抵押价值</v>
      </c>
      <c r="B122" s="3347"/>
      <c r="C122" s="3347"/>
      <c r="D122" s="3380">
        <f ca="1">H107</f>
        <v>289182</v>
      </c>
      <c r="E122" s="3381"/>
      <c r="F122" s="3381"/>
      <c r="G122" s="3381"/>
      <c r="H122" s="3381"/>
      <c r="I122" s="3382"/>
      <c r="AA122" s="684"/>
    </row>
    <row r="123" spans="1:27" ht="18.75" customHeight="1">
      <c r="A123" s="3316" t="s">
        <v>1452</v>
      </c>
      <c r="B123" s="3316"/>
      <c r="C123" s="3316"/>
      <c r="D123" s="3356" t="str">
        <f ca="1">NUMBERSTRING(INT(D122*10000),2)&amp;"元整"</f>
        <v>贰拾捌亿玖仟壹佰捌拾贰万元整</v>
      </c>
      <c r="E123" s="3357"/>
      <c r="F123" s="3357"/>
      <c r="G123" s="3357"/>
      <c r="H123" s="3357"/>
      <c r="I123" s="3358"/>
      <c r="AA123" s="684"/>
    </row>
    <row r="124" spans="1:27" ht="18.75" customHeight="1">
      <c r="A124" s="3347" t="str">
        <f>IF(项目基本情况!B9="房地产市场价值","",MID(E109,3,LEN(E109)-2))</f>
        <v/>
      </c>
      <c r="B124" s="3347"/>
      <c r="C124" s="3347"/>
      <c r="D124" s="3380" t="str">
        <f>H109</f>
        <v>——</v>
      </c>
      <c r="E124" s="3381"/>
      <c r="F124" s="3381"/>
      <c r="G124" s="3381"/>
      <c r="H124" s="3381"/>
      <c r="I124" s="3382"/>
      <c r="AA124" s="684"/>
    </row>
    <row r="125" spans="1:27" ht="18.75" customHeight="1">
      <c r="A125" s="3316" t="s">
        <v>1452</v>
      </c>
      <c r="B125" s="3316"/>
      <c r="C125" s="3316"/>
      <c r="D125" s="3356" t="e">
        <f>NUMBERSTRING(INT(D124*10000),2)&amp;"元整"</f>
        <v>#VALUE!</v>
      </c>
      <c r="E125" s="3357"/>
      <c r="F125" s="3357"/>
      <c r="G125" s="3357"/>
      <c r="H125" s="3357"/>
      <c r="I125" s="3358"/>
      <c r="AA125" s="684"/>
    </row>
    <row r="126" spans="1:27" ht="18.75" customHeight="1">
      <c r="A126" s="3347" t="str">
        <f>IF(项目基本情况!B9="房地产市场价值","",MID(E111,3,LEN(E111)-2))</f>
        <v>抵押净值</v>
      </c>
      <c r="B126" s="3347"/>
      <c r="C126" s="3347"/>
      <c r="D126" s="3380">
        <f ca="1">H111</f>
        <v>109937</v>
      </c>
      <c r="E126" s="3381"/>
      <c r="F126" s="3381"/>
      <c r="G126" s="3381"/>
      <c r="H126" s="3381"/>
      <c r="I126" s="3382"/>
      <c r="AA126" s="684"/>
    </row>
    <row r="127" spans="1:27" ht="18.75" customHeight="1">
      <c r="A127" s="3316" t="s">
        <v>1452</v>
      </c>
      <c r="B127" s="3316"/>
      <c r="C127" s="3316"/>
      <c r="D127" s="3356" t="str">
        <f ca="1">NUMBERSTRING(INT(D126*10000),2)&amp;"元整"</f>
        <v>壹拾亿玖仟玖佰叁拾柒万元整</v>
      </c>
      <c r="E127" s="3357"/>
      <c r="F127" s="3357"/>
      <c r="G127" s="3357"/>
      <c r="H127" s="3357"/>
      <c r="I127" s="3358"/>
      <c r="AA127" s="684"/>
    </row>
    <row r="128" spans="1:27" ht="21.75" customHeight="1">
      <c r="A128" s="3363" t="s">
        <v>1453</v>
      </c>
      <c r="B128" s="3363"/>
      <c r="C128" s="3363"/>
      <c r="D128" s="3363"/>
      <c r="E128" s="3363"/>
      <c r="F128" s="3363"/>
      <c r="G128" s="3363"/>
      <c r="H128" s="3363"/>
      <c r="I128" s="336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39150.753299999997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7947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9853438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9853438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9853438</v>
      </c>
      <c r="D10" s="795">
        <f ca="1">IF(B1="",'数据-汇总表'!E6,IF(INDIRECT("'数据-取费表'!c"&amp;$G$1)="住宅",INDIRECT("'数据-取费表'!s"&amp;$G$1),INDIRECT("'数据-取费表'!k"&amp;$G$1)+INDIRECT("'数据-取费表'!s"&amp;$G$1)))</f>
        <v>49267.189999999995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9853438</v>
      </c>
      <c r="D19" s="204">
        <f ca="1">D9+D10</f>
        <v>49267.189999999995</v>
      </c>
      <c r="E19" s="203">
        <f>'数据-取费表'!B31</f>
        <v>200</v>
      </c>
      <c r="F19" s="223"/>
      <c r="G19" s="1714"/>
    </row>
    <row r="20" spans="1:7" s="206" customFormat="1" ht="13.5" customHeight="1">
      <c r="A20" s="247" t="s">
        <v>1574</v>
      </c>
      <c r="B20" s="202" t="s">
        <v>1575</v>
      </c>
      <c r="C20" s="224">
        <f ca="1">ROUND((C5+C19)*F20,0)</f>
        <v>591206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1854163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913680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913680</v>
      </c>
      <c r="D24" s="230"/>
      <c r="E24" s="230"/>
      <c r="F24" s="231"/>
      <c r="G24" s="232" t="s">
        <v>1586</v>
      </c>
    </row>
    <row r="25" spans="1:7" s="206" customFormat="1" ht="24">
      <c r="A25" s="734" t="s">
        <v>1476</v>
      </c>
      <c r="B25" s="207" t="s">
        <v>1587</v>
      </c>
      <c r="C25" s="230">
        <f ca="1">ROUND(IF('数据-取费表'!B22&lt;=1,C20*F22*'数据-取费表'!B22/2,C20*(POWER((1+F22),'数据-取费表'!B22/2)-1)),0)</f>
        <v>26803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4059616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4059616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28435519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326148798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295603140</v>
      </c>
      <c r="D34" s="209"/>
      <c r="E34" s="212"/>
      <c r="F34" s="249"/>
      <c r="G34" s="211"/>
    </row>
    <row r="35" spans="1:7" ht="13.5" customHeight="1">
      <c r="A35" s="734" t="s">
        <v>351</v>
      </c>
      <c r="B35" s="207" t="s">
        <v>1527</v>
      </c>
      <c r="C35" s="212">
        <f ca="1">ROUND(C34*F35,0)</f>
        <v>14780157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9853438</v>
      </c>
      <c r="D37" s="209">
        <f ca="1">D19</f>
        <v>49267.189999999995</v>
      </c>
      <c r="E37" s="241">
        <f>'数据-取费表'!B35</f>
        <v>200</v>
      </c>
      <c r="F37" s="251"/>
      <c r="G37" s="253"/>
    </row>
    <row r="38" spans="1:7" ht="13.5" customHeight="1">
      <c r="A38" s="734" t="s">
        <v>354</v>
      </c>
      <c r="B38" s="207" t="s">
        <v>1533</v>
      </c>
      <c r="C38" s="212">
        <f ca="1">ROUND(C34*F38,0)</f>
        <v>5912063</v>
      </c>
      <c r="D38" s="212"/>
      <c r="E38" s="212"/>
      <c r="F38" s="251">
        <f>'数据-取费表'!B36</f>
        <v>0.02</v>
      </c>
      <c r="G38" s="211" t="s">
        <v>1528</v>
      </c>
    </row>
    <row r="39" spans="1:7" s="206" customFormat="1" ht="13.5" customHeight="1">
      <c r="A39" s="247" t="s">
        <v>1534</v>
      </c>
      <c r="B39" s="202" t="s">
        <v>1535</v>
      </c>
      <c r="C39" s="224">
        <f ca="1">ROUND(C33*F20,0)</f>
        <v>9784464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15229814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14786227</v>
      </c>
      <c r="D42" s="230"/>
      <c r="E42" s="230"/>
      <c r="F42" s="231"/>
      <c r="G42" s="3396" t="s">
        <v>1591</v>
      </c>
    </row>
    <row r="43" spans="1:7" ht="13.5" customHeight="1">
      <c r="A43" s="734" t="s">
        <v>347</v>
      </c>
      <c r="B43" s="207" t="s">
        <v>1545</v>
      </c>
      <c r="C43" s="230">
        <f ca="1">ROUND(IF('数据-取费表'!B22&lt;=1,C39*F22*'数据-取费表'!B20/2,C39*(POWER((1+F22),'数据-取费表'!B20/2)-1)),0)</f>
        <v>443587</v>
      </c>
      <c r="D43" s="230"/>
      <c r="E43" s="230"/>
      <c r="F43" s="231"/>
      <c r="G43" s="3397"/>
    </row>
    <row r="44" spans="1:7" ht="13.5" customHeight="1">
      <c r="A44" s="734" t="s">
        <v>348</v>
      </c>
      <c r="B44" s="207" t="s">
        <v>1546</v>
      </c>
      <c r="C44" s="230">
        <f ca="1">ROUND(IF('数据-取费表'!B22&lt;=1,C40*F22*'数据-取费表'!B20/2,C40*(POWER((1+F22),'数据-取费表'!B20/2)-1)),4)</f>
        <v>8.9999999999999998E-4</v>
      </c>
      <c r="D44" s="230"/>
      <c r="E44" s="230"/>
      <c r="F44" s="231"/>
      <c r="G44" s="3398"/>
    </row>
    <row r="45" spans="1:7" s="206" customFormat="1" ht="13.5" customHeight="1">
      <c r="A45" s="247" t="s">
        <v>1547</v>
      </c>
      <c r="B45" s="236" t="s">
        <v>1513</v>
      </c>
      <c r="C45" s="237">
        <f ca="1">C46</f>
        <v>67186652</v>
      </c>
      <c r="D45" s="227">
        <f ca="1">C47</f>
        <v>4.0000000000000001E-3</v>
      </c>
      <c r="E45" s="228" t="s">
        <v>1539</v>
      </c>
      <c r="F45" s="238">
        <f ca="1">F27</f>
        <v>0.2</v>
      </c>
      <c r="G45" s="239" t="s">
        <v>1548</v>
      </c>
    </row>
    <row r="46" spans="1:7" s="206" customFormat="1" ht="13.5" customHeight="1">
      <c r="A46" s="734" t="s">
        <v>346</v>
      </c>
      <c r="B46" s="240" t="s">
        <v>1549</v>
      </c>
      <c r="C46" s="241">
        <f ca="1">ROUND((C33+C39)*F27,0)</f>
        <v>67186652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453840017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363072014</v>
      </c>
      <c r="D51" s="224"/>
      <c r="E51" s="224"/>
      <c r="F51" s="256"/>
      <c r="G51" s="226" t="s">
        <v>1560</v>
      </c>
    </row>
    <row r="52" spans="1:7" s="200" customFormat="1" ht="16.8" thickBot="1">
      <c r="A52" s="257" t="s">
        <v>1561</v>
      </c>
      <c r="B52" s="258"/>
      <c r="C52" s="259">
        <f ca="1">C31+C51</f>
        <v>391507533</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49267.189999999995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49267.189999999995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985</v>
      </c>
      <c r="D20" s="796">
        <f ca="1">IF(C1="",'数据-汇总表'!E6,IF(INDIRECT("'数据-取费表'!c"&amp;$K$1)="住宅",INDIRECT("'数据-取费表'!s"&amp;$K$1),INDIRECT("'数据-取费表'!k"&amp;$K$1)+INDIRECT("'数据-取费表'!s"&amp;$K$1)))</f>
        <v>49267.189999999995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topLeftCell="A37" zoomScale="85" zoomScaleNormal="70" zoomScaleSheetLayoutView="85" workbookViewId="0">
      <selection activeCell="N25" sqref="N25"/>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6.554687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3558</v>
      </c>
      <c r="E1" s="3128" t="s">
        <v>3510</v>
      </c>
      <c r="F1" s="1735" t="s">
        <v>3508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370105</v>
      </c>
      <c r="C2" s="1737" t="s">
        <v>43</v>
      </c>
      <c r="D2" s="1052">
        <f ca="1">IF(E1="项目模式",SUMIF(INDIRECT("'"&amp;F2&amp;"'"&amp;"!A:A"),"承租人权益价值",INDIRECT("'"&amp;F2&amp;"'"&amp;"!c:c")),SUMIF(INDIRECT("'"&amp;F2&amp;"'"&amp;"!A:A"),"承租人权益价值（单套）",INDIRECT("'"&amp;F2&amp;"'"&amp;"!c:c")))</f>
        <v>0</v>
      </c>
      <c r="E2" s="1738" t="s">
        <v>1463</v>
      </c>
      <c r="F2" s="1739" t="s">
        <v>3442</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75122</v>
      </c>
      <c r="C3" s="344" t="s">
        <v>1768</v>
      </c>
      <c r="D3" s="343">
        <f>IF(D1="",'数据-汇总表'!E3,SUMIF('数据-汇总表'!$C19:$C33,D1,'数据-汇总表'!$E19:$E33))</f>
        <v>49267.189999999995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21" t="s">
        <v>1775</v>
      </c>
      <c r="Q4" s="3422"/>
      <c r="R4" s="3427" t="s">
        <v>1771</v>
      </c>
      <c r="S4" s="3428"/>
      <c r="T4" s="3427" t="s">
        <v>1772</v>
      </c>
      <c r="U4" s="3428"/>
      <c r="V4" s="3433" t="s">
        <v>1773</v>
      </c>
      <c r="W4" s="3433"/>
      <c r="X4" s="1809"/>
      <c r="Y4" s="3427" t="s">
        <v>1775</v>
      </c>
      <c r="Z4" s="3428"/>
      <c r="AA4" s="3444" t="s">
        <v>1771</v>
      </c>
      <c r="AB4" s="3444" t="s">
        <v>1772</v>
      </c>
      <c r="AC4" s="3414" t="s">
        <v>1773</v>
      </c>
    </row>
    <row r="5" spans="1:29">
      <c r="A5" s="348"/>
      <c r="B5" s="349"/>
      <c r="C5" s="3436" t="s">
        <v>1673</v>
      </c>
      <c r="D5" s="3437"/>
      <c r="E5" s="3447" t="s">
        <v>3645</v>
      </c>
      <c r="F5" s="3448"/>
      <c r="G5" s="3436" t="s">
        <v>3646</v>
      </c>
      <c r="H5" s="3437"/>
      <c r="I5" s="3436" t="s">
        <v>3647</v>
      </c>
      <c r="J5" s="3437"/>
      <c r="K5" s="537"/>
      <c r="L5" s="2483"/>
      <c r="M5" s="2484"/>
      <c r="N5" s="2484"/>
      <c r="O5" s="2484"/>
      <c r="P5" s="3423"/>
      <c r="Q5" s="3424"/>
      <c r="R5" s="3429"/>
      <c r="S5" s="3430"/>
      <c r="T5" s="3429"/>
      <c r="U5" s="3430"/>
      <c r="V5" s="3401"/>
      <c r="W5" s="3401"/>
      <c r="X5" s="1265"/>
      <c r="Y5" s="3429"/>
      <c r="Z5" s="3430"/>
      <c r="AA5" s="3445"/>
      <c r="AB5" s="3445"/>
      <c r="AC5" s="3415"/>
    </row>
    <row r="6" spans="1:29" ht="15" thickBot="1">
      <c r="A6" s="350"/>
      <c r="B6" s="351"/>
      <c r="C6" s="3434" t="s">
        <v>1677</v>
      </c>
      <c r="D6" s="3435"/>
      <c r="E6" s="3442" t="s">
        <v>3648</v>
      </c>
      <c r="F6" s="3443"/>
      <c r="G6" s="3434" t="s">
        <v>3649</v>
      </c>
      <c r="H6" s="3435"/>
      <c r="I6" s="3434" t="s">
        <v>3648</v>
      </c>
      <c r="J6" s="3435"/>
      <c r="K6" s="537" t="s">
        <v>1678</v>
      </c>
      <c r="L6" s="2483"/>
      <c r="M6" s="2484"/>
      <c r="N6" s="2484"/>
      <c r="O6" s="2484"/>
      <c r="P6" s="3425"/>
      <c r="Q6" s="3426"/>
      <c r="R6" s="3429"/>
      <c r="S6" s="3430"/>
      <c r="T6" s="3431"/>
      <c r="U6" s="3432"/>
      <c r="V6" s="3401"/>
      <c r="W6" s="3401"/>
      <c r="X6" s="1265"/>
      <c r="Y6" s="3431"/>
      <c r="Z6" s="3432"/>
      <c r="AA6" s="3446"/>
      <c r="AB6" s="3446"/>
      <c r="AC6" s="3416"/>
    </row>
    <row r="7" spans="1:29" s="102" customFormat="1" ht="15" thickBot="1">
      <c r="A7" s="352" t="s">
        <v>1679</v>
      </c>
      <c r="B7" s="353"/>
      <c r="C7" s="354">
        <f>'数据-取费表'!B2</f>
        <v>45800</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5"/>
      <c r="M7" s="2438"/>
      <c r="N7" s="2438"/>
      <c r="O7" s="2438"/>
      <c r="P7" s="3438" t="s">
        <v>1680</v>
      </c>
      <c r="Q7" s="3441"/>
      <c r="R7" s="664" t="s">
        <v>14</v>
      </c>
      <c r="S7" s="665">
        <f t="shared" ref="S7:S15" si="0">F7</f>
        <v>100</v>
      </c>
      <c r="T7" s="664" t="s">
        <v>14</v>
      </c>
      <c r="U7" s="665">
        <f t="shared" ref="U7:U15" si="1">H7</f>
        <v>100</v>
      </c>
      <c r="V7" s="664" t="s">
        <v>14</v>
      </c>
      <c r="W7" s="665">
        <f t="shared" ref="W7:W15" si="2">J7</f>
        <v>100</v>
      </c>
      <c r="X7" s="666"/>
      <c r="Y7" s="3440" t="s">
        <v>1680</v>
      </c>
      <c r="Z7" s="3439"/>
      <c r="AA7" s="50">
        <f>D7/F7</f>
        <v>1</v>
      </c>
      <c r="AB7" s="50">
        <f>D7/H7</f>
        <v>1</v>
      </c>
      <c r="AC7" s="802">
        <f>D7/J7</f>
        <v>1</v>
      </c>
    </row>
    <row r="8" spans="1:29" s="102" customFormat="1" ht="15" thickBot="1">
      <c r="A8" s="352" t="s">
        <v>1681</v>
      </c>
      <c r="B8" s="353"/>
      <c r="C8" s="358" t="s">
        <v>3443</v>
      </c>
      <c r="D8" s="355">
        <v>100</v>
      </c>
      <c r="E8" s="358" t="s">
        <v>3443</v>
      </c>
      <c r="F8" s="357">
        <f>SUMIF(62:62,E8,63:63)-SUMIF(62:62,C8,63:63)+100</f>
        <v>100</v>
      </c>
      <c r="G8" s="358" t="s">
        <v>3443</v>
      </c>
      <c r="H8" s="355">
        <f>SUMIF(62:62,G8,63:63)-SUMIF(62:62,C8,63:63)+100</f>
        <v>100</v>
      </c>
      <c r="I8" s="358" t="s">
        <v>3443</v>
      </c>
      <c r="J8" s="355">
        <f>SUMIF(62:62,I8,63:63)-SUMIF(62:62,C8,63:63)+100</f>
        <v>100</v>
      </c>
      <c r="K8" s="38"/>
      <c r="L8" s="2485"/>
      <c r="M8" s="2438"/>
      <c r="N8" s="2438"/>
      <c r="O8" s="2438"/>
      <c r="P8" s="3438" t="s">
        <v>1683</v>
      </c>
      <c r="Q8" s="3439"/>
      <c r="R8" s="664" t="s">
        <v>14</v>
      </c>
      <c r="S8" s="665">
        <f t="shared" si="0"/>
        <v>100</v>
      </c>
      <c r="T8" s="664" t="s">
        <v>14</v>
      </c>
      <c r="U8" s="665">
        <f t="shared" si="1"/>
        <v>100</v>
      </c>
      <c r="V8" s="664" t="s">
        <v>14</v>
      </c>
      <c r="W8" s="665">
        <f t="shared" si="2"/>
        <v>100</v>
      </c>
      <c r="X8" s="666"/>
      <c r="Y8" s="3440" t="s">
        <v>1683</v>
      </c>
      <c r="Z8" s="3439"/>
      <c r="AA8" s="50">
        <f t="shared" ref="AA8:AA47" si="3">D8/F8</f>
        <v>1</v>
      </c>
      <c r="AB8" s="50">
        <f t="shared" ref="AB8:AB47" si="4">D8/H8</f>
        <v>1</v>
      </c>
      <c r="AC8" s="802">
        <f t="shared" ref="AC8:AC47" si="5">D8/J8</f>
        <v>1</v>
      </c>
    </row>
    <row r="9" spans="1:29" s="102" customFormat="1" ht="15" thickBot="1">
      <c r="A9" s="359" t="s">
        <v>1684</v>
      </c>
      <c r="B9" s="3186" t="s">
        <v>1685</v>
      </c>
      <c r="C9" s="3184" t="s">
        <v>3650</v>
      </c>
      <c r="D9" s="59">
        <v>100</v>
      </c>
      <c r="E9" s="362" t="s">
        <v>21</v>
      </c>
      <c r="F9" s="59">
        <f>SUMIF(64:64,E9,65:65)-SUMIF(64:64,C9,65:65)+100</f>
        <v>100</v>
      </c>
      <c r="G9" s="361" t="s">
        <v>21</v>
      </c>
      <c r="H9" s="59">
        <f>SUMIF(64:64,G9,65:65)-SUMIF(64:64,C9,65:65)+100</f>
        <v>100</v>
      </c>
      <c r="I9" s="361" t="s">
        <v>21</v>
      </c>
      <c r="J9" s="59">
        <f>SUMIF(64:64,I9,65:65)-SUMIF(64:64,C9,65:65)+100</f>
        <v>100</v>
      </c>
      <c r="K9" s="38"/>
      <c r="L9" s="2485"/>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9.4" thickTop="1">
      <c r="A10" s="363"/>
      <c r="B10" s="364" t="s">
        <v>1688</v>
      </c>
      <c r="C10" s="3129" t="s">
        <v>3451</v>
      </c>
      <c r="D10" s="119">
        <v>100</v>
      </c>
      <c r="E10" s="513" t="s">
        <v>3444</v>
      </c>
      <c r="F10" s="119">
        <f>SUMIF(66:66,E10,67:67)-SUMIF(66:66,C10,67:67)+100</f>
        <v>105</v>
      </c>
      <c r="G10" s="513" t="s">
        <v>3444</v>
      </c>
      <c r="H10" s="119">
        <f>SUMIF(66:66,G10,67:67)-SUMIF(66:66,C10,67:67)+100</f>
        <v>105</v>
      </c>
      <c r="I10" s="3129" t="s">
        <v>3451</v>
      </c>
      <c r="J10" s="119">
        <f>SUMIF(66:66,I10,67:67)-SUMIF(66:66,C10,67:67)+100</f>
        <v>100</v>
      </c>
      <c r="K10" s="38"/>
      <c r="L10" s="2486"/>
      <c r="M10" s="2487"/>
      <c r="N10" s="2487"/>
      <c r="O10" s="2487"/>
      <c r="P10" s="3399"/>
      <c r="Q10" s="530" t="str">
        <f t="shared" si="6"/>
        <v>土地使用年限（年）</v>
      </c>
      <c r="R10" s="664" t="s">
        <v>14</v>
      </c>
      <c r="S10" s="665">
        <f t="shared" si="0"/>
        <v>105</v>
      </c>
      <c r="T10" s="664" t="s">
        <v>14</v>
      </c>
      <c r="U10" s="665">
        <f t="shared" si="1"/>
        <v>105</v>
      </c>
      <c r="V10" s="664" t="s">
        <v>14</v>
      </c>
      <c r="W10" s="665">
        <f t="shared" si="2"/>
        <v>100</v>
      </c>
      <c r="X10" s="666"/>
      <c r="Y10" s="3303"/>
      <c r="Z10" s="50" t="str">
        <f t="shared" si="7"/>
        <v>土地使用年限（年）</v>
      </c>
      <c r="AA10" s="50">
        <f t="shared" si="3"/>
        <v>0.95238095238095233</v>
      </c>
      <c r="AB10" s="50">
        <f t="shared" si="4"/>
        <v>0.95238095238095233</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99"/>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t="s">
        <v>3651</v>
      </c>
      <c r="F12" s="119">
        <f>SUMIF(71:71,E12,72:72)-SUMIF(71:71,C12,72:72)+100</f>
        <v>100</v>
      </c>
      <c r="G12" s="1810"/>
      <c r="H12" s="119">
        <f>SUMIF(71:71,G12,72:72)-SUMIF(71:71,C12,72:72)+100</f>
        <v>100</v>
      </c>
      <c r="I12" s="371"/>
      <c r="J12" s="119">
        <f>SUMIF(71:71,I12,72:72)-SUMIF(71:71,C12,72:72)+100</f>
        <v>100</v>
      </c>
      <c r="K12" s="539"/>
      <c r="L12" s="2485"/>
      <c r="M12" s="2438"/>
      <c r="N12" s="2438"/>
      <c r="O12" s="2438"/>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t="s">
        <v>3652</v>
      </c>
      <c r="F13" s="119">
        <f>SUMIF(73:73,E13,74:74)-SUMIF(73:73,C13,74:74)+100</f>
        <v>100</v>
      </c>
      <c r="G13" s="1810"/>
      <c r="H13" s="374">
        <f>SUMIF(73:73,G13,74:74)-SUMIF(73:73,C13,74:74)+100</f>
        <v>100</v>
      </c>
      <c r="I13" s="371"/>
      <c r="J13" s="374">
        <f>SUMIF(73:73,I13,74:74)-SUMIF(73:73,C13,74:74)+100</f>
        <v>100</v>
      </c>
      <c r="K13" s="539"/>
      <c r="L13" s="2489"/>
      <c r="M13" s="2484"/>
      <c r="N13" s="2484"/>
      <c r="O13" s="2484"/>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124.2">
      <c r="A15" s="379" t="s">
        <v>1690</v>
      </c>
      <c r="B15" s="554" t="s">
        <v>1811</v>
      </c>
      <c r="C15" s="1811"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3653</v>
      </c>
      <c r="F15" s="380">
        <f>SUMIF(77:77,E16,78:78)-SUMIF(77:77,C16,78:78)+100</f>
        <v>100</v>
      </c>
      <c r="G15" s="381" t="s">
        <v>3662</v>
      </c>
      <c r="H15" s="380">
        <f>SUMIF(77:77,G16,78:78)-SUMIF(77:77,C16,78:78)+100</f>
        <v>100</v>
      </c>
      <c r="I15" s="381" t="s">
        <v>3668</v>
      </c>
      <c r="J15" s="380">
        <f>SUMIF(77:77,I16,78:78)-SUMIF(77:77,C16,78:78)+100</f>
        <v>100</v>
      </c>
      <c r="K15" s="540">
        <v>3</v>
      </c>
      <c r="L15" s="2489"/>
      <c r="M15" s="2484"/>
      <c r="N15" s="2484"/>
      <c r="O15" s="2484"/>
      <c r="P15" s="3405"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t="s">
        <v>3446</v>
      </c>
      <c r="D16" s="387"/>
      <c r="E16" s="386" t="s">
        <v>3446</v>
      </c>
      <c r="F16" s="387"/>
      <c r="G16" s="1758" t="s">
        <v>3446</v>
      </c>
      <c r="H16" s="389"/>
      <c r="I16" s="386" t="s">
        <v>3446</v>
      </c>
      <c r="J16" s="387"/>
      <c r="K16" s="541"/>
      <c r="L16" s="2489"/>
      <c r="M16" s="2484"/>
      <c r="N16" s="2484"/>
      <c r="O16" s="2484"/>
      <c r="P16" s="3406"/>
      <c r="Q16" s="1263"/>
      <c r="R16" s="667"/>
      <c r="S16" s="668"/>
      <c r="T16" s="667"/>
      <c r="U16" s="668"/>
      <c r="V16" s="667"/>
      <c r="W16" s="668"/>
      <c r="X16" s="1265"/>
      <c r="Y16" s="3408"/>
      <c r="Z16" s="1264"/>
      <c r="AA16" s="1264">
        <v>1</v>
      </c>
      <c r="AB16" s="1264">
        <v>1</v>
      </c>
      <c r="AC16" s="1812">
        <v>1</v>
      </c>
    </row>
    <row r="17" spans="1:29" ht="138">
      <c r="A17" s="367"/>
      <c r="B17" s="556" t="s">
        <v>1259</v>
      </c>
      <c r="C17" s="1813" t="str">
        <f>估价对象房地状况!C6</f>
        <v>周边1公里范围内有特8内路、348路、805快路、806路、814路、846路等多条公交线路及地铁1、10号线国贸站，公交便捷度好。综上分析，估价对象所在区位整体交通便捷度较好</v>
      </c>
      <c r="D17" s="389">
        <v>100</v>
      </c>
      <c r="E17" s="393" t="s">
        <v>3654</v>
      </c>
      <c r="F17" s="389">
        <f>SUMIF(79:79,E18,80:80)-SUMIF(79:79,C18,80:80)+100</f>
        <v>100</v>
      </c>
      <c r="G17" s="391" t="s">
        <v>3663</v>
      </c>
      <c r="H17" s="394">
        <f>SUMIF(79:79,G18,80:80)-SUMIF(79:79,C18,80:80)+100</f>
        <v>100</v>
      </c>
      <c r="I17" s="391" t="s">
        <v>3669</v>
      </c>
      <c r="J17" s="394">
        <f>SUMIF(79:79,I18,80:80)-SUMIF(79:79,C18,80:80)+100</f>
        <v>100</v>
      </c>
      <c r="K17" s="540">
        <v>3</v>
      </c>
      <c r="L17" s="2489"/>
      <c r="M17" s="2484"/>
      <c r="N17" s="2484"/>
      <c r="O17" s="2484"/>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t="s">
        <v>3446</v>
      </c>
      <c r="D18" s="389"/>
      <c r="E18" s="1756" t="s">
        <v>3446</v>
      </c>
      <c r="F18" s="389"/>
      <c r="G18" s="1757" t="s">
        <v>3446</v>
      </c>
      <c r="H18" s="387"/>
      <c r="I18" s="1757" t="s">
        <v>3446</v>
      </c>
      <c r="J18" s="387"/>
      <c r="K18" s="541"/>
      <c r="L18" s="2489"/>
      <c r="M18" s="2484"/>
      <c r="N18" s="2484"/>
      <c r="O18" s="2484"/>
      <c r="P18" s="3406"/>
      <c r="Q18" s="1263"/>
      <c r="R18" s="667"/>
      <c r="S18" s="668"/>
      <c r="T18" s="667"/>
      <c r="U18" s="668"/>
      <c r="V18" s="667"/>
      <c r="W18" s="668"/>
      <c r="X18" s="1265"/>
      <c r="Y18" s="3408"/>
      <c r="Z18" s="1264"/>
      <c r="AA18" s="1264">
        <v>1</v>
      </c>
      <c r="AB18" s="1264">
        <v>1</v>
      </c>
      <c r="AC18" s="1812">
        <v>1</v>
      </c>
    </row>
    <row r="19" spans="1:29" ht="303.60000000000002">
      <c r="A19" s="367"/>
      <c r="B19" s="556" t="s">
        <v>1812</v>
      </c>
      <c r="C19" s="1813"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3655</v>
      </c>
      <c r="F19" s="394">
        <f>SUMIF(81:81,E20,82:82)-SUMIF(81:81,C20,82:82)+100</f>
        <v>100</v>
      </c>
      <c r="G19" s="396" t="s">
        <v>3664</v>
      </c>
      <c r="H19" s="389">
        <f>SUMIF(81:81,G20,82:82)-SUMIF(81:81,C20,82:82)+100</f>
        <v>100</v>
      </c>
      <c r="I19" s="396" t="s">
        <v>3670</v>
      </c>
      <c r="J19" s="389">
        <f>SUMIF(81:81,I20,82:82)-SUMIF(81:81,C20,82:82)+100</f>
        <v>100</v>
      </c>
      <c r="K19" s="540">
        <v>3</v>
      </c>
      <c r="L19" s="2489"/>
      <c r="M19" s="2484"/>
      <c r="N19" s="2484"/>
      <c r="O19" s="2484"/>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t="s">
        <v>3446</v>
      </c>
      <c r="D20" s="387"/>
      <c r="E20" s="1751" t="s">
        <v>3446</v>
      </c>
      <c r="F20" s="387"/>
      <c r="G20" s="1752" t="s">
        <v>3446</v>
      </c>
      <c r="H20" s="387"/>
      <c r="I20" s="1752" t="s">
        <v>3446</v>
      </c>
      <c r="J20" s="387"/>
      <c r="K20" s="541"/>
      <c r="L20" s="2489"/>
      <c r="M20" s="2484"/>
      <c r="N20" s="2484"/>
      <c r="O20" s="2484"/>
      <c r="P20" s="3406"/>
      <c r="Q20" s="1263"/>
      <c r="R20" s="667"/>
      <c r="S20" s="668"/>
      <c r="T20" s="667"/>
      <c r="U20" s="668"/>
      <c r="V20" s="667"/>
      <c r="W20" s="668"/>
      <c r="X20" s="1265"/>
      <c r="Y20" s="340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t="s">
        <v>3445</v>
      </c>
      <c r="D22" s="387"/>
      <c r="E22" s="386" t="s">
        <v>3445</v>
      </c>
      <c r="F22" s="387"/>
      <c r="G22" s="1758" t="s">
        <v>3445</v>
      </c>
      <c r="H22" s="387"/>
      <c r="I22" s="1758" t="s">
        <v>3445</v>
      </c>
      <c r="J22" s="387"/>
      <c r="K22" s="1064"/>
      <c r="L22" s="2489"/>
      <c r="M22" s="2484"/>
      <c r="N22" s="2484"/>
      <c r="O22" s="2484"/>
      <c r="P22" s="3406"/>
      <c r="Q22" s="1263"/>
      <c r="R22" s="667"/>
      <c r="S22" s="668"/>
      <c r="T22" s="667"/>
      <c r="U22" s="668"/>
      <c r="V22" s="667"/>
      <c r="W22" s="668"/>
      <c r="X22" s="1265"/>
      <c r="Y22" s="3408"/>
      <c r="Z22" s="1264"/>
      <c r="AA22" s="1264">
        <v>1</v>
      </c>
      <c r="AB22" s="1264">
        <v>1</v>
      </c>
      <c r="AC22" s="1812">
        <v>1</v>
      </c>
    </row>
    <row r="23" spans="1:29" ht="207">
      <c r="A23" s="367"/>
      <c r="B23" s="556" t="s">
        <v>1814</v>
      </c>
      <c r="C23" s="1813" t="str">
        <f>估价对象房地状况!C9</f>
        <v>周边约1公里范围内有庆丰公园，CBD历史文化公园，中国海关博物馆等，南侧有通惠河经过，环境状况较好</v>
      </c>
      <c r="D23" s="389">
        <v>100</v>
      </c>
      <c r="E23" s="3205" t="s">
        <v>3677</v>
      </c>
      <c r="F23" s="389">
        <f>SUMIF(85:85,E24,86:86)-SUMIF(85:85,C24,86:86)+100</f>
        <v>100</v>
      </c>
      <c r="G23" s="391" t="s">
        <v>3665</v>
      </c>
      <c r="H23" s="389">
        <f>SUMIF(85:85,G24,86:86)-SUMIF(85:85,C24,86:86)+100</f>
        <v>100</v>
      </c>
      <c r="I23" s="391" t="s">
        <v>3671</v>
      </c>
      <c r="J23" s="389">
        <f>SUMIF(85:85,I24,86:86)-SUMIF(85:85,C24,86:86)+100</f>
        <v>100</v>
      </c>
      <c r="K23" s="540">
        <v>3</v>
      </c>
      <c r="L23" s="2489"/>
      <c r="M23" s="2484"/>
      <c r="N23" s="2484"/>
      <c r="O23" s="2484"/>
      <c r="P23" s="3406"/>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t="s">
        <v>3446</v>
      </c>
      <c r="D24" s="387"/>
      <c r="E24" s="1751" t="s">
        <v>3446</v>
      </c>
      <c r="F24" s="387"/>
      <c r="G24" s="1751" t="s">
        <v>3446</v>
      </c>
      <c r="H24" s="387"/>
      <c r="I24" s="1751" t="s">
        <v>3446</v>
      </c>
      <c r="J24" s="387"/>
      <c r="K24" s="541"/>
      <c r="L24" s="2489"/>
      <c r="M24" s="2484"/>
      <c r="N24" s="2484"/>
      <c r="O24" s="2484"/>
      <c r="P24" s="3406"/>
      <c r="Q24" s="1263"/>
      <c r="R24" s="667"/>
      <c r="S24" s="668"/>
      <c r="T24" s="667"/>
      <c r="U24" s="668"/>
      <c r="V24" s="667"/>
      <c r="W24" s="668"/>
      <c r="X24" s="1265"/>
      <c r="Y24" s="3408"/>
      <c r="Z24" s="1264"/>
      <c r="AA24" s="1264">
        <v>1</v>
      </c>
      <c r="AB24" s="1264">
        <v>1</v>
      </c>
      <c r="AC24" s="1812">
        <v>1</v>
      </c>
    </row>
    <row r="25" spans="1:29" ht="28.8">
      <c r="A25" s="348"/>
      <c r="B25" s="556" t="s">
        <v>1815</v>
      </c>
      <c r="C25" s="3209" t="s">
        <v>3688</v>
      </c>
      <c r="D25" s="374">
        <v>100</v>
      </c>
      <c r="E25" s="373" t="s">
        <v>3656</v>
      </c>
      <c r="F25" s="374">
        <f>SUMIF(87:87,E26,88:88)-SUMIF(87:87,C26,88:88)+100</f>
        <v>102</v>
      </c>
      <c r="G25" s="1762" t="s">
        <v>3666</v>
      </c>
      <c r="H25" s="374">
        <f>SUMIF(87:87,G26,88:88)-SUMIF(87:87,C26,88:88)+100</f>
        <v>100</v>
      </c>
      <c r="I25" s="373" t="s">
        <v>3672</v>
      </c>
      <c r="J25" s="374">
        <f>SUMIF(87:87,I26,88:88)-SUMIF(87:87,C26,88:88)+100</f>
        <v>104</v>
      </c>
      <c r="K25" s="540">
        <v>2</v>
      </c>
      <c r="L25" s="2489"/>
      <c r="M25" s="2484"/>
      <c r="N25" s="2484"/>
      <c r="O25" s="2484"/>
      <c r="P25" s="3406"/>
      <c r="Q25" s="1263" t="str">
        <f>B25</f>
        <v>毗邻道路的类型与等级</v>
      </c>
      <c r="R25" s="667" t="s">
        <v>14</v>
      </c>
      <c r="S25" s="668">
        <f>F25</f>
        <v>102</v>
      </c>
      <c r="T25" s="667" t="s">
        <v>14</v>
      </c>
      <c r="U25" s="668">
        <f>H25</f>
        <v>100</v>
      </c>
      <c r="V25" s="667" t="s">
        <v>14</v>
      </c>
      <c r="W25" s="668">
        <f>J25</f>
        <v>104</v>
      </c>
      <c r="X25" s="1265"/>
      <c r="Y25" s="3408"/>
      <c r="Z25" s="1264" t="str">
        <f>Q25</f>
        <v>毗邻道路的类型与等级</v>
      </c>
      <c r="AA25" s="1264">
        <f t="shared" si="3"/>
        <v>0.98039215686274506</v>
      </c>
      <c r="AB25" s="1264">
        <f t="shared" si="4"/>
        <v>1</v>
      </c>
      <c r="AC25" s="1812">
        <f t="shared" si="5"/>
        <v>0.96153846153846156</v>
      </c>
    </row>
    <row r="26" spans="1:29" ht="15">
      <c r="A26" s="348"/>
      <c r="B26" s="401"/>
      <c r="C26" s="558" t="s">
        <v>3667</v>
      </c>
      <c r="D26" s="374"/>
      <c r="E26" s="542" t="s">
        <v>3657</v>
      </c>
      <c r="F26" s="374"/>
      <c r="G26" s="558" t="s">
        <v>3667</v>
      </c>
      <c r="H26" s="374"/>
      <c r="I26" s="542" t="s">
        <v>3673</v>
      </c>
      <c r="J26" s="374"/>
      <c r="K26" s="541"/>
      <c r="L26" s="2489"/>
      <c r="M26" s="2484"/>
      <c r="N26" s="2484"/>
      <c r="O26" s="2484"/>
      <c r="P26" s="3406"/>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06"/>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8"/>
      <c r="N28" s="2438"/>
      <c r="O28" s="2438"/>
      <c r="P28" s="3406"/>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f>'数据-取费表'!N18</f>
        <v>2005</v>
      </c>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06"/>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t="s">
        <v>3658</v>
      </c>
      <c r="D33" s="405">
        <v>100</v>
      </c>
      <c r="E33" s="1764" t="s">
        <v>3658</v>
      </c>
      <c r="F33" s="400">
        <f>SUMIF(101:101,E33,102:102)-SUMIF(101:101,C33,102:102)+100</f>
        <v>100</v>
      </c>
      <c r="G33" s="1764" t="s">
        <v>3658</v>
      </c>
      <c r="H33" s="374">
        <f>SUMIF(101:101,G33,102:102)-SUMIF(101:101,C33,102:102)+100</f>
        <v>100</v>
      </c>
      <c r="I33" s="1764" t="s">
        <v>3658</v>
      </c>
      <c r="J33" s="405">
        <f>SUMIF(101:101,I33,102:102)-SUMIF(101:101,C33,102:102)+100</f>
        <v>100</v>
      </c>
      <c r="K33" s="538">
        <v>3</v>
      </c>
      <c r="L33" s="2489"/>
      <c r="M33" s="2484"/>
      <c r="N33" s="2484"/>
      <c r="O33" s="2484"/>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v>51026.26</v>
      </c>
      <c r="D34" s="119">
        <v>100</v>
      </c>
      <c r="E34" s="369">
        <v>32725.310000000005</v>
      </c>
      <c r="F34" s="364">
        <f>LOOKUP(E34,104:104,105:105)-LOOKUP(C34,104:104,105:105)+100</f>
        <v>103</v>
      </c>
      <c r="G34" s="368">
        <v>55387.139999999978</v>
      </c>
      <c r="H34" s="119">
        <f>LOOKUP(G34,104:104,105:105)-LOOKUP(C34,104:104,105:105)+100</f>
        <v>100</v>
      </c>
      <c r="I34" s="368">
        <v>31901.890000000003</v>
      </c>
      <c r="J34" s="119">
        <f>LOOKUP(I34,104:104,105:105)-LOOKUP(C34,104:104,105:105)+100</f>
        <v>103</v>
      </c>
      <c r="K34" s="539"/>
      <c r="L34" s="2488"/>
      <c r="M34" s="2490"/>
      <c r="N34" s="2490"/>
      <c r="O34" s="2490"/>
      <c r="P34" s="3410"/>
      <c r="Q34" s="531" t="str">
        <f t="shared" si="11"/>
        <v>项目建筑规模</v>
      </c>
      <c r="R34" s="669" t="s">
        <v>14</v>
      </c>
      <c r="S34" s="670">
        <f t="shared" si="12"/>
        <v>103</v>
      </c>
      <c r="T34" s="669" t="s">
        <v>14</v>
      </c>
      <c r="U34" s="670">
        <f t="shared" si="13"/>
        <v>100</v>
      </c>
      <c r="V34" s="669" t="s">
        <v>14</v>
      </c>
      <c r="W34" s="670">
        <f t="shared" si="14"/>
        <v>103</v>
      </c>
      <c r="X34" s="671"/>
      <c r="Y34" s="3412"/>
      <c r="Z34" s="672" t="str">
        <f t="shared" si="15"/>
        <v>项目建筑规模</v>
      </c>
      <c r="AA34" s="1264">
        <f t="shared" si="3"/>
        <v>0.970873786407767</v>
      </c>
      <c r="AB34" s="1264">
        <f t="shared" si="4"/>
        <v>1</v>
      </c>
      <c r="AC34" s="1812">
        <f t="shared" si="5"/>
        <v>0.970873786407767</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9"/>
      <c r="M35" s="2484"/>
      <c r="N35" s="2484"/>
      <c r="O35" s="2484"/>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v>1</v>
      </c>
      <c r="F37" s="400">
        <f>LOOKUP(E37,111:111,112:112)-LOOKUP(C37,111:111,112:112)+100</f>
        <v>102</v>
      </c>
      <c r="G37" s="411">
        <v>0.98</v>
      </c>
      <c r="H37" s="400">
        <f>LOOKUP(G37,111:111,112:112)-LOOKUP(C37,111:111,112:112)+100</f>
        <v>102</v>
      </c>
      <c r="I37" s="411">
        <v>0.8</v>
      </c>
      <c r="J37" s="374">
        <f>LOOKUP(I37,111:111,112:112)-LOOKUP(C37,111:111,112:112)+100</f>
        <v>100</v>
      </c>
      <c r="K37" s="538">
        <v>2</v>
      </c>
      <c r="L37" s="2489"/>
      <c r="M37" s="2484"/>
      <c r="N37" s="2484"/>
      <c r="O37" s="2484"/>
      <c r="P37" s="3410"/>
      <c r="Q37" s="1263" t="str">
        <f t="shared" si="11"/>
        <v>成新度</v>
      </c>
      <c r="R37" s="667" t="s">
        <v>14</v>
      </c>
      <c r="S37" s="668">
        <f t="shared" si="12"/>
        <v>102</v>
      </c>
      <c r="T37" s="667" t="s">
        <v>14</v>
      </c>
      <c r="U37" s="668">
        <f t="shared" si="13"/>
        <v>102</v>
      </c>
      <c r="V37" s="667" t="s">
        <v>14</v>
      </c>
      <c r="W37" s="668">
        <f t="shared" si="14"/>
        <v>100</v>
      </c>
      <c r="X37" s="1265"/>
      <c r="Y37" s="3412"/>
      <c r="Z37" s="1264" t="str">
        <f t="shared" si="15"/>
        <v>成新度</v>
      </c>
      <c r="AA37" s="1264">
        <f t="shared" si="3"/>
        <v>0.98039215686274506</v>
      </c>
      <c r="AB37" s="1264">
        <f t="shared" si="4"/>
        <v>0.98039215686274506</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t="s">
        <v>3659</v>
      </c>
      <c r="D39" s="374">
        <v>100</v>
      </c>
      <c r="E39" s="399" t="s">
        <v>3659</v>
      </c>
      <c r="F39" s="400">
        <f>SUMIF(115:115,E39,116:116)-SUMIF(115:115,C39,116:116)+100</f>
        <v>100</v>
      </c>
      <c r="G39" s="399" t="s">
        <v>3659</v>
      </c>
      <c r="H39" s="374">
        <f>SUMIF(115:115,G39,116:116)-SUMIF(115:115,C39,116:116)+100</f>
        <v>100</v>
      </c>
      <c r="I39" s="399" t="s">
        <v>3659</v>
      </c>
      <c r="J39" s="374">
        <f>SUMIF(115:115,I39,116:116)-SUMIF(115:115,C39,116:116)+100</f>
        <v>100</v>
      </c>
      <c r="K39" s="538">
        <v>2</v>
      </c>
      <c r="L39" s="2489"/>
      <c r="M39" s="2484"/>
      <c r="N39" s="2484"/>
      <c r="O39" s="2484"/>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t="s">
        <v>3683</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c r="L40" s="2489"/>
      <c r="M40" s="2484"/>
      <c r="N40" s="2484"/>
      <c r="O40" s="2484"/>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3660</v>
      </c>
      <c r="F43" s="400">
        <f>SUMIF(123:123,E43,124:124)-SUMIF(123:123,C43,124:124)+100</f>
        <v>98</v>
      </c>
      <c r="G43" s="399" t="s">
        <v>3660</v>
      </c>
      <c r="H43" s="374">
        <f>SUMIF(123:123,G43,124:124)-SUMIF(123:123,C43,124:124)+100</f>
        <v>98</v>
      </c>
      <c r="I43" s="399" t="s">
        <v>3449</v>
      </c>
      <c r="J43" s="374">
        <f>SUMIF(123:123,I43,124:124)-SUMIF(123:123,C43,124:124)+100</f>
        <v>100</v>
      </c>
      <c r="K43" s="538">
        <v>1</v>
      </c>
      <c r="L43" s="2489"/>
      <c r="M43" s="2484"/>
      <c r="N43" s="2484"/>
      <c r="O43" s="2484"/>
      <c r="P43" s="3410"/>
      <c r="Q43" s="1263" t="str">
        <f t="shared" si="11"/>
        <v>内部装修</v>
      </c>
      <c r="R43" s="667" t="s">
        <v>14</v>
      </c>
      <c r="S43" s="668">
        <f t="shared" si="12"/>
        <v>98</v>
      </c>
      <c r="T43" s="667" t="s">
        <v>14</v>
      </c>
      <c r="U43" s="668">
        <f t="shared" si="13"/>
        <v>98</v>
      </c>
      <c r="V43" s="667" t="s">
        <v>14</v>
      </c>
      <c r="W43" s="668">
        <f t="shared" si="14"/>
        <v>100</v>
      </c>
      <c r="X43" s="1265"/>
      <c r="Y43" s="3412"/>
      <c r="Z43" s="1264" t="str">
        <f t="shared" si="15"/>
        <v>内部装修</v>
      </c>
      <c r="AA43" s="1264">
        <f t="shared" si="3"/>
        <v>1.0204081632653061</v>
      </c>
      <c r="AB43" s="1264">
        <f t="shared" si="4"/>
        <v>1.0204081632653061</v>
      </c>
      <c r="AC43" s="1812">
        <f t="shared" si="5"/>
        <v>1</v>
      </c>
    </row>
    <row r="44" spans="1:29" ht="28.8">
      <c r="A44" s="409"/>
      <c r="B44" s="364" t="s">
        <v>1707</v>
      </c>
      <c r="C44" s="399" t="s">
        <v>3446</v>
      </c>
      <c r="D44" s="374">
        <v>100</v>
      </c>
      <c r="E44" s="1760" t="s">
        <v>3446</v>
      </c>
      <c r="F44" s="400">
        <f>SUMIF(125:125,E44,126:126)-SUMIF(125:125,C44,126:126)+100</f>
        <v>100</v>
      </c>
      <c r="G44" s="1760" t="s">
        <v>3446</v>
      </c>
      <c r="H44" s="374">
        <f>SUMIF(125:125,G44,126:126)-SUMIF(125:125,C44,126:126)+100</f>
        <v>100</v>
      </c>
      <c r="I44" s="1760" t="s">
        <v>3446</v>
      </c>
      <c r="J44" s="374">
        <f>SUMIF(125:125,I44,126:126)-SUMIF(125:125,C44,126:126)+100</f>
        <v>100</v>
      </c>
      <c r="K44" s="538">
        <v>2</v>
      </c>
      <c r="L44" s="2489"/>
      <c r="M44" s="2484"/>
      <c r="N44" s="2484"/>
      <c r="O44" s="2484"/>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3208" t="s">
        <v>3507</v>
      </c>
      <c r="C45" s="371" t="s">
        <v>3661</v>
      </c>
      <c r="D45" s="119">
        <v>100</v>
      </c>
      <c r="E45" s="371" t="s">
        <v>3661</v>
      </c>
      <c r="F45" s="364">
        <f>SUMIF(127:127,E45,128:128)-SUMIF(127:127,C45,128:128)+100</f>
        <v>100</v>
      </c>
      <c r="G45" s="371" t="s">
        <v>3661</v>
      </c>
      <c r="H45" s="119">
        <f>SUMIF(127:127,G45,128:128)-SUMIF(127:127,C45,128:128)+100</f>
        <v>100</v>
      </c>
      <c r="I45" s="371" t="s">
        <v>3661</v>
      </c>
      <c r="J45" s="119">
        <f>SUMIF(127:127,I45,128:128)-SUMIF(127:127,C45,128:128)+100</f>
        <v>100</v>
      </c>
      <c r="K45" s="539"/>
      <c r="L45" s="2485"/>
      <c r="M45" s="2438"/>
      <c r="N45" s="2438"/>
      <c r="O45" s="2438"/>
      <c r="P45" s="3410"/>
      <c r="Q45" s="530" t="str">
        <f t="shared" si="11"/>
        <v>地下面积占比</v>
      </c>
      <c r="R45" s="664" t="s">
        <v>14</v>
      </c>
      <c r="S45" s="665">
        <f t="shared" si="12"/>
        <v>100</v>
      </c>
      <c r="T45" s="664" t="s">
        <v>14</v>
      </c>
      <c r="U45" s="665">
        <f t="shared" si="13"/>
        <v>100</v>
      </c>
      <c r="V45" s="664" t="s">
        <v>14</v>
      </c>
      <c r="W45" s="665">
        <f t="shared" si="14"/>
        <v>100</v>
      </c>
      <c r="X45" s="666"/>
      <c r="Y45" s="3412"/>
      <c r="Z45" s="50" t="str">
        <f t="shared" si="15"/>
        <v>地下面积占比</v>
      </c>
      <c r="AA45" s="50">
        <f t="shared" si="3"/>
        <v>1</v>
      </c>
      <c r="AB45" s="50">
        <f t="shared" si="4"/>
        <v>1</v>
      </c>
      <c r="AC45" s="802">
        <f t="shared" si="5"/>
        <v>1</v>
      </c>
    </row>
    <row r="46" spans="1:29" ht="15">
      <c r="A46" s="409"/>
      <c r="B46" s="1066">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9"/>
      <c r="M46" s="2484"/>
      <c r="N46" s="2484"/>
      <c r="O46" s="2484"/>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6" thickBot="1">
      <c r="A47" s="415"/>
      <c r="B47" s="1749">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9"/>
      <c r="M47" s="2484"/>
      <c r="N47" s="2484"/>
      <c r="O47" s="2484"/>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4.4">
      <c r="A48" s="416" t="s">
        <v>1708</v>
      </c>
      <c r="B48" s="417"/>
      <c r="C48" s="1081" t="s">
        <v>0</v>
      </c>
      <c r="D48" s="418"/>
      <c r="E48" s="419">
        <v>76900</v>
      </c>
      <c r="F48" s="420"/>
      <c r="G48" s="421">
        <v>82017</v>
      </c>
      <c r="H48" s="422"/>
      <c r="I48" s="419">
        <v>83000</v>
      </c>
      <c r="J48" s="422"/>
      <c r="K48" s="674"/>
      <c r="L48" s="2491"/>
      <c r="M48" s="2484"/>
      <c r="N48" s="2484"/>
      <c r="O48" s="2484"/>
      <c r="P48" s="3399" t="str">
        <f>A48</f>
        <v>成交单价（元/平方米）</v>
      </c>
      <c r="Q48" s="3400"/>
      <c r="R48" s="3401">
        <f>E48</f>
        <v>76900</v>
      </c>
      <c r="S48" s="3401"/>
      <c r="T48" s="3401">
        <f>G48</f>
        <v>82017</v>
      </c>
      <c r="U48" s="3401"/>
      <c r="V48" s="3401">
        <f>I48</f>
        <v>83000</v>
      </c>
      <c r="W48" s="3401"/>
      <c r="X48" s="385"/>
      <c r="Y48" s="673"/>
      <c r="Z48" s="385"/>
      <c r="AA48" s="385"/>
      <c r="AB48" s="385"/>
      <c r="AC48" s="555"/>
    </row>
    <row r="49" spans="1:48" ht="15" thickBot="1">
      <c r="A49" s="423" t="s">
        <v>1793</v>
      </c>
      <c r="B49" s="424"/>
      <c r="C49" s="1082">
        <f>R50</f>
        <v>75122</v>
      </c>
      <c r="D49" s="2141" t="s">
        <v>2138</v>
      </c>
      <c r="E49" s="1083">
        <f>R49</f>
        <v>69739</v>
      </c>
      <c r="F49" s="2142"/>
      <c r="G49" s="1082">
        <f>T49</f>
        <v>78143</v>
      </c>
      <c r="H49" s="2142"/>
      <c r="I49" s="1083">
        <f>V49</f>
        <v>77483</v>
      </c>
      <c r="J49" s="2142"/>
      <c r="K49" s="2144">
        <f>F49+H49+J49</f>
        <v>0</v>
      </c>
      <c r="L49" s="2491"/>
      <c r="M49" s="2484"/>
      <c r="N49" s="2484"/>
      <c r="O49" s="2484"/>
      <c r="P49" s="3399" t="str">
        <f>A49</f>
        <v>比较价值（元/平方米）</v>
      </c>
      <c r="Q49" s="3400"/>
      <c r="R49" s="3401">
        <f>IF(F1="售价",ROUND(PRODUCT(R48,AA7:AA47),0),ROUND(PRODUCT(R48,AA7:AA47),1))</f>
        <v>69739</v>
      </c>
      <c r="S49" s="3401"/>
      <c r="T49" s="3401">
        <f>IF(F1="售价",ROUND(PRODUCT(T48,AB7:AB47),0),ROUND(PRODUCT(T48,AB7:AB47),1))</f>
        <v>78143</v>
      </c>
      <c r="U49" s="3401"/>
      <c r="V49" s="3401">
        <f>IF(F1="售价",ROUND(PRODUCT(V48,AC7:AC47),0),ROUND(PRODUCT(V48,AC7:AC47),1))</f>
        <v>77483</v>
      </c>
      <c r="W49" s="3401"/>
      <c r="X49" s="385"/>
      <c r="Y49" s="385"/>
      <c r="Z49" s="385"/>
      <c r="AA49" s="385"/>
      <c r="AB49" s="385"/>
      <c r="AC49" s="555"/>
    </row>
    <row r="50" spans="1:48" ht="15" thickBot="1">
      <c r="A50" s="427" t="s">
        <v>1794</v>
      </c>
      <c r="B50" s="428"/>
      <c r="C50" s="351">
        <f>R50</f>
        <v>75122</v>
      </c>
      <c r="D50" s="351"/>
      <c r="E50" s="351"/>
      <c r="F50" s="351"/>
      <c r="G50" s="351"/>
      <c r="H50" s="351"/>
      <c r="I50" s="351"/>
      <c r="J50" s="429"/>
      <c r="K50" s="675"/>
      <c r="L50" s="2491"/>
      <c r="M50" s="2484"/>
      <c r="N50" s="2484"/>
      <c r="O50" s="2484"/>
      <c r="P50" s="3402" t="str">
        <f>A50</f>
        <v>估价对象XX用房的比较价值（楼面单价，元/平方米）</v>
      </c>
      <c r="Q50" s="3403"/>
      <c r="R50" s="3404">
        <f>IF(F1="售价",ROUND(IF(D49="简单平均",AVERAGE(R49:V49),R49*F49+T49*H49+V49*J49),0),ROUND(IF(D49="简单平均",AVERAGE(R49:V49),R49*F49+T49*H49+V49*J49),1))</f>
        <v>75122</v>
      </c>
      <c r="S50" s="3404"/>
      <c r="T50" s="3404"/>
      <c r="U50" s="3404"/>
      <c r="V50" s="3404"/>
      <c r="W50" s="3404"/>
      <c r="X50" s="1798"/>
      <c r="Y50" s="1798"/>
      <c r="Z50" s="1798"/>
      <c r="AA50" s="1798"/>
      <c r="AB50" s="1798"/>
      <c r="AC50" s="1799"/>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0.10268286037941476</v>
      </c>
      <c r="F53" s="435" t="str">
        <f>IF(OR(E53&gt;=0.3,E53&lt;=-0.3),"超过30%","")</f>
        <v/>
      </c>
      <c r="G53" s="434">
        <f>IF(G48&lt;G49,G49/G48-1,G48/G49-1)</f>
        <v>4.9575777740808569E-2</v>
      </c>
      <c r="H53" s="435" t="str">
        <f>IF(OR(G53&gt;=0.3,G53&lt;=-0.3),"超过30%","")</f>
        <v/>
      </c>
      <c r="I53" s="434">
        <f>IF(I48&lt;I49,I49/I48-1,I48/I49-1)</f>
        <v>7.1202715434353303E-2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0.12050645980011176</v>
      </c>
      <c r="F54" s="435" t="str">
        <f>IF(OR(E54&gt;=0.2,E54&lt;=-0.2),"超过20%","")</f>
        <v/>
      </c>
      <c r="G54" s="434">
        <f>IF(G49&lt;I49,I49/G49-1,G49/I49-1)</f>
        <v>8.5179974962250604E-3</v>
      </c>
      <c r="H54" s="435" t="str">
        <f>IF(OR(G54&gt;=0.2,G54&lt;=-0.2),"超过20%","")</f>
        <v/>
      </c>
      <c r="I54" s="434">
        <f>IF(I49&lt;E49,E49/I49-1,I49/E49-1)</f>
        <v>0.11104260170062652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66">
        <f t="shared" ref="P59" si="17">EDATE(O59,-1)</f>
        <v>45383</v>
      </c>
      <c r="Q59" s="3166">
        <f t="shared" ref="Q59" si="18">EDATE(P59,-1)</f>
        <v>45352</v>
      </c>
      <c r="R59" s="3166">
        <f t="shared" ref="R59" si="19">EDATE(Q59,-1)</f>
        <v>45323</v>
      </c>
      <c r="S59" s="3166">
        <f t="shared" ref="S59" si="20">EDATE(R59,-1)</f>
        <v>45292</v>
      </c>
      <c r="T59" s="3166">
        <f t="shared" ref="T59" si="21">EDATE(S59,-1)</f>
        <v>45261</v>
      </c>
      <c r="U59" s="3166">
        <f t="shared" ref="U59" si="22">EDATE(T59,-1)</f>
        <v>45231</v>
      </c>
      <c r="V59" s="3166">
        <f t="shared" ref="V59" si="23">EDATE(U59,-1)</f>
        <v>45200</v>
      </c>
      <c r="W59" s="3166">
        <f t="shared" ref="W59" si="24">EDATE(V59,-1)</f>
        <v>45170</v>
      </c>
      <c r="X59" s="3166">
        <f t="shared" ref="X59" si="25">EDATE(W59,-1)</f>
        <v>45139</v>
      </c>
      <c r="Y59" s="3166">
        <f t="shared" ref="Y59" si="26">EDATE(X59,-1)</f>
        <v>45108</v>
      </c>
      <c r="Z59" s="3166">
        <f t="shared" ref="Z59" si="27">EDATE(Y59,-1)</f>
        <v>45078</v>
      </c>
      <c r="AA59" s="3166">
        <f t="shared" ref="AA59" si="28">EDATE(Z59,-1)</f>
        <v>45047</v>
      </c>
      <c r="AB59" s="3166">
        <f t="shared" ref="AB59" si="29">EDATE(AA59,-1)</f>
        <v>45017</v>
      </c>
      <c r="AC59" s="3166">
        <f t="shared" ref="AC59" si="30">EDATE(AB59,-1)</f>
        <v>44986</v>
      </c>
      <c r="AD59" s="3166">
        <f t="shared" ref="AD59" si="31">EDATE(AC59,-1)</f>
        <v>44958</v>
      </c>
      <c r="AE59" s="3166">
        <f t="shared" ref="AE59" si="32">EDATE(AD59,-1)</f>
        <v>44927</v>
      </c>
      <c r="AF59" s="3166">
        <f t="shared" ref="AF59" si="33">EDATE(AE59,-1)</f>
        <v>44896</v>
      </c>
      <c r="AG59" s="3166">
        <f t="shared" ref="AG59" si="34">EDATE(AF59,-1)</f>
        <v>44866</v>
      </c>
      <c r="AH59" s="3166">
        <f t="shared" ref="AH59" si="35">EDATE(AG59,-1)</f>
        <v>44835</v>
      </c>
      <c r="AI59" s="3166">
        <f t="shared" ref="AI59" si="36">EDATE(AH59,-1)</f>
        <v>44805</v>
      </c>
      <c r="AJ59" s="3166">
        <f t="shared" ref="AJ59" si="37">EDATE(AI59,-1)</f>
        <v>44774</v>
      </c>
      <c r="AK59" s="3166">
        <f t="shared" ref="AK59" si="38">EDATE(AJ59,-1)</f>
        <v>44743</v>
      </c>
      <c r="AL59" s="3166">
        <f t="shared" ref="AL59" si="39">EDATE(AK59,-1)</f>
        <v>44713</v>
      </c>
      <c r="AM59" s="3166">
        <f t="shared" ref="AM59" si="40">EDATE(AL59,-1)</f>
        <v>44682</v>
      </c>
      <c r="AN59" s="3166">
        <f t="shared" ref="AN59" si="41">EDATE(AM59,-1)</f>
        <v>44652</v>
      </c>
      <c r="AO59" s="3166">
        <f t="shared" ref="AO59" si="42">EDATE(AN59,-1)</f>
        <v>44621</v>
      </c>
      <c r="AP59" s="3166">
        <f t="shared" ref="AP59" si="43">EDATE(AO59,-1)</f>
        <v>44593</v>
      </c>
      <c r="AQ59" s="3166">
        <f t="shared" ref="AQ59" si="44">EDATE(AP59,-1)</f>
        <v>44562</v>
      </c>
      <c r="AR59" s="3166">
        <f t="shared" ref="AR59" si="45">EDATE(AQ59,-1)</f>
        <v>44531</v>
      </c>
      <c r="AS59" s="3166">
        <f t="shared" ref="AS59" si="46">EDATE(AR59,-1)</f>
        <v>44501</v>
      </c>
      <c r="AT59" s="3166">
        <f t="shared" ref="AT59" si="47">EDATE(AS59,-1)</f>
        <v>44470</v>
      </c>
      <c r="AU59" s="3166">
        <f t="shared" ref="AU59" si="48">EDATE(AT59,-1)</f>
        <v>44440</v>
      </c>
      <c r="AV59" s="3166">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48" ht="14.4">
      <c r="A64" s="379" t="s">
        <v>1719</v>
      </c>
      <c r="B64" s="460" t="s">
        <v>1685</v>
      </c>
      <c r="C64" s="461" t="str">
        <f>C9</f>
        <v>办公</v>
      </c>
      <c r="D64" s="462"/>
      <c r="E64" s="3185"/>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3503</v>
      </c>
      <c r="D66" s="513" t="s">
        <v>3444</v>
      </c>
      <c r="E66" s="513" t="s">
        <v>3451</v>
      </c>
      <c r="F66" s="513" t="s">
        <v>3504</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v>100</v>
      </c>
      <c r="D67" s="467">
        <f>C67-5</f>
        <v>95</v>
      </c>
      <c r="E67" s="467">
        <f t="shared" ref="E67:F67" si="50">D67-5</f>
        <v>90</v>
      </c>
      <c r="F67" s="467">
        <f t="shared" si="50"/>
        <v>85</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t="s">
        <v>3679</v>
      </c>
      <c r="D87" s="3206" t="s">
        <v>3657</v>
      </c>
      <c r="E87" s="3206" t="s">
        <v>3667</v>
      </c>
      <c r="F87" s="3206" t="s">
        <v>3680</v>
      </c>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98</v>
      </c>
      <c r="E88" s="475">
        <f t="shared" si="53"/>
        <v>96</v>
      </c>
      <c r="F88" s="475">
        <f t="shared" si="53"/>
        <v>94</v>
      </c>
      <c r="G88" s="475">
        <f t="shared" si="53"/>
        <v>92</v>
      </c>
      <c r="H88" s="475">
        <f t="shared" si="53"/>
        <v>90</v>
      </c>
      <c r="I88" s="475">
        <f t="shared" si="53"/>
        <v>88</v>
      </c>
      <c r="J88" s="475">
        <f t="shared" si="53"/>
        <v>86</v>
      </c>
      <c r="K88" s="475">
        <f t="shared" si="53"/>
        <v>84</v>
      </c>
      <c r="L88" s="475">
        <f t="shared" si="53"/>
        <v>82</v>
      </c>
      <c r="M88" s="475">
        <f t="shared" si="53"/>
        <v>80</v>
      </c>
      <c r="N88" s="2519"/>
      <c r="O88" s="2519"/>
      <c r="P88" s="2527"/>
      <c r="Q88" s="2505"/>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85" t="s">
        <v>3658</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40000</v>
      </c>
      <c r="F104" s="6">
        <v>60000</v>
      </c>
      <c r="G104" s="6">
        <v>80000</v>
      </c>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100</v>
      </c>
      <c r="D105" s="467">
        <f>C105-3</f>
        <v>97</v>
      </c>
      <c r="E105" s="467">
        <f t="shared" ref="E105:G105" si="58">D105-3</f>
        <v>94</v>
      </c>
      <c r="F105" s="467">
        <f t="shared" si="58"/>
        <v>91</v>
      </c>
      <c r="G105" s="467">
        <f t="shared" si="58"/>
        <v>88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206" t="s">
        <v>3438</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59">C107-$K35</f>
        <v>98</v>
      </c>
      <c r="E107" s="475">
        <f t="shared" si="59"/>
        <v>96</v>
      </c>
      <c r="F107" s="475">
        <f t="shared" si="59"/>
        <v>94</v>
      </c>
      <c r="G107" s="475">
        <f t="shared" si="59"/>
        <v>92</v>
      </c>
      <c r="H107" s="475">
        <f t="shared" si="59"/>
        <v>90</v>
      </c>
      <c r="I107" s="475">
        <f t="shared" si="59"/>
        <v>88</v>
      </c>
      <c r="J107" s="475">
        <f t="shared" si="59"/>
        <v>86</v>
      </c>
      <c r="K107" s="475">
        <f t="shared" si="59"/>
        <v>84</v>
      </c>
      <c r="L107" s="475">
        <f t="shared" si="59"/>
        <v>82</v>
      </c>
      <c r="M107" s="476">
        <f t="shared" si="59"/>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206" t="s">
        <v>3681</v>
      </c>
      <c r="D108" s="3206" t="s">
        <v>3449</v>
      </c>
      <c r="E108" s="3206" t="s">
        <v>3682</v>
      </c>
      <c r="F108" s="3207" t="s">
        <v>3660</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60">C109-$K36</f>
        <v>100</v>
      </c>
      <c r="E109" s="475">
        <f t="shared" si="60"/>
        <v>100</v>
      </c>
      <c r="F109" s="475">
        <f t="shared" si="60"/>
        <v>100</v>
      </c>
      <c r="G109" s="475">
        <f t="shared" si="60"/>
        <v>100</v>
      </c>
      <c r="H109" s="475">
        <f t="shared" si="60"/>
        <v>100</v>
      </c>
      <c r="I109" s="475">
        <f t="shared" si="60"/>
        <v>100</v>
      </c>
      <c r="J109" s="475">
        <f t="shared" si="60"/>
        <v>100</v>
      </c>
      <c r="K109" s="475">
        <f t="shared" si="60"/>
        <v>100</v>
      </c>
      <c r="L109" s="475">
        <f t="shared" si="60"/>
        <v>100</v>
      </c>
      <c r="M109" s="476">
        <f t="shared" si="60"/>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102</v>
      </c>
      <c r="E112" s="475">
        <f t="shared" ref="E112:M112" si="61">D112+$K37</f>
        <v>104</v>
      </c>
      <c r="F112" s="475">
        <f t="shared" si="61"/>
        <v>106</v>
      </c>
      <c r="G112" s="475">
        <f t="shared" si="61"/>
        <v>108</v>
      </c>
      <c r="H112" s="475">
        <f t="shared" si="61"/>
        <v>110</v>
      </c>
      <c r="I112" s="475">
        <f t="shared" si="61"/>
        <v>112</v>
      </c>
      <c r="J112" s="475">
        <f t="shared" si="61"/>
        <v>114</v>
      </c>
      <c r="K112" s="475">
        <f t="shared" si="61"/>
        <v>116</v>
      </c>
      <c r="L112" s="475">
        <f t="shared" si="61"/>
        <v>118</v>
      </c>
      <c r="M112" s="475">
        <f t="shared" si="61"/>
        <v>120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62">D114-$K38</f>
        <v>100</v>
      </c>
      <c r="F114" s="475">
        <f t="shared" si="62"/>
        <v>100</v>
      </c>
      <c r="G114" s="475">
        <f t="shared" si="62"/>
        <v>100</v>
      </c>
      <c r="H114" s="475">
        <f t="shared" si="62"/>
        <v>100</v>
      </c>
      <c r="I114" s="475">
        <f t="shared" si="62"/>
        <v>100</v>
      </c>
      <c r="J114" s="475">
        <f t="shared" si="62"/>
        <v>100</v>
      </c>
      <c r="K114" s="475">
        <f t="shared" si="62"/>
        <v>100</v>
      </c>
      <c r="L114" s="475">
        <f t="shared" si="62"/>
        <v>100</v>
      </c>
      <c r="M114" s="475">
        <f t="shared" si="62"/>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206" t="s">
        <v>3659</v>
      </c>
      <c r="D115" s="3206" t="s">
        <v>3447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63">C116-$K39</f>
        <v>98</v>
      </c>
      <c r="E116" s="475">
        <f t="shared" si="63"/>
        <v>96</v>
      </c>
      <c r="F116" s="475">
        <f t="shared" si="63"/>
        <v>94</v>
      </c>
      <c r="G116" s="475">
        <f t="shared" si="63"/>
        <v>92</v>
      </c>
      <c r="H116" s="475">
        <f t="shared" si="63"/>
        <v>90</v>
      </c>
      <c r="I116" s="475">
        <f t="shared" si="63"/>
        <v>88</v>
      </c>
      <c r="J116" s="475">
        <f t="shared" si="63"/>
        <v>86</v>
      </c>
      <c r="K116" s="475">
        <f t="shared" si="63"/>
        <v>84</v>
      </c>
      <c r="L116" s="475">
        <f t="shared" si="63"/>
        <v>82</v>
      </c>
      <c r="M116" s="476">
        <f t="shared" si="63"/>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206" t="s">
        <v>3445</v>
      </c>
      <c r="D117" s="3206" t="s">
        <v>3683</v>
      </c>
      <c r="E117" s="3206" t="s">
        <v>3684</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207" t="s">
        <v>3448</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64">D120-$K41</f>
        <v>100</v>
      </c>
      <c r="F120" s="475">
        <f t="shared" si="64"/>
        <v>100</v>
      </c>
      <c r="G120" s="475">
        <f t="shared" si="64"/>
        <v>100</v>
      </c>
      <c r="H120" s="475">
        <f t="shared" si="64"/>
        <v>100</v>
      </c>
      <c r="I120" s="475">
        <f t="shared" si="64"/>
        <v>100</v>
      </c>
      <c r="J120" s="475">
        <f t="shared" si="64"/>
        <v>100</v>
      </c>
      <c r="K120" s="475">
        <f t="shared" si="64"/>
        <v>100</v>
      </c>
      <c r="L120" s="475">
        <f t="shared" si="64"/>
        <v>100</v>
      </c>
      <c r="M120" s="475">
        <f t="shared" si="64"/>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206" t="s">
        <v>3681</v>
      </c>
      <c r="D123" s="3206" t="s">
        <v>3449</v>
      </c>
      <c r="E123" s="3206" t="s">
        <v>3682</v>
      </c>
      <c r="F123" s="3207" t="s">
        <v>3660</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65">C124-$K43</f>
        <v>99</v>
      </c>
      <c r="E124" s="475">
        <f t="shared" si="65"/>
        <v>98</v>
      </c>
      <c r="F124" s="475">
        <f t="shared" si="65"/>
        <v>97</v>
      </c>
      <c r="G124" s="475">
        <f t="shared" si="65"/>
        <v>96</v>
      </c>
      <c r="H124" s="475">
        <f t="shared" si="65"/>
        <v>95</v>
      </c>
      <c r="I124" s="475">
        <f t="shared" si="65"/>
        <v>94</v>
      </c>
      <c r="J124" s="475">
        <f t="shared" si="65"/>
        <v>93</v>
      </c>
      <c r="K124" s="475">
        <f t="shared" si="65"/>
        <v>92</v>
      </c>
      <c r="L124" s="475">
        <f t="shared" si="65"/>
        <v>91</v>
      </c>
      <c r="M124" s="476">
        <f t="shared" si="65"/>
        <v>90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t="str">
        <f>B45</f>
        <v>地下面积占比</v>
      </c>
      <c r="C127" s="485" t="s">
        <v>3450</v>
      </c>
      <c r="D127" s="485" t="s">
        <v>3505</v>
      </c>
      <c r="E127" s="485" t="s">
        <v>3452</v>
      </c>
      <c r="F127" s="485" t="s">
        <v>3453</v>
      </c>
      <c r="G127" s="485" t="s">
        <v>3506</v>
      </c>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v>100</v>
      </c>
      <c r="D128" s="467">
        <f>C128-7</f>
        <v>93</v>
      </c>
      <c r="E128" s="467">
        <f t="shared" ref="E128:G128" si="66">D128-7</f>
        <v>86</v>
      </c>
      <c r="F128" s="467">
        <f t="shared" si="66"/>
        <v>79</v>
      </c>
      <c r="G128" s="467">
        <f t="shared" si="66"/>
        <v>72</v>
      </c>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28.8" thickTop="1">
      <c r="A129" s="409"/>
      <c r="B129" s="469">
        <f>B46</f>
        <v>111</v>
      </c>
      <c r="C129" s="485" t="s">
        <v>3685</v>
      </c>
      <c r="D129" s="485" t="s">
        <v>3686</v>
      </c>
      <c r="E129" s="485" t="s">
        <v>3687</v>
      </c>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67">
        <v>112</v>
      </c>
      <c r="D130" s="467">
        <v>106</v>
      </c>
      <c r="E130" s="467">
        <v>100</v>
      </c>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3558</v>
      </c>
      <c r="D1" s="1271" t="s">
        <v>43</v>
      </c>
      <c r="E1" s="1272" t="s">
        <v>678</v>
      </c>
      <c r="F1" s="999">
        <f ca="1">J53</f>
        <v>27.86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190275</v>
      </c>
      <c r="C2" s="1289" t="s">
        <v>805</v>
      </c>
      <c r="D2" s="1289"/>
      <c r="E2" s="1295"/>
      <c r="F2" s="1296"/>
      <c r="G2" s="2475"/>
      <c r="H2" s="2465"/>
      <c r="I2" s="2465"/>
      <c r="J2" s="2465"/>
      <c r="K2" s="2466"/>
      <c r="L2" s="2465"/>
      <c r="M2" s="2465"/>
    </row>
    <row r="3" spans="1:37" ht="18" customHeight="1" thickBot="1">
      <c r="A3" s="1297" t="s">
        <v>806</v>
      </c>
      <c r="B3" s="1298">
        <f ca="1">IF(ISERROR(B2*10000/F43),0,ROUND(B2*10000/F43,0))</f>
        <v>38621</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13450</v>
      </c>
      <c r="D5" s="1273" t="s">
        <v>693</v>
      </c>
      <c r="E5" s="1008"/>
      <c r="F5" s="1009"/>
      <c r="G5" s="1292"/>
      <c r="H5" s="291">
        <v>1</v>
      </c>
      <c r="I5" s="292" t="s">
        <v>692</v>
      </c>
      <c r="J5" s="1007">
        <f ca="1">J6+J10+J12</f>
        <v>0</v>
      </c>
      <c r="K5" s="1273" t="s">
        <v>693</v>
      </c>
      <c r="L5" s="1008"/>
      <c r="M5" s="1009"/>
    </row>
    <row r="6" spans="1:37" ht="18" customHeight="1">
      <c r="A6" s="1006" t="s">
        <v>398</v>
      </c>
      <c r="B6" s="3451" t="s">
        <v>694</v>
      </c>
      <c r="C6" s="1011">
        <f ca="1">ROUND(F6*F8*F7*(1-F9)/10000,0)</f>
        <v>13433</v>
      </c>
      <c r="D6" s="147" t="s">
        <v>2109</v>
      </c>
      <c r="E6" s="294" t="s">
        <v>696</v>
      </c>
      <c r="F6" s="295">
        <f ca="1">INDIRECT("'数据-取费表'!u"&amp;$G$1)</f>
        <v>8.3000000000000007</v>
      </c>
      <c r="G6" s="1292"/>
      <c r="H6" s="1006" t="s">
        <v>398</v>
      </c>
      <c r="I6" s="3451" t="s">
        <v>694</v>
      </c>
      <c r="J6" s="293">
        <f ca="1">ROUND(M6*M8*M7*(1-M9)/10000,0)</f>
        <v>0</v>
      </c>
      <c r="K6" s="147" t="s">
        <v>2108</v>
      </c>
      <c r="L6" s="294" t="s">
        <v>696</v>
      </c>
      <c r="M6" s="295">
        <f ca="1">INDIRECT("'数据-取费表'!z"&amp;$G$1)</f>
        <v>0</v>
      </c>
    </row>
    <row r="7" spans="1:37" ht="18" customHeight="1">
      <c r="A7" s="1010"/>
      <c r="B7" s="3452"/>
      <c r="C7" s="1012"/>
      <c r="D7" s="299"/>
      <c r="E7" s="1013" t="s">
        <v>697</v>
      </c>
      <c r="F7" s="295">
        <f ca="1">IF(INDIRECT("'数据-取费表'!ah"&amp;$G$1)="",INDIRECT("'数据-取费表'!k"&amp;$G$1),INDIRECT("'数据-取费表'!ah"&amp;$G$1))</f>
        <v>49267.189999999995</v>
      </c>
      <c r="G7" s="1292"/>
      <c r="H7" s="296"/>
      <c r="I7" s="3452"/>
      <c r="J7" s="298"/>
      <c r="K7" s="299"/>
      <c r="L7" s="294" t="s">
        <v>697</v>
      </c>
      <c r="M7" s="295">
        <f ca="1">F7</f>
        <v>49267.189999999995</v>
      </c>
    </row>
    <row r="8" spans="1:37" ht="18" customHeight="1">
      <c r="A8" s="296"/>
      <c r="B8" s="3452"/>
      <c r="C8" s="298"/>
      <c r="D8" s="299"/>
      <c r="E8" s="294" t="s">
        <v>698</v>
      </c>
      <c r="F8" s="295">
        <f ca="1">INDIRECT("'数据-取费表'!ai"&amp;$G$1)</f>
        <v>365</v>
      </c>
      <c r="G8" s="1292"/>
      <c r="H8" s="296"/>
      <c r="I8" s="3452"/>
      <c r="J8" s="298"/>
      <c r="K8" s="299"/>
      <c r="L8" s="294" t="s">
        <v>698</v>
      </c>
      <c r="M8" s="295">
        <f ca="1">INDIRECT("'数据-取费表'!ai"&amp;$G$1)</f>
        <v>365</v>
      </c>
    </row>
    <row r="9" spans="1:37" ht="18" customHeight="1">
      <c r="A9" s="296"/>
      <c r="B9" s="3453"/>
      <c r="C9" s="298"/>
      <c r="D9" s="299"/>
      <c r="E9" s="294" t="s">
        <v>699</v>
      </c>
      <c r="F9" s="304">
        <f ca="1">INDIRECT("'数据-取费表'!w"&amp;$G$1)</f>
        <v>0.1</v>
      </c>
      <c r="G9" s="1292"/>
      <c r="H9" s="296"/>
      <c r="I9" s="3453"/>
      <c r="J9" s="298"/>
      <c r="K9" s="299"/>
      <c r="L9" s="305" t="s">
        <v>699</v>
      </c>
      <c r="M9" s="306">
        <f ca="1">INDIRECT("'数据-取费表'!ab"&amp;$G$1)</f>
        <v>0</v>
      </c>
    </row>
    <row r="10" spans="1:37" ht="18" customHeight="1">
      <c r="A10" s="1006" t="s">
        <v>402</v>
      </c>
      <c r="B10" s="1274" t="s">
        <v>700</v>
      </c>
      <c r="C10" s="308">
        <f ca="1">ROUND(IF(F10="押一",C6/12*F11,IF(F10="押二",C6/12*2*F11,IF(F10="押三",C6/12*3*F11,C11*F11))),0)</f>
        <v>17</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36306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29560</v>
      </c>
      <c r="D14" s="1257" t="s">
        <v>708</v>
      </c>
      <c r="E14" s="1255"/>
      <c r="F14" s="311"/>
      <c r="G14" s="1292"/>
      <c r="H14" s="928" t="s">
        <v>398</v>
      </c>
      <c r="I14" s="294" t="s">
        <v>709</v>
      </c>
      <c r="J14" s="21">
        <f ca="1">C29</f>
        <v>45382</v>
      </c>
      <c r="K14" s="12"/>
      <c r="L14" s="759"/>
      <c r="M14" s="760"/>
    </row>
    <row r="15" spans="1:37" s="1304" customFormat="1" ht="18" customHeight="1" thickBot="1">
      <c r="A15" s="928" t="s">
        <v>399</v>
      </c>
      <c r="B15" s="294" t="s">
        <v>710</v>
      </c>
      <c r="C15" s="21">
        <f ca="1">ROUND(C14*F15,0)</f>
        <v>1478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237</v>
      </c>
      <c r="K16" s="1024" t="s">
        <v>715</v>
      </c>
      <c r="L16" s="1025"/>
      <c r="M16" s="1009"/>
    </row>
    <row r="17" spans="1:37" s="1304" customFormat="1" ht="18" customHeight="1">
      <c r="A17" s="928" t="s">
        <v>681</v>
      </c>
      <c r="B17" s="294" t="s">
        <v>716</v>
      </c>
      <c r="C17" s="21">
        <f ca="1">ROUND(F17*(F43+INDIRECT("'数据-取费表'!S"&amp;$G$1))/10000,0)</f>
        <v>985</v>
      </c>
      <c r="D17" s="294" t="s">
        <v>717</v>
      </c>
      <c r="E17" s="294" t="s">
        <v>718</v>
      </c>
      <c r="F17" s="23">
        <f>'数据-取费表'!B35</f>
        <v>200</v>
      </c>
      <c r="G17" s="1303"/>
      <c r="H17" s="928" t="s">
        <v>398</v>
      </c>
      <c r="I17" s="294" t="s">
        <v>719</v>
      </c>
      <c r="J17" s="2140">
        <f ca="1">ROUND(IF(AND(项目基本情况!B11="自然人",项目基本情况!B10="北京市"),J6*M17/(1+'数据-取费表'!C42),J18+J19+J20),2)</f>
        <v>10.49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32614</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978</v>
      </c>
      <c r="D20" s="315" t="s">
        <v>729</v>
      </c>
      <c r="E20" s="294" t="s">
        <v>712</v>
      </c>
      <c r="F20" s="314">
        <f>'数据-取费表'!B37</f>
        <v>0.03</v>
      </c>
      <c r="G20" s="1303"/>
      <c r="H20" s="928" t="s">
        <v>680</v>
      </c>
      <c r="I20" s="147" t="s">
        <v>730</v>
      </c>
      <c r="J20" s="22">
        <f ca="1">ROUND(M20*M21/10000,2)</f>
        <v>10.49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3497.08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226.91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1523</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-237</v>
      </c>
      <c r="K25" s="1032" t="s">
        <v>753</v>
      </c>
      <c r="L25" s="1033"/>
      <c r="M25" s="1034"/>
    </row>
    <row r="26" spans="1:37">
      <c r="A26" s="928" t="s">
        <v>397</v>
      </c>
      <c r="B26" s="294" t="s">
        <v>754</v>
      </c>
      <c r="C26" s="21">
        <f ca="1">ROUND((C19+C20)*F26,0)</f>
        <v>6718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45382</v>
      </c>
      <c r="D29" s="1029"/>
      <c r="E29" s="1027"/>
      <c r="F29" s="1030"/>
      <c r="G29" s="1303"/>
      <c r="H29" s="325" t="s">
        <v>396</v>
      </c>
      <c r="I29" s="326" t="s">
        <v>768</v>
      </c>
      <c r="J29" s="327">
        <f ca="1">ROUND(J26/(1+F40)^F41,0)</f>
        <v>0</v>
      </c>
      <c r="K29" s="328" t="s">
        <v>769</v>
      </c>
      <c r="L29" s="329"/>
      <c r="M29" s="330">
        <f ca="1">INDIRECT("'数据-取费表'!k"&amp;$G$1)</f>
        <v>49267.189999999995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2660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2262.12</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716.43</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1535.2</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10.49</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3497.08</v>
      </c>
      <c r="G35" s="1292"/>
      <c r="H35" s="2467"/>
      <c r="I35" s="1305"/>
      <c r="J35" s="1306"/>
      <c r="K35" s="2471"/>
      <c r="L35" s="2470"/>
      <c r="M35" s="2470"/>
    </row>
    <row r="36" spans="1:18" ht="18" customHeight="1">
      <c r="A36" s="1039" t="s">
        <v>402</v>
      </c>
      <c r="B36" s="294" t="s">
        <v>738</v>
      </c>
      <c r="C36" s="21">
        <f ca="1">ROUND(C29*F36,2)</f>
        <v>226.91</v>
      </c>
      <c r="D36" s="1256" t="s">
        <v>771</v>
      </c>
      <c r="E36" s="294" t="s">
        <v>712</v>
      </c>
      <c r="F36" s="320">
        <f ca="1">INDIRECT("'数据-取费表'!Ak"&amp;$G$1)</f>
        <v>5.0000000000000001E-3</v>
      </c>
      <c r="G36" s="1292"/>
      <c r="H36" s="2470"/>
      <c r="I36" s="1305"/>
      <c r="J36" s="1306"/>
      <c r="K36" s="2329"/>
      <c r="L36" s="2470"/>
      <c r="M36" s="2470"/>
    </row>
    <row r="37" spans="1:18" ht="18" customHeight="1">
      <c r="A37" s="928" t="s">
        <v>437</v>
      </c>
      <c r="B37" s="294" t="s">
        <v>742</v>
      </c>
      <c r="C37" s="21">
        <f ca="1">ROUND(C13*F37,2)</f>
        <v>36.31</v>
      </c>
      <c r="D37" s="1256" t="s">
        <v>743</v>
      </c>
      <c r="E37" s="294" t="s">
        <v>744</v>
      </c>
      <c r="F37" s="321">
        <f ca="1">INDIRECT("'数据-取费表'!Al"&amp;$G$1)</f>
        <v>1E-3</v>
      </c>
      <c r="G37" s="1292"/>
      <c r="H37" s="2470"/>
      <c r="I37" s="1305"/>
      <c r="J37" s="1306"/>
      <c r="K37" s="2329"/>
      <c r="L37" s="2470"/>
      <c r="M37" s="2470"/>
    </row>
    <row r="38" spans="1:18" ht="18" customHeight="1" thickBot="1">
      <c r="A38" s="1026" t="s">
        <v>684</v>
      </c>
      <c r="B38" s="1027" t="s">
        <v>728</v>
      </c>
      <c r="C38" s="1028">
        <f ca="1">ROUND(C5*F38,2)</f>
        <v>134.5</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10790</v>
      </c>
      <c r="D39" s="1032" t="s">
        <v>773</v>
      </c>
      <c r="E39" s="1033"/>
      <c r="F39" s="1034"/>
      <c r="G39" s="1292"/>
      <c r="H39" s="2470"/>
      <c r="I39" s="1305"/>
      <c r="J39" s="1306"/>
      <c r="K39" s="2468"/>
      <c r="L39" s="2470"/>
      <c r="M39" s="2470"/>
    </row>
    <row r="40" spans="1:18" ht="18" customHeight="1">
      <c r="A40" s="291" t="s">
        <v>395</v>
      </c>
      <c r="B40" s="292" t="s">
        <v>774</v>
      </c>
      <c r="C40" s="293">
        <f ca="1">ROUND(C39*(1-((1+F42)/(1+F40))^F41)/(F40-F42),0)</f>
        <v>187854</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38130</v>
      </c>
      <c r="D43" s="328" t="s">
        <v>777</v>
      </c>
      <c r="E43" s="329" t="s">
        <v>778</v>
      </c>
      <c r="F43" s="330">
        <f ca="1">INDIRECT("'数据-取费表'!k"&amp;$G$1)</f>
        <v>49267.189999999995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f ca="1">C68-C40</f>
        <v>-191701</v>
      </c>
      <c r="D46" s="1313" t="str">
        <f>C2</f>
        <v>万元</v>
      </c>
      <c r="E46" s="1307"/>
      <c r="F46" s="1307"/>
      <c r="I46" s="1314" t="s">
        <v>810</v>
      </c>
      <c r="J46" s="1315"/>
      <c r="K46" s="1316"/>
      <c r="L46" s="1317">
        <f ca="1">IF(M47="住宅",0,IF(L48&gt;J51,L60,J60))</f>
        <v>2421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3438</v>
      </c>
      <c r="K47" s="1323" t="s">
        <v>816</v>
      </c>
      <c r="L47" s="1324">
        <f ca="1">INDIRECT("'数据-取费表'!d"&amp;$G$1)</f>
        <v>50</v>
      </c>
      <c r="M47" s="1288" t="str">
        <f>IF(ISNUMBER(FIND("住宅",C1)),"住宅","非住宅")</f>
        <v>非住宅</v>
      </c>
      <c r="O47" s="1325" t="s">
        <v>403</v>
      </c>
      <c r="P47" s="1326" t="s">
        <v>817</v>
      </c>
      <c r="Q47" s="1327">
        <f ca="1">C40+J29</f>
        <v>187854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27.86</v>
      </c>
      <c r="O48" s="1325" t="s">
        <v>404</v>
      </c>
      <c r="P48" s="1326" t="s">
        <v>821</v>
      </c>
      <c r="Q48" s="1327">
        <f ca="1">J60</f>
        <v>2421</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45382</v>
      </c>
      <c r="R49" s="1327" t="s">
        <v>818</v>
      </c>
    </row>
    <row r="50" spans="1:18" s="1292" customFormat="1" ht="13.8" thickBot="1">
      <c r="A50" s="922"/>
      <c r="B50" s="925"/>
      <c r="C50" s="1055"/>
      <c r="D50" s="899"/>
      <c r="E50" s="993" t="s">
        <v>697</v>
      </c>
      <c r="F50" s="994">
        <f ca="1">F7</f>
        <v>49267.189999999995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141538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49" t="s">
        <v>837</v>
      </c>
      <c r="L53" s="3450"/>
      <c r="O53" s="1325" t="s">
        <v>409</v>
      </c>
      <c r="P53" s="1326" t="s">
        <v>838</v>
      </c>
      <c r="Q53" s="1327">
        <f ca="1">Q47+Q48</f>
        <v>190275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0.20200000000000001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36306</v>
      </c>
      <c r="D56" s="1352"/>
      <c r="E56" s="1353"/>
      <c r="F56" s="1345"/>
      <c r="I56" s="1354" t="s">
        <v>842</v>
      </c>
      <c r="J56" s="1355" t="s">
        <v>3440</v>
      </c>
      <c r="K56" s="1328" t="s">
        <v>843</v>
      </c>
      <c r="L56" s="1331" t="str">
        <f ca="1">IF(L48&lt;J51,"——",L48-J53)</f>
        <v>——</v>
      </c>
      <c r="O56" s="1325" t="s">
        <v>403</v>
      </c>
      <c r="P56" s="1326" t="s">
        <v>817</v>
      </c>
      <c r="Q56" s="1327">
        <f ca="1">C40+J29</f>
        <v>187854</v>
      </c>
      <c r="R56" s="1327" t="s">
        <v>818</v>
      </c>
    </row>
    <row r="57" spans="1:18" s="1292" customFormat="1" ht="24.6" thickBot="1">
      <c r="A57" s="1356"/>
      <c r="B57" s="896" t="s">
        <v>767</v>
      </c>
      <c r="C57" s="230">
        <f ca="1">C29</f>
        <v>45382</v>
      </c>
      <c r="D57" s="1357"/>
      <c r="E57" s="1358"/>
      <c r="F57" s="1359"/>
      <c r="I57" s="1360" t="s">
        <v>844</v>
      </c>
      <c r="J57" s="1361">
        <f ca="1">IF(OR(M47="住宅",J51&lt;L48,J56="是"),"——",J51-L48)</f>
        <v>12.14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273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18153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2421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10.49</v>
      </c>
      <c r="D62" s="911" t="s">
        <v>786</v>
      </c>
      <c r="E62" s="896" t="s">
        <v>787</v>
      </c>
      <c r="F62" s="317">
        <f t="shared" si="0"/>
        <v>30</v>
      </c>
      <c r="I62" s="1367" t="s">
        <v>858</v>
      </c>
      <c r="J62" s="610" t="s">
        <v>859</v>
      </c>
      <c r="K62" s="610" t="s">
        <v>860</v>
      </c>
      <c r="L62" s="610" t="s">
        <v>861</v>
      </c>
      <c r="M62" s="1368" t="s">
        <v>862</v>
      </c>
      <c r="O62" s="1325" t="s">
        <v>409</v>
      </c>
      <c r="P62" s="1326" t="s">
        <v>863</v>
      </c>
      <c r="Q62" s="1327">
        <f ca="1">Q56+Q57</f>
        <v>187854</v>
      </c>
      <c r="R62" s="1327" t="s">
        <v>410</v>
      </c>
    </row>
    <row r="63" spans="1:18" s="1292" customFormat="1" ht="13.8" thickBot="1">
      <c r="A63" s="318"/>
      <c r="B63" s="902"/>
      <c r="C63" s="26"/>
      <c r="D63" s="912"/>
      <c r="E63" s="896" t="s">
        <v>788</v>
      </c>
      <c r="F63" s="295">
        <f t="shared" ca="1" si="0"/>
        <v>3497.08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226.91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36.31</v>
      </c>
      <c r="D65" s="910" t="s">
        <v>743</v>
      </c>
      <c r="E65" s="896" t="s">
        <v>744</v>
      </c>
      <c r="F65" s="321">
        <f t="shared" ca="1" si="0"/>
        <v>1E-3</v>
      </c>
      <c r="I65" s="1367" t="s">
        <v>867</v>
      </c>
      <c r="J65" s="610">
        <v>40</v>
      </c>
      <c r="K65" s="610">
        <v>30</v>
      </c>
      <c r="L65" s="610">
        <v>50</v>
      </c>
      <c r="M65" s="1369">
        <v>0.02</v>
      </c>
      <c r="O65" s="1325" t="s">
        <v>403</v>
      </c>
      <c r="P65" s="1326" t="s">
        <v>868</v>
      </c>
      <c r="Q65" s="1327">
        <f ca="1">C40+J29</f>
        <v>187854</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-273</v>
      </c>
      <c r="D67" s="909" t="s">
        <v>753</v>
      </c>
      <c r="E67" s="914"/>
      <c r="F67" s="915"/>
      <c r="O67" s="1334" t="s">
        <v>405</v>
      </c>
      <c r="P67" s="1326" t="s">
        <v>850</v>
      </c>
      <c r="Q67" s="1370">
        <f ca="1">L51</f>
        <v>141538</v>
      </c>
      <c r="R67" s="1327" t="s">
        <v>870</v>
      </c>
    </row>
    <row r="68" spans="1:18" s="1292" customFormat="1" ht="16.2" thickBot="1">
      <c r="A68" s="893" t="s">
        <v>395</v>
      </c>
      <c r="B68" s="894" t="s">
        <v>774</v>
      </c>
      <c r="C68" s="293">
        <f ca="1">ROUND(C67*(1-((1+F70)/(1+F68))^F69)/(F68-F70),0)</f>
        <v>-3847</v>
      </c>
      <c r="D68" s="911" t="s">
        <v>758</v>
      </c>
      <c r="E68" s="896" t="s">
        <v>759</v>
      </c>
      <c r="F68" s="304">
        <f ca="1">F40</f>
        <v>5.5E-2</v>
      </c>
      <c r="O68" s="1334" t="s">
        <v>406</v>
      </c>
      <c r="P68" s="1371" t="s">
        <v>871</v>
      </c>
      <c r="Q68" s="1327">
        <f ca="1">ROUND(Q69-Q70*Q71,0)</f>
        <v>8249</v>
      </c>
      <c r="R68" s="1327" t="s">
        <v>414</v>
      </c>
    </row>
    <row r="69" spans="1:18" s="1292" customFormat="1" ht="13.8" thickBot="1">
      <c r="A69" s="897"/>
      <c r="B69" s="898"/>
      <c r="C69" s="298"/>
      <c r="D69" s="916" t="s">
        <v>762</v>
      </c>
      <c r="E69" s="896" t="s">
        <v>763</v>
      </c>
      <c r="F69" s="324">
        <f ca="1">F41</f>
        <v>27.86</v>
      </c>
      <c r="O69" s="1334" t="s">
        <v>411</v>
      </c>
      <c r="P69" s="1371" t="s">
        <v>872</v>
      </c>
      <c r="Q69" s="1327">
        <f ca="1">C39</f>
        <v>10790</v>
      </c>
      <c r="R69" s="1327" t="s">
        <v>818</v>
      </c>
    </row>
    <row r="70" spans="1:18" s="1292" customFormat="1" ht="13.8" thickBot="1">
      <c r="A70" s="900"/>
      <c r="B70" s="901"/>
      <c r="C70" s="302"/>
      <c r="D70" s="912"/>
      <c r="E70" s="896" t="s">
        <v>766</v>
      </c>
      <c r="F70" s="991"/>
      <c r="O70" s="1334" t="s">
        <v>412</v>
      </c>
      <c r="P70" s="1371" t="s">
        <v>873</v>
      </c>
      <c r="Q70" s="1327">
        <f ca="1">C13</f>
        <v>36306</v>
      </c>
      <c r="R70" s="1327" t="s">
        <v>818</v>
      </c>
    </row>
    <row r="71" spans="1:18" s="1292" customFormat="1" ht="13.8" thickBot="1">
      <c r="A71" s="917" t="s">
        <v>396</v>
      </c>
      <c r="B71" s="918" t="s">
        <v>776</v>
      </c>
      <c r="C71" s="327">
        <f ca="1">ROUND(C68*10000/F71,0)</f>
        <v>-781</v>
      </c>
      <c r="D71" s="919" t="s">
        <v>777</v>
      </c>
      <c r="E71" s="920" t="s">
        <v>778</v>
      </c>
      <c r="F71" s="330">
        <f ca="1">F43</f>
        <v>49267.189999999995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2541</v>
      </c>
      <c r="D75" s="1292"/>
      <c r="E75" s="1292"/>
      <c r="F75" s="1292"/>
      <c r="K75" s="1309"/>
      <c r="L75" s="1292"/>
      <c r="O75" s="1325" t="s">
        <v>409</v>
      </c>
      <c r="P75" s="1326" t="s">
        <v>838</v>
      </c>
      <c r="Q75" s="1327">
        <f ca="1">Q65+Q66</f>
        <v>187854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0.80699999999999994</v>
      </c>
    </row>
    <row r="83" spans="2:3">
      <c r="B83" s="265" t="s">
        <v>803</v>
      </c>
      <c r="C83" s="266">
        <f ca="1">ROUND(C13/C40,3)</f>
        <v>0.193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1" t="s">
        <v>694</v>
      </c>
      <c r="C6" s="1011">
        <f ca="1">ROUND(F6*F8*F7*(1-F9),0)</f>
        <v>0</v>
      </c>
      <c r="D6" s="147" t="s">
        <v>2106</v>
      </c>
      <c r="E6" s="294" t="s">
        <v>696</v>
      </c>
      <c r="F6" s="295">
        <f ca="1">INDIRECT("'数据-取费表'!u"&amp;$G$1)</f>
        <v>0</v>
      </c>
      <c r="G6" s="1292"/>
      <c r="H6" s="1006" t="s">
        <v>398</v>
      </c>
      <c r="I6" s="3451" t="s">
        <v>694</v>
      </c>
      <c r="J6" s="293">
        <f ca="1">ROUND(M6*M8*M7*(1-M9),0)</f>
        <v>0</v>
      </c>
      <c r="K6" s="1284" t="s">
        <v>2107</v>
      </c>
      <c r="L6" s="294" t="s">
        <v>696</v>
      </c>
      <c r="M6" s="295">
        <f ca="1">INDIRECT("'数据-取费表'!z"&amp;$G$1)</f>
        <v>0</v>
      </c>
    </row>
    <row r="7" spans="1:37" ht="18" customHeight="1">
      <c r="A7" s="1010"/>
      <c r="B7" s="3452"/>
      <c r="C7" s="1012"/>
      <c r="D7" s="299"/>
      <c r="E7" s="1013" t="s">
        <v>697</v>
      </c>
      <c r="F7" s="295">
        <f ca="1">IF(INDIRECT("'数据-取费表'!ah"&amp;$G$1)="",INDIRECT("'数据-取费表'!k"&amp;$G$1),INDIRECT("'数据-取费表'!ah"&amp;$G$1))</f>
        <v>0</v>
      </c>
      <c r="G7" s="1292"/>
      <c r="H7" s="296"/>
      <c r="I7" s="3452"/>
      <c r="J7" s="298"/>
      <c r="K7" s="299"/>
      <c r="L7" s="294" t="s">
        <v>697</v>
      </c>
      <c r="M7" s="295">
        <f ca="1">F7</f>
        <v>0</v>
      </c>
    </row>
    <row r="8" spans="1:37" ht="18" customHeight="1">
      <c r="A8" s="296"/>
      <c r="B8" s="3452"/>
      <c r="C8" s="298"/>
      <c r="D8" s="299"/>
      <c r="E8" s="294" t="s">
        <v>698</v>
      </c>
      <c r="F8" s="295">
        <f ca="1">INDIRECT("'数据-取费表'!ai"&amp;$G$1)</f>
        <v>0</v>
      </c>
      <c r="G8" s="1292"/>
      <c r="H8" s="296"/>
      <c r="I8" s="3452"/>
      <c r="J8" s="298"/>
      <c r="K8" s="299"/>
      <c r="L8" s="294" t="s">
        <v>698</v>
      </c>
      <c r="M8" s="295">
        <f ca="1">INDIRECT("'数据-取费表'!ai"&amp;$G$1)</f>
        <v>0</v>
      </c>
    </row>
    <row r="9" spans="1:37" ht="18" customHeight="1">
      <c r="A9" s="296"/>
      <c r="B9" s="3453"/>
      <c r="C9" s="298"/>
      <c r="D9" s="299"/>
      <c r="E9" s="294" t="s">
        <v>699</v>
      </c>
      <c r="F9" s="304">
        <f ca="1">INDIRECT("'数据-取费表'!w"&amp;$G$1)</f>
        <v>0</v>
      </c>
      <c r="G9" s="1292"/>
      <c r="H9" s="296"/>
      <c r="I9" s="34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t="e">
        <f ca="1">ROUND((C68-C40)/10000,4)</f>
        <v>#DIV/0!</v>
      </c>
      <c r="D45" s="3127"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49" t="s">
        <v>837</v>
      </c>
      <c r="L53" s="3450"/>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3" t="s">
        <v>2311</v>
      </c>
      <c r="B2" s="2591" t="e">
        <f>IF(D2="——",C40,C40+E2)</f>
        <v>#DIV/0!</v>
      </c>
      <c r="C2" s="2592" t="s">
        <v>2312</v>
      </c>
      <c r="D2" s="3135" t="s">
        <v>3355</v>
      </c>
      <c r="E2" s="3136"/>
      <c r="F2" s="2594"/>
      <c r="G2" s="2595"/>
      <c r="H2" s="2596"/>
      <c r="I2" s="2597"/>
      <c r="J2" s="3460" t="s">
        <v>2313</v>
      </c>
      <c r="K2" s="3461"/>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62" t="s">
        <v>2323</v>
      </c>
      <c r="K3" s="3463"/>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62" t="s">
        <v>2325</v>
      </c>
      <c r="K4" s="3463"/>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68" t="s">
        <v>2329</v>
      </c>
      <c r="B6" s="3469"/>
      <c r="C6" s="3470"/>
      <c r="D6" s="2618"/>
      <c r="E6" s="2619"/>
      <c r="F6" s="2620"/>
      <c r="G6" s="2621"/>
      <c r="H6" s="2596"/>
      <c r="I6" s="2597"/>
      <c r="J6" s="3454">
        <v>1</v>
      </c>
      <c r="K6" s="3455"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54"/>
      <c r="K7" s="3456"/>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71" t="s">
        <v>2343</v>
      </c>
      <c r="C8" s="3472"/>
      <c r="D8" s="2637" t="s">
        <v>2344</v>
      </c>
      <c r="E8" s="2638" t="s">
        <v>2345</v>
      </c>
      <c r="F8" s="2639" t="s">
        <v>2346</v>
      </c>
      <c r="G8" s="2640"/>
      <c r="H8" s="2596"/>
      <c r="I8" s="2597"/>
      <c r="J8" s="3454"/>
      <c r="K8" s="3456"/>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71" t="s">
        <v>2349</v>
      </c>
      <c r="C9" s="3472"/>
      <c r="D9" s="2637">
        <f>ROUND(D6*E9,0)</f>
        <v>0</v>
      </c>
      <c r="E9" s="2641"/>
      <c r="F9" s="2642" t="s">
        <v>2350</v>
      </c>
      <c r="G9" s="2621"/>
      <c r="H9" s="2596"/>
      <c r="I9" s="2597"/>
      <c r="J9" s="3454"/>
      <c r="K9" s="3456"/>
      <c r="L9" s="2631" t="s">
        <v>2351</v>
      </c>
      <c r="M9" s="2632"/>
      <c r="N9" s="2608"/>
      <c r="O9" s="2633"/>
      <c r="P9" s="2633"/>
      <c r="Q9" s="2634">
        <v>365</v>
      </c>
      <c r="R9" s="2635">
        <f t="shared" si="0"/>
        <v>0</v>
      </c>
      <c r="S9" s="2589"/>
      <c r="T9" s="2589"/>
      <c r="U9" s="2589"/>
      <c r="V9" s="2597"/>
    </row>
    <row r="10" spans="1:22" s="2601" customFormat="1" ht="13.2" customHeight="1">
      <c r="A10" s="2636">
        <v>2</v>
      </c>
      <c r="B10" s="3471" t="s">
        <v>2352</v>
      </c>
      <c r="C10" s="3472"/>
      <c r="D10" s="2637">
        <f>ROUND(D6*E10,0)</f>
        <v>0</v>
      </c>
      <c r="E10" s="2641"/>
      <c r="F10" s="2642" t="s">
        <v>2353</v>
      </c>
      <c r="G10" s="2621"/>
      <c r="H10" s="2596"/>
      <c r="I10" s="2597"/>
      <c r="J10" s="3454"/>
      <c r="K10" s="3456"/>
      <c r="L10" s="2631" t="s">
        <v>2354</v>
      </c>
      <c r="M10" s="2632"/>
      <c r="N10" s="2608"/>
      <c r="O10" s="2633"/>
      <c r="P10" s="2633"/>
      <c r="Q10" s="2634">
        <v>365</v>
      </c>
      <c r="R10" s="2635">
        <f t="shared" si="0"/>
        <v>0</v>
      </c>
      <c r="S10" s="2589"/>
      <c r="T10" s="2589"/>
      <c r="U10" s="2589"/>
      <c r="V10" s="2597"/>
    </row>
    <row r="11" spans="1:22" s="2601" customFormat="1" ht="13.2" customHeight="1">
      <c r="A11" s="2636">
        <v>3</v>
      </c>
      <c r="B11" s="3471" t="s">
        <v>2355</v>
      </c>
      <c r="C11" s="3472"/>
      <c r="D11" s="2637">
        <f>D12+D14+D15+D16</f>
        <v>0</v>
      </c>
      <c r="E11" s="2643" t="e">
        <f>D11/D6</f>
        <v>#DIV/0!</v>
      </c>
      <c r="F11" s="2639"/>
      <c r="G11" s="2640"/>
      <c r="H11" s="2596"/>
      <c r="I11" s="2597"/>
      <c r="J11" s="3454"/>
      <c r="K11" s="3456"/>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64" t="s">
        <v>2358</v>
      </c>
      <c r="C12" s="3465"/>
      <c r="D12" s="2645">
        <f>ROUND(D13*1.2%*(1-30%),0)</f>
        <v>0</v>
      </c>
      <c r="E12" s="2646">
        <v>1.2E-2</v>
      </c>
      <c r="F12" s="2639" t="s">
        <v>2359</v>
      </c>
      <c r="G12" s="2640"/>
      <c r="H12" s="2596"/>
      <c r="I12" s="2597"/>
      <c r="J12" s="3454"/>
      <c r="K12" s="3456"/>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54"/>
      <c r="K13" s="3456"/>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64" t="s">
        <v>2364</v>
      </c>
      <c r="C14" s="3465"/>
      <c r="D14" s="2645">
        <f>ROUND(E14*B5/10000,0)</f>
        <v>0</v>
      </c>
      <c r="E14" s="2634"/>
      <c r="F14" s="2639" t="s">
        <v>2365</v>
      </c>
      <c r="G14" s="2640"/>
      <c r="H14" s="2596"/>
      <c r="I14" s="2597"/>
      <c r="J14" s="3454"/>
      <c r="K14" s="3457"/>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64" t="s">
        <v>2368</v>
      </c>
      <c r="C15" s="3465"/>
      <c r="D15" s="2645">
        <f>ROUND(D6*E15,0)</f>
        <v>0</v>
      </c>
      <c r="E15" s="2646">
        <v>5.5E-2</v>
      </c>
      <c r="F15" s="2639" t="s">
        <v>2369</v>
      </c>
      <c r="G15" s="2621"/>
      <c r="H15" s="2596"/>
      <c r="I15" s="2597"/>
      <c r="J15" s="3454">
        <v>2</v>
      </c>
      <c r="K15" s="3455"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64" t="s">
        <v>2377</v>
      </c>
      <c r="C16" s="3465"/>
      <c r="D16" s="2656">
        <f>D6*E16</f>
        <v>0</v>
      </c>
      <c r="E16" s="2657"/>
      <c r="F16" s="2642" t="s">
        <v>2378</v>
      </c>
      <c r="G16" s="2621"/>
      <c r="H16" s="2596"/>
      <c r="I16" s="2597"/>
      <c r="J16" s="3454"/>
      <c r="K16" s="3456"/>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66" t="s">
        <v>2380</v>
      </c>
      <c r="C17" s="3467"/>
      <c r="D17" s="2659">
        <f>ROUND(D6*E17,0)</f>
        <v>0</v>
      </c>
      <c r="E17" s="2660"/>
      <c r="F17" s="2661" t="s">
        <v>2381</v>
      </c>
      <c r="G17" s="2621"/>
      <c r="H17" s="2596"/>
      <c r="I17" s="2597"/>
      <c r="J17" s="3454"/>
      <c r="K17" s="3456"/>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54"/>
      <c r="K18" s="3456"/>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54"/>
      <c r="K19" s="3457"/>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54">
        <v>3</v>
      </c>
      <c r="K20" s="3455"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54"/>
      <c r="K21" s="3456"/>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54"/>
      <c r="K22" s="3456"/>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54"/>
      <c r="K23" s="3456"/>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54"/>
      <c r="K24" s="3457"/>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58">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5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60" t="s">
        <v>2313</v>
      </c>
      <c r="K32" s="3461"/>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62" t="s">
        <v>2323</v>
      </c>
      <c r="K33" s="3463"/>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62" t="s">
        <v>2325</v>
      </c>
      <c r="K34" s="3463"/>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54">
        <v>1</v>
      </c>
      <c r="K36" s="3455"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54"/>
      <c r="K37" s="3456"/>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54"/>
      <c r="K38" s="3456"/>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54"/>
      <c r="K39" s="3456"/>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54"/>
      <c r="K40" s="3457"/>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58">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5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190275</v>
      </c>
      <c r="C2" s="1729" t="s">
        <v>1651</v>
      </c>
      <c r="D2" s="1730" t="s">
        <v>1652</v>
      </c>
      <c r="E2" s="2391">
        <f>SUM(E6:E13)</f>
        <v>49267.189999999995</v>
      </c>
      <c r="F2" s="2476"/>
      <c r="G2" s="459"/>
      <c r="H2" s="459"/>
      <c r="I2" s="459"/>
      <c r="J2" s="459"/>
      <c r="K2" s="459"/>
      <c r="L2" s="459"/>
      <c r="M2" s="459"/>
      <c r="N2" s="459"/>
      <c r="O2" s="459"/>
      <c r="P2" s="459"/>
      <c r="Q2" s="459"/>
      <c r="R2" s="459"/>
      <c r="S2" s="459"/>
    </row>
    <row r="3" spans="1:22" ht="15.6">
      <c r="A3" s="1728" t="s">
        <v>686</v>
      </c>
      <c r="B3" s="2385">
        <f ca="1">ROUND(B2*10000/E2,0)</f>
        <v>38621</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7" t="s">
        <v>1653</v>
      </c>
      <c r="B5" s="3473" t="s">
        <v>1654</v>
      </c>
      <c r="C5" s="3474"/>
      <c r="D5" s="2477"/>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190275</v>
      </c>
      <c r="C6" s="1729" t="s">
        <v>1651</v>
      </c>
      <c r="D6" s="2476"/>
      <c r="E6" s="2390">
        <f>IF(OR(A6=0,F6="否"),0,'数据-取费表'!K6+'数据-取费表'!S6)</f>
        <v>49267.189999999995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6"/>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6"/>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6"/>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6"/>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6"/>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6"/>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8"/>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49267.189999999995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3"/>
      <c r="M4" s="2484"/>
      <c r="N4" s="2484"/>
      <c r="O4" s="2484"/>
      <c r="P4" s="3479" t="s">
        <v>1672</v>
      </c>
      <c r="Q4" s="3480"/>
      <c r="R4" s="3483" t="s">
        <v>1668</v>
      </c>
      <c r="S4" s="3484"/>
      <c r="T4" s="3483" t="s">
        <v>1669</v>
      </c>
      <c r="U4" s="3484"/>
      <c r="V4" s="3401" t="s">
        <v>1670</v>
      </c>
      <c r="W4" s="3401"/>
      <c r="X4" s="1265"/>
      <c r="Y4" s="3483" t="s">
        <v>1672</v>
      </c>
      <c r="Z4" s="3484"/>
      <c r="AA4" s="3478" t="s">
        <v>1668</v>
      </c>
      <c r="AB4" s="3478" t="s">
        <v>1669</v>
      </c>
      <c r="AC4" s="3478" t="s">
        <v>1670</v>
      </c>
    </row>
    <row r="5" spans="1:29">
      <c r="A5" s="348"/>
      <c r="B5" s="349"/>
      <c r="C5" s="3436" t="s">
        <v>1673</v>
      </c>
      <c r="D5" s="3437"/>
      <c r="E5" s="3485" t="s">
        <v>1674</v>
      </c>
      <c r="F5" s="3448"/>
      <c r="G5" s="3436" t="s">
        <v>1675</v>
      </c>
      <c r="H5" s="3437"/>
      <c r="I5" s="3436" t="s">
        <v>1676</v>
      </c>
      <c r="J5" s="3437"/>
      <c r="K5" s="1745"/>
      <c r="L5" s="2483"/>
      <c r="M5" s="2484"/>
      <c r="N5" s="2484"/>
      <c r="O5" s="2484"/>
      <c r="P5" s="3481"/>
      <c r="Q5" s="3424"/>
      <c r="R5" s="3429"/>
      <c r="S5" s="3430"/>
      <c r="T5" s="3429"/>
      <c r="U5" s="3430"/>
      <c r="V5" s="3401"/>
      <c r="W5" s="3401"/>
      <c r="X5" s="1265"/>
      <c r="Y5" s="3429"/>
      <c r="Z5" s="3430"/>
      <c r="AA5" s="3445"/>
      <c r="AB5" s="3445"/>
      <c r="AC5" s="3445"/>
    </row>
    <row r="6" spans="1:29" ht="15" thickBot="1">
      <c r="A6" s="350"/>
      <c r="B6" s="351"/>
      <c r="C6" s="3434" t="s">
        <v>1677</v>
      </c>
      <c r="D6" s="3435"/>
      <c r="E6" s="3442" t="s">
        <v>1677</v>
      </c>
      <c r="F6" s="3443"/>
      <c r="G6" s="3434" t="s">
        <v>1677</v>
      </c>
      <c r="H6" s="3435"/>
      <c r="I6" s="3434" t="s">
        <v>1677</v>
      </c>
      <c r="J6" s="3435"/>
      <c r="K6" s="1745" t="s">
        <v>1678</v>
      </c>
      <c r="L6" s="2483"/>
      <c r="M6" s="2484"/>
      <c r="N6" s="2484"/>
      <c r="O6" s="2484"/>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5"/>
      <c r="M7" s="2438"/>
      <c r="N7" s="2438"/>
      <c r="O7" s="2438"/>
      <c r="P7" s="3440" t="s">
        <v>1680</v>
      </c>
      <c r="Q7" s="3441"/>
      <c r="R7" s="664" t="s">
        <v>20</v>
      </c>
      <c r="S7" s="665">
        <f t="shared" ref="S7:S15" si="0">F7</f>
        <v>0</v>
      </c>
      <c r="T7" s="664" t="s">
        <v>20</v>
      </c>
      <c r="U7" s="665">
        <f t="shared" ref="U7:U15" si="1">H7</f>
        <v>0</v>
      </c>
      <c r="V7" s="664" t="s">
        <v>20</v>
      </c>
      <c r="W7" s="665">
        <f t="shared" ref="W7:W15" si="2">J7</f>
        <v>0</v>
      </c>
      <c r="X7" s="666"/>
      <c r="Y7" s="3440" t="s">
        <v>1680</v>
      </c>
      <c r="Z7" s="343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8"/>
      <c r="N8" s="2438"/>
      <c r="O8" s="2438"/>
      <c r="P8" s="3440" t="s">
        <v>1683</v>
      </c>
      <c r="Q8" s="3439"/>
      <c r="R8" s="664" t="s">
        <v>20</v>
      </c>
      <c r="S8" s="665">
        <f t="shared" si="0"/>
        <v>100</v>
      </c>
      <c r="T8" s="664" t="s">
        <v>20</v>
      </c>
      <c r="U8" s="665">
        <f t="shared" si="1"/>
        <v>100</v>
      </c>
      <c r="V8" s="664" t="s">
        <v>20</v>
      </c>
      <c r="W8" s="665">
        <f t="shared" si="2"/>
        <v>100</v>
      </c>
      <c r="X8" s="666"/>
      <c r="Y8" s="3440" t="s">
        <v>1683</v>
      </c>
      <c r="Z8" s="343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99"/>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8"/>
      <c r="N12" s="2438"/>
      <c r="O12" s="2438"/>
      <c r="P12" s="3399"/>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99"/>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99"/>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5"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06"/>
      <c r="Q16" s="1263"/>
      <c r="R16" s="667"/>
      <c r="S16" s="668"/>
      <c r="T16" s="667"/>
      <c r="U16" s="668"/>
      <c r="V16" s="667"/>
      <c r="W16" s="668"/>
      <c r="X16" s="1265"/>
      <c r="Y16" s="3408"/>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06"/>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06"/>
      <c r="Q18" s="1263"/>
      <c r="R18" s="667"/>
      <c r="S18" s="668"/>
      <c r="T18" s="667"/>
      <c r="U18" s="668"/>
      <c r="V18" s="667"/>
      <c r="W18" s="668"/>
      <c r="X18" s="1265"/>
      <c r="Y18" s="3408"/>
      <c r="Z18" s="1264"/>
      <c r="AA18" s="1264">
        <v>1</v>
      </c>
      <c r="AB18" s="1264">
        <v>1</v>
      </c>
      <c r="AC18" s="1264">
        <v>1</v>
      </c>
    </row>
    <row r="19" spans="1:29" ht="207">
      <c r="A19" s="367"/>
      <c r="B19" s="390" t="s">
        <v>1258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06"/>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06"/>
      <c r="Q20" s="1263"/>
      <c r="R20" s="667"/>
      <c r="S20" s="668"/>
      <c r="T20" s="667"/>
      <c r="U20" s="668"/>
      <c r="V20" s="667"/>
      <c r="W20" s="668"/>
      <c r="X20" s="1265"/>
      <c r="Y20" s="340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06"/>
      <c r="Q22" s="1263"/>
      <c r="R22" s="667"/>
      <c r="S22" s="668"/>
      <c r="T22" s="667"/>
      <c r="U22" s="668"/>
      <c r="V22" s="667"/>
      <c r="W22" s="668"/>
      <c r="X22" s="1265"/>
      <c r="Y22" s="3408"/>
      <c r="Z22" s="1264"/>
      <c r="AA22" s="1264">
        <v>1</v>
      </c>
      <c r="AB22" s="1264">
        <v>1</v>
      </c>
      <c r="AC22" s="1264">
        <v>1</v>
      </c>
    </row>
    <row r="23" spans="1:29" ht="110.4">
      <c r="A23" s="367"/>
      <c r="B23" s="390" t="s">
        <v>1261</v>
      </c>
      <c r="C23" s="1754"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06"/>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06"/>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06"/>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8"/>
      <c r="N27" s="2438"/>
      <c r="O27" s="2438"/>
      <c r="P27" s="3406"/>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06"/>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06"/>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06"/>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06"/>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8"/>
      <c r="N44" s="2438"/>
      <c r="O44" s="2438"/>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49267.189999999995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79" t="s">
        <v>1775</v>
      </c>
      <c r="Q4" s="3480"/>
      <c r="R4" s="3483" t="s">
        <v>1771</v>
      </c>
      <c r="S4" s="3484"/>
      <c r="T4" s="3483" t="s">
        <v>1772</v>
      </c>
      <c r="U4" s="3484"/>
      <c r="V4" s="3401" t="s">
        <v>1773</v>
      </c>
      <c r="W4" s="3401"/>
      <c r="X4" s="1265"/>
      <c r="Y4" s="3483" t="s">
        <v>1775</v>
      </c>
      <c r="Z4" s="3484"/>
      <c r="AA4" s="3478" t="s">
        <v>1771</v>
      </c>
      <c r="AB4" s="3401" t="s">
        <v>1772</v>
      </c>
      <c r="AC4" s="3478" t="s">
        <v>1773</v>
      </c>
    </row>
    <row r="5" spans="1:29">
      <c r="A5" s="348"/>
      <c r="B5" s="349"/>
      <c r="C5" s="3436" t="s">
        <v>1673</v>
      </c>
      <c r="D5" s="3437"/>
      <c r="E5" s="3485" t="s">
        <v>1674</v>
      </c>
      <c r="F5" s="3448"/>
      <c r="G5" s="3436" t="s">
        <v>1675</v>
      </c>
      <c r="H5" s="3437"/>
      <c r="I5" s="3436" t="s">
        <v>1676</v>
      </c>
      <c r="J5" s="3437"/>
      <c r="K5" s="537"/>
      <c r="L5" s="2483"/>
      <c r="M5" s="2484"/>
      <c r="N5" s="2484"/>
      <c r="O5" s="2484"/>
      <c r="P5" s="3481"/>
      <c r="Q5" s="3424"/>
      <c r="R5" s="3429"/>
      <c r="S5" s="3430"/>
      <c r="T5" s="3429"/>
      <c r="U5" s="3430"/>
      <c r="V5" s="3401"/>
      <c r="W5" s="3401"/>
      <c r="X5" s="1265"/>
      <c r="Y5" s="3429"/>
      <c r="Z5" s="3430"/>
      <c r="AA5" s="3445"/>
      <c r="AB5" s="3401"/>
      <c r="AC5" s="3445"/>
    </row>
    <row r="6" spans="1:29" ht="15" thickBot="1">
      <c r="A6" s="350"/>
      <c r="B6" s="351"/>
      <c r="C6" s="3434" t="s">
        <v>1677</v>
      </c>
      <c r="D6" s="3435"/>
      <c r="E6" s="3442" t="s">
        <v>1677</v>
      </c>
      <c r="F6" s="3443"/>
      <c r="G6" s="3434" t="s">
        <v>1677</v>
      </c>
      <c r="H6" s="3435"/>
      <c r="I6" s="3434" t="s">
        <v>1677</v>
      </c>
      <c r="J6" s="3435"/>
      <c r="K6" s="537" t="s">
        <v>1678</v>
      </c>
      <c r="L6" s="2483"/>
      <c r="M6" s="2484"/>
      <c r="N6" s="2484"/>
      <c r="O6" s="2484"/>
      <c r="P6" s="3482"/>
      <c r="Q6" s="3426"/>
      <c r="R6" s="3429"/>
      <c r="S6" s="3430"/>
      <c r="T6" s="3431"/>
      <c r="U6" s="3432"/>
      <c r="V6" s="3401"/>
      <c r="W6" s="3401"/>
      <c r="X6" s="1265"/>
      <c r="Y6" s="3431"/>
      <c r="Z6" s="3432"/>
      <c r="AA6" s="3446"/>
      <c r="AB6" s="3401"/>
      <c r="AC6" s="3446"/>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5"/>
      <c r="M7" s="2438"/>
      <c r="N7" s="2438"/>
      <c r="O7" s="2438"/>
      <c r="P7" s="3440" t="s">
        <v>1680</v>
      </c>
      <c r="Q7" s="3441"/>
      <c r="R7" s="664" t="s">
        <v>14</v>
      </c>
      <c r="S7" s="665">
        <f t="shared" ref="S7:S15" si="0">F7</f>
        <v>0</v>
      </c>
      <c r="T7" s="664" t="s">
        <v>14</v>
      </c>
      <c r="U7" s="665">
        <f t="shared" ref="U7:U15" si="1">H7</f>
        <v>0</v>
      </c>
      <c r="V7" s="664" t="s">
        <v>14</v>
      </c>
      <c r="W7" s="665">
        <f t="shared" ref="W7:W15" si="2">J7</f>
        <v>0</v>
      </c>
      <c r="X7" s="666"/>
      <c r="Y7" s="3440" t="s">
        <v>1680</v>
      </c>
      <c r="Z7" s="343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8"/>
      <c r="N8" s="2438"/>
      <c r="O8" s="2438"/>
      <c r="P8" s="3440" t="s">
        <v>1683</v>
      </c>
      <c r="Q8" s="3439"/>
      <c r="R8" s="664" t="s">
        <v>14</v>
      </c>
      <c r="S8" s="665">
        <f t="shared" si="0"/>
        <v>100</v>
      </c>
      <c r="T8" s="664" t="s">
        <v>14</v>
      </c>
      <c r="U8" s="665">
        <f t="shared" si="1"/>
        <v>100</v>
      </c>
      <c r="V8" s="664" t="s">
        <v>14</v>
      </c>
      <c r="W8" s="665">
        <f t="shared" si="2"/>
        <v>100</v>
      </c>
      <c r="X8" s="666"/>
      <c r="Y8" s="3440" t="s">
        <v>1683</v>
      </c>
      <c r="Z8" s="343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9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5"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06"/>
      <c r="Q16" s="1263"/>
      <c r="R16" s="667"/>
      <c r="S16" s="668"/>
      <c r="T16" s="667"/>
      <c r="U16" s="668"/>
      <c r="V16" s="667"/>
      <c r="W16" s="668"/>
      <c r="X16" s="1265"/>
      <c r="Y16" s="3408"/>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06"/>
      <c r="Q18" s="1263"/>
      <c r="R18" s="667"/>
      <c r="S18" s="668"/>
      <c r="T18" s="667"/>
      <c r="U18" s="668"/>
      <c r="V18" s="667"/>
      <c r="W18" s="668"/>
      <c r="X18" s="1265"/>
      <c r="Y18" s="3408"/>
      <c r="Z18" s="1264"/>
      <c r="AA18" s="1264">
        <v>1</v>
      </c>
      <c r="AB18" s="1264">
        <v>1</v>
      </c>
      <c r="AC18" s="1264">
        <v>1</v>
      </c>
    </row>
    <row r="19" spans="1:29" ht="207">
      <c r="A19" s="367"/>
      <c r="B19" s="390" t="s">
        <v>1778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06"/>
      <c r="Q20" s="1263"/>
      <c r="R20" s="667"/>
      <c r="S20" s="668"/>
      <c r="T20" s="667"/>
      <c r="U20" s="668"/>
      <c r="V20" s="667"/>
      <c r="W20" s="668"/>
      <c r="X20" s="1265"/>
      <c r="Y20" s="340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06"/>
      <c r="Q22" s="1263"/>
      <c r="R22" s="667"/>
      <c r="S22" s="668"/>
      <c r="T22" s="667"/>
      <c r="U22" s="668"/>
      <c r="V22" s="667"/>
      <c r="W22" s="668"/>
      <c r="X22" s="1265"/>
      <c r="Y22" s="3408"/>
      <c r="Z22" s="1264"/>
      <c r="AA22" s="1264">
        <v>1</v>
      </c>
      <c r="AB22" s="1264">
        <v>1</v>
      </c>
      <c r="AC22" s="1264">
        <v>1</v>
      </c>
    </row>
    <row r="23" spans="1:29" ht="110.4">
      <c r="A23" s="367"/>
      <c r="B23" s="390" t="s">
        <v>1261</v>
      </c>
      <c r="C23" s="1806"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06"/>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8"/>
      <c r="N27" s="2438"/>
      <c r="O27" s="2438"/>
      <c r="P27" s="3406"/>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8"/>
      <c r="N37" s="2438"/>
      <c r="O37" s="2438"/>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8"/>
      <c r="N44" s="2438"/>
      <c r="O44" s="2438"/>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受贵公司委托，我公司对北京市朝阳区建国门外大街甲6号1幢房地产抵押价值进行了预评估。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估价对象为北京市朝阳区建国门外大街甲6号1幢房地产，为所有。根据《国有土地使用证》[]，估价对象（分摊）出让国有建设用地使用权面积为3497.08平方米，建筑面积为49267.19平方米。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49267.19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49267.189999999995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860"/>
      <c r="M4" s="861"/>
      <c r="N4" s="861"/>
      <c r="O4" s="861"/>
      <c r="P4" s="3479" t="s">
        <v>1775</v>
      </c>
      <c r="Q4" s="3480"/>
      <c r="R4" s="3483" t="s">
        <v>1771</v>
      </c>
      <c r="S4" s="3484"/>
      <c r="T4" s="3483" t="s">
        <v>1772</v>
      </c>
      <c r="U4" s="3484"/>
      <c r="V4" s="3401" t="s">
        <v>1773</v>
      </c>
      <c r="W4" s="3401"/>
      <c r="X4" s="1265"/>
      <c r="Y4" s="3483" t="s">
        <v>1775</v>
      </c>
      <c r="Z4" s="3484"/>
      <c r="AA4" s="3478" t="s">
        <v>1771</v>
      </c>
      <c r="AB4" s="3445" t="s">
        <v>1772</v>
      </c>
      <c r="AC4" s="3478" t="s">
        <v>1773</v>
      </c>
    </row>
    <row r="5" spans="1:29">
      <c r="A5" s="348"/>
      <c r="B5" s="349"/>
      <c r="C5" s="3436" t="s">
        <v>1673</v>
      </c>
      <c r="D5" s="3437"/>
      <c r="E5" s="3485" t="s">
        <v>1674</v>
      </c>
      <c r="F5" s="3448"/>
      <c r="G5" s="3436" t="s">
        <v>1675</v>
      </c>
      <c r="H5" s="3437"/>
      <c r="I5" s="3436" t="s">
        <v>1676</v>
      </c>
      <c r="J5" s="3437"/>
      <c r="K5" s="537"/>
      <c r="L5" s="860"/>
      <c r="M5" s="861"/>
      <c r="N5" s="861"/>
      <c r="O5" s="861"/>
      <c r="P5" s="3481"/>
      <c r="Q5" s="3424"/>
      <c r="R5" s="3429"/>
      <c r="S5" s="3430"/>
      <c r="T5" s="3429"/>
      <c r="U5" s="3430"/>
      <c r="V5" s="3401"/>
      <c r="W5" s="3401"/>
      <c r="X5" s="1265"/>
      <c r="Y5" s="3429"/>
      <c r="Z5" s="3430"/>
      <c r="AA5" s="3445"/>
      <c r="AB5" s="3445"/>
      <c r="AC5" s="3445"/>
    </row>
    <row r="6" spans="1:29" ht="15" thickBot="1">
      <c r="A6" s="350"/>
      <c r="B6" s="351"/>
      <c r="C6" s="3434" t="s">
        <v>1677</v>
      </c>
      <c r="D6" s="3435"/>
      <c r="E6" s="3442" t="s">
        <v>1677</v>
      </c>
      <c r="F6" s="3443"/>
      <c r="G6" s="3434" t="s">
        <v>1677</v>
      </c>
      <c r="H6" s="3435"/>
      <c r="I6" s="3434" t="s">
        <v>1677</v>
      </c>
      <c r="J6" s="3435"/>
      <c r="K6" s="537" t="s">
        <v>1678</v>
      </c>
      <c r="L6" s="860"/>
      <c r="M6" s="861"/>
      <c r="N6" s="861"/>
      <c r="O6" s="861"/>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1"/>
      <c r="R7" s="664" t="s">
        <v>14</v>
      </c>
      <c r="S7" s="665">
        <f t="shared" ref="S7:S15" si="0">F7</f>
        <v>0</v>
      </c>
      <c r="T7" s="664" t="s">
        <v>14</v>
      </c>
      <c r="U7" s="665">
        <f t="shared" ref="U7:U15" si="1">H7</f>
        <v>0</v>
      </c>
      <c r="V7" s="664" t="s">
        <v>14</v>
      </c>
      <c r="W7" s="665">
        <f t="shared" ref="W7:W15" si="2">J7</f>
        <v>0</v>
      </c>
      <c r="X7" s="666"/>
      <c r="Y7" s="3440" t="s">
        <v>1680</v>
      </c>
      <c r="Z7" s="343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39"/>
      <c r="R8" s="664" t="s">
        <v>14</v>
      </c>
      <c r="S8" s="665">
        <f t="shared" si="0"/>
        <v>100</v>
      </c>
      <c r="T8" s="664" t="s">
        <v>14</v>
      </c>
      <c r="U8" s="665">
        <f t="shared" si="1"/>
        <v>100</v>
      </c>
      <c r="V8" s="664" t="s">
        <v>14</v>
      </c>
      <c r="W8" s="665">
        <f t="shared" si="2"/>
        <v>100</v>
      </c>
      <c r="X8" s="666"/>
      <c r="Y8" s="3440" t="s">
        <v>1683</v>
      </c>
      <c r="Z8" s="343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6"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79" t="s">
        <v>1775</v>
      </c>
      <c r="Q4" s="3480"/>
      <c r="R4" s="3483" t="s">
        <v>1771</v>
      </c>
      <c r="S4" s="3484"/>
      <c r="T4" s="3483" t="s">
        <v>1772</v>
      </c>
      <c r="U4" s="3484"/>
      <c r="V4" s="3401" t="s">
        <v>1773</v>
      </c>
      <c r="W4" s="3401"/>
      <c r="X4" s="1265"/>
      <c r="Y4" s="3483" t="s">
        <v>1775</v>
      </c>
      <c r="Z4" s="3484"/>
      <c r="AA4" s="3478" t="s">
        <v>1771</v>
      </c>
      <c r="AB4" s="3445" t="s">
        <v>1772</v>
      </c>
      <c r="AC4" s="3478" t="s">
        <v>1773</v>
      </c>
    </row>
    <row r="5" spans="1:29">
      <c r="A5" s="348"/>
      <c r="B5" s="349"/>
      <c r="C5" s="3436" t="s">
        <v>1673</v>
      </c>
      <c r="D5" s="3437"/>
      <c r="E5" s="3485" t="s">
        <v>1674</v>
      </c>
      <c r="F5" s="3448"/>
      <c r="G5" s="3436" t="s">
        <v>1675</v>
      </c>
      <c r="H5" s="3437"/>
      <c r="I5" s="3436" t="s">
        <v>1676</v>
      </c>
      <c r="J5" s="3437"/>
      <c r="K5" s="537"/>
      <c r="L5" s="2483"/>
      <c r="M5" s="2484"/>
      <c r="N5" s="2484"/>
      <c r="O5" s="2484"/>
      <c r="P5" s="3481"/>
      <c r="Q5" s="3424"/>
      <c r="R5" s="3429"/>
      <c r="S5" s="3430"/>
      <c r="T5" s="3429"/>
      <c r="U5" s="3430"/>
      <c r="V5" s="3401"/>
      <c r="W5" s="3401"/>
      <c r="X5" s="1265"/>
      <c r="Y5" s="3429"/>
      <c r="Z5" s="3430"/>
      <c r="AA5" s="3445"/>
      <c r="AB5" s="3445"/>
      <c r="AC5" s="3445"/>
    </row>
    <row r="6" spans="1:29" ht="15" thickBot="1">
      <c r="A6" s="350"/>
      <c r="B6" s="351"/>
      <c r="C6" s="3434" t="s">
        <v>1677</v>
      </c>
      <c r="D6" s="3435"/>
      <c r="E6" s="3442" t="s">
        <v>1677</v>
      </c>
      <c r="F6" s="3443"/>
      <c r="G6" s="3434" t="s">
        <v>1677</v>
      </c>
      <c r="H6" s="3435"/>
      <c r="I6" s="3434" t="s">
        <v>1677</v>
      </c>
      <c r="J6" s="3435"/>
      <c r="K6" s="537" t="s">
        <v>1678</v>
      </c>
      <c r="L6" s="2483"/>
      <c r="M6" s="2484"/>
      <c r="N6" s="2484"/>
      <c r="O6" s="2484"/>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5"/>
      <c r="M7" s="2438"/>
      <c r="N7" s="2438"/>
      <c r="O7" s="2438"/>
      <c r="P7" s="3440" t="s">
        <v>1680</v>
      </c>
      <c r="Q7" s="3441"/>
      <c r="R7" s="664" t="s">
        <v>14</v>
      </c>
      <c r="S7" s="665">
        <f t="shared" ref="S7:S14" si="0">F7</f>
        <v>0</v>
      </c>
      <c r="T7" s="664" t="s">
        <v>14</v>
      </c>
      <c r="U7" s="665">
        <f t="shared" ref="U7:U14" si="1">H7</f>
        <v>0</v>
      </c>
      <c r="V7" s="664" t="s">
        <v>14</v>
      </c>
      <c r="W7" s="665">
        <f t="shared" ref="W7:W14" si="2">J7</f>
        <v>0</v>
      </c>
      <c r="X7" s="666"/>
      <c r="Y7" s="3440" t="s">
        <v>1680</v>
      </c>
      <c r="Z7" s="343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440" t="s">
        <v>1683</v>
      </c>
      <c r="Q8" s="3439"/>
      <c r="R8" s="664" t="s">
        <v>14</v>
      </c>
      <c r="S8" s="665">
        <f t="shared" si="0"/>
        <v>100</v>
      </c>
      <c r="T8" s="664" t="s">
        <v>14</v>
      </c>
      <c r="U8" s="665">
        <f t="shared" si="1"/>
        <v>100</v>
      </c>
      <c r="V8" s="664" t="s">
        <v>14</v>
      </c>
      <c r="W8" s="665">
        <f t="shared" si="2"/>
        <v>100</v>
      </c>
      <c r="X8" s="666"/>
      <c r="Y8" s="3440" t="s">
        <v>1683</v>
      </c>
      <c r="Z8" s="343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400"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0"/>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40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79.4">
      <c r="A14" s="345" t="s">
        <v>1690</v>
      </c>
      <c r="B14" s="554"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08"/>
      <c r="Q15" s="1263"/>
      <c r="R15" s="667"/>
      <c r="S15" s="668"/>
      <c r="T15" s="667"/>
      <c r="U15" s="668"/>
      <c r="V15" s="667"/>
      <c r="W15" s="668"/>
      <c r="X15" s="1265"/>
      <c r="Y15" s="3408"/>
      <c r="Z15" s="1264"/>
      <c r="AA15" s="1264">
        <v>1</v>
      </c>
      <c r="AB15" s="1264">
        <v>1</v>
      </c>
      <c r="AC15" s="1264">
        <v>1</v>
      </c>
    </row>
    <row r="16" spans="1:29" ht="248.4">
      <c r="A16" s="348"/>
      <c r="B16" s="556"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08"/>
      <c r="Q17" s="1263"/>
      <c r="R17" s="667"/>
      <c r="S17" s="668"/>
      <c r="T17" s="667"/>
      <c r="U17" s="668"/>
      <c r="V17" s="667"/>
      <c r="W17" s="668"/>
      <c r="X17" s="1265"/>
      <c r="Y17" s="340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08"/>
      <c r="Q19" s="1263"/>
      <c r="R19" s="667"/>
      <c r="S19" s="668"/>
      <c r="T19" s="667"/>
      <c r="U19" s="668"/>
      <c r="V19" s="667"/>
      <c r="W19" s="668"/>
      <c r="X19" s="1265"/>
      <c r="Y19" s="3408"/>
      <c r="Z19" s="1264"/>
      <c r="AA19" s="1264">
        <v>1</v>
      </c>
      <c r="AB19" s="1264">
        <v>1</v>
      </c>
      <c r="AC19" s="1264">
        <v>1</v>
      </c>
    </row>
    <row r="20" spans="1:29" ht="110.4">
      <c r="A20" s="348"/>
      <c r="B20" s="556" t="s">
        <v>1834</v>
      </c>
      <c r="C20" s="1754"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8"/>
      <c r="N25" s="2438"/>
      <c r="O25" s="2438"/>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8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1"/>
      <c r="M37" s="2484"/>
      <c r="N37" s="2484"/>
      <c r="O37" s="2484"/>
      <c r="P37" s="3400" t="str">
        <f>A37</f>
        <v>成交单价</v>
      </c>
      <c r="Q37" s="3400"/>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75" t="str">
        <f>A39</f>
        <v>估价对象XX用房的比较价值（楼面单价，元/平方米）</v>
      </c>
      <c r="Q39" s="3476"/>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79" t="s">
        <v>1775</v>
      </c>
      <c r="Q4" s="3480"/>
      <c r="R4" s="3483" t="s">
        <v>1771</v>
      </c>
      <c r="S4" s="3484"/>
      <c r="T4" s="3483" t="s">
        <v>1772</v>
      </c>
      <c r="U4" s="3484"/>
      <c r="V4" s="3401" t="s">
        <v>1773</v>
      </c>
      <c r="W4" s="3401"/>
      <c r="X4" s="1265"/>
      <c r="Y4" s="3483" t="s">
        <v>1775</v>
      </c>
      <c r="Z4" s="3484"/>
      <c r="AA4" s="3478" t="s">
        <v>1771</v>
      </c>
      <c r="AB4" s="3445" t="s">
        <v>1772</v>
      </c>
      <c r="AC4" s="3478" t="s">
        <v>1773</v>
      </c>
    </row>
    <row r="5" spans="1:29">
      <c r="A5" s="348"/>
      <c r="B5" s="349"/>
      <c r="C5" s="3436" t="s">
        <v>1673</v>
      </c>
      <c r="D5" s="3437"/>
      <c r="E5" s="3485" t="s">
        <v>1674</v>
      </c>
      <c r="F5" s="3448"/>
      <c r="G5" s="3436" t="s">
        <v>1675</v>
      </c>
      <c r="H5" s="3437"/>
      <c r="I5" s="3436" t="s">
        <v>1676</v>
      </c>
      <c r="J5" s="3437"/>
      <c r="K5" s="537"/>
      <c r="L5" s="2483"/>
      <c r="M5" s="2484"/>
      <c r="N5" s="2484"/>
      <c r="O5" s="2484"/>
      <c r="P5" s="3481"/>
      <c r="Q5" s="3424"/>
      <c r="R5" s="3429"/>
      <c r="S5" s="3430"/>
      <c r="T5" s="3429"/>
      <c r="U5" s="3430"/>
      <c r="V5" s="3401"/>
      <c r="W5" s="3401"/>
      <c r="X5" s="1265"/>
      <c r="Y5" s="3429"/>
      <c r="Z5" s="3430"/>
      <c r="AA5" s="3445"/>
      <c r="AB5" s="3445"/>
      <c r="AC5" s="3445"/>
    </row>
    <row r="6" spans="1:29" ht="15" thickBot="1">
      <c r="A6" s="350"/>
      <c r="B6" s="351"/>
      <c r="C6" s="3434" t="s">
        <v>1677</v>
      </c>
      <c r="D6" s="3435"/>
      <c r="E6" s="3442" t="s">
        <v>1677</v>
      </c>
      <c r="F6" s="3443"/>
      <c r="G6" s="3434" t="s">
        <v>1677</v>
      </c>
      <c r="H6" s="3435"/>
      <c r="I6" s="3434" t="s">
        <v>1677</v>
      </c>
      <c r="J6" s="3435"/>
      <c r="K6" s="537" t="s">
        <v>1678</v>
      </c>
      <c r="L6" s="2483"/>
      <c r="M6" s="2484"/>
      <c r="N6" s="2484"/>
      <c r="O6" s="2484"/>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5"/>
      <c r="M7" s="2438"/>
      <c r="N7" s="2438"/>
      <c r="O7" s="2438"/>
      <c r="P7" s="3440" t="s">
        <v>1680</v>
      </c>
      <c r="Q7" s="3441"/>
      <c r="R7" s="664" t="s">
        <v>14</v>
      </c>
      <c r="S7" s="665">
        <f t="shared" ref="S7:S14" si="0">F7</f>
        <v>0</v>
      </c>
      <c r="T7" s="664" t="s">
        <v>14</v>
      </c>
      <c r="U7" s="665">
        <f t="shared" ref="U7:U14" si="1">H7</f>
        <v>0</v>
      </c>
      <c r="V7" s="664" t="s">
        <v>14</v>
      </c>
      <c r="W7" s="665">
        <f t="shared" ref="W7:W14" si="2">J7</f>
        <v>0</v>
      </c>
      <c r="X7" s="666"/>
      <c r="Y7" s="3440" t="s">
        <v>1680</v>
      </c>
      <c r="Z7" s="343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440" t="s">
        <v>1683</v>
      </c>
      <c r="Q8" s="3439"/>
      <c r="R8" s="664" t="s">
        <v>14</v>
      </c>
      <c r="S8" s="665">
        <f t="shared" si="0"/>
        <v>100</v>
      </c>
      <c r="T8" s="664" t="s">
        <v>14</v>
      </c>
      <c r="U8" s="665">
        <f t="shared" si="1"/>
        <v>100</v>
      </c>
      <c r="V8" s="664" t="s">
        <v>14</v>
      </c>
      <c r="W8" s="665">
        <f t="shared" si="2"/>
        <v>100</v>
      </c>
      <c r="X8" s="666"/>
      <c r="Y8" s="3440" t="s">
        <v>1683</v>
      </c>
      <c r="Z8" s="343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400"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0"/>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40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79.4">
      <c r="A14" s="379" t="s">
        <v>1690</v>
      </c>
      <c r="B14" s="58"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08"/>
      <c r="Q15" s="1263"/>
      <c r="R15" s="667"/>
      <c r="S15" s="668"/>
      <c r="T15" s="667"/>
      <c r="U15" s="668"/>
      <c r="V15" s="667"/>
      <c r="W15" s="668"/>
      <c r="X15" s="1265"/>
      <c r="Y15" s="3408"/>
      <c r="Z15" s="1264"/>
      <c r="AA15" s="1264">
        <v>1</v>
      </c>
      <c r="AB15" s="1264">
        <v>1</v>
      </c>
      <c r="AC15" s="1264">
        <v>1</v>
      </c>
    </row>
    <row r="16" spans="1:29" ht="248.4">
      <c r="A16" s="367"/>
      <c r="B16" s="390"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08"/>
      <c r="Q17" s="1263"/>
      <c r="R17" s="667"/>
      <c r="S17" s="668"/>
      <c r="T17" s="667"/>
      <c r="U17" s="668"/>
      <c r="V17" s="667"/>
      <c r="W17" s="668"/>
      <c r="X17" s="1265"/>
      <c r="Y17" s="340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08"/>
      <c r="Q19" s="1263"/>
      <c r="R19" s="667"/>
      <c r="S19" s="668"/>
      <c r="T19" s="667"/>
      <c r="U19" s="668"/>
      <c r="V19" s="667"/>
      <c r="W19" s="668"/>
      <c r="X19" s="1265"/>
      <c r="Y19" s="3408"/>
      <c r="Z19" s="1264"/>
      <c r="AA19" s="1264">
        <v>1</v>
      </c>
      <c r="AB19" s="1264">
        <v>1</v>
      </c>
      <c r="AC19" s="1264">
        <v>1</v>
      </c>
    </row>
    <row r="20" spans="1:29" ht="110.4">
      <c r="A20" s="367"/>
      <c r="B20" s="390" t="s">
        <v>1834</v>
      </c>
      <c r="C20" s="1754"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8"/>
      <c r="N25" s="2438"/>
      <c r="O25" s="2537"/>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8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8"/>
      <c r="N31" s="2438"/>
      <c r="O31" s="2537"/>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75" t="str">
        <f>A37</f>
        <v>估价对象XX用房的比较价值（楼面单价，元/平方米）</v>
      </c>
      <c r="Q37" s="3476"/>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79" t="s">
        <v>1775</v>
      </c>
      <c r="Q4" s="3480"/>
      <c r="R4" s="3483" t="s">
        <v>1771</v>
      </c>
      <c r="S4" s="3484"/>
      <c r="T4" s="3483" t="s">
        <v>1772</v>
      </c>
      <c r="U4" s="3484"/>
      <c r="V4" s="3401" t="s">
        <v>1773</v>
      </c>
      <c r="W4" s="3401"/>
      <c r="X4" s="1265"/>
      <c r="Y4" s="3483" t="s">
        <v>1775</v>
      </c>
      <c r="Z4" s="3484"/>
      <c r="AA4" s="3478" t="s">
        <v>1771</v>
      </c>
      <c r="AB4" s="3445" t="s">
        <v>1772</v>
      </c>
      <c r="AC4" s="3478" t="s">
        <v>1773</v>
      </c>
    </row>
    <row r="5" spans="1:29">
      <c r="A5" s="348"/>
      <c r="B5" s="349"/>
      <c r="C5" s="3436" t="s">
        <v>1673</v>
      </c>
      <c r="D5" s="3437"/>
      <c r="E5" s="3485" t="s">
        <v>1674</v>
      </c>
      <c r="F5" s="3448"/>
      <c r="G5" s="3436" t="s">
        <v>1675</v>
      </c>
      <c r="H5" s="3437"/>
      <c r="I5" s="3436" t="s">
        <v>1676</v>
      </c>
      <c r="J5" s="3437"/>
      <c r="K5" s="537"/>
      <c r="L5" s="2483"/>
      <c r="M5" s="2484"/>
      <c r="N5" s="2484"/>
      <c r="O5" s="2484"/>
      <c r="P5" s="3481"/>
      <c r="Q5" s="3424"/>
      <c r="R5" s="3429"/>
      <c r="S5" s="3430"/>
      <c r="T5" s="3429"/>
      <c r="U5" s="3430"/>
      <c r="V5" s="3401"/>
      <c r="W5" s="3401"/>
      <c r="X5" s="1265"/>
      <c r="Y5" s="3429"/>
      <c r="Z5" s="3430"/>
      <c r="AA5" s="3445"/>
      <c r="AB5" s="3445"/>
      <c r="AC5" s="3445"/>
    </row>
    <row r="6" spans="1:29" ht="15" thickBot="1">
      <c r="A6" s="350"/>
      <c r="B6" s="351"/>
      <c r="C6" s="3434" t="s">
        <v>1677</v>
      </c>
      <c r="D6" s="3435"/>
      <c r="E6" s="3442" t="s">
        <v>1677</v>
      </c>
      <c r="F6" s="3443"/>
      <c r="G6" s="3434" t="s">
        <v>1677</v>
      </c>
      <c r="H6" s="3435"/>
      <c r="I6" s="3434" t="s">
        <v>1677</v>
      </c>
      <c r="J6" s="3435"/>
      <c r="K6" s="537" t="s">
        <v>1678</v>
      </c>
      <c r="L6" s="2483"/>
      <c r="M6" s="2484"/>
      <c r="N6" s="2484"/>
      <c r="O6" s="2484"/>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5"/>
      <c r="M7" s="2438"/>
      <c r="N7" s="2438"/>
      <c r="O7" s="2438"/>
      <c r="P7" s="3440" t="s">
        <v>1680</v>
      </c>
      <c r="Q7" s="3441"/>
      <c r="R7" s="664" t="s">
        <v>14</v>
      </c>
      <c r="S7" s="665">
        <f t="shared" ref="S7:S15" si="0">F7</f>
        <v>0</v>
      </c>
      <c r="T7" s="664" t="s">
        <v>14</v>
      </c>
      <c r="U7" s="665">
        <f t="shared" ref="U7:U15" si="1">H7</f>
        <v>0</v>
      </c>
      <c r="V7" s="664" t="s">
        <v>14</v>
      </c>
      <c r="W7" s="665">
        <f t="shared" ref="W7:W15" si="2">J7</f>
        <v>0</v>
      </c>
      <c r="X7" s="666"/>
      <c r="Y7" s="3440" t="s">
        <v>1680</v>
      </c>
      <c r="Z7" s="343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440" t="s">
        <v>1683</v>
      </c>
      <c r="Q8" s="3439"/>
      <c r="R8" s="664" t="s">
        <v>14</v>
      </c>
      <c r="S8" s="665">
        <f t="shared" si="0"/>
        <v>0</v>
      </c>
      <c r="T8" s="664" t="s">
        <v>14</v>
      </c>
      <c r="U8" s="665">
        <f t="shared" si="1"/>
        <v>0</v>
      </c>
      <c r="V8" s="664" t="s">
        <v>14</v>
      </c>
      <c r="W8" s="665">
        <f t="shared" si="2"/>
        <v>0</v>
      </c>
      <c r="X8" s="666"/>
      <c r="Y8" s="3440" t="s">
        <v>1683</v>
      </c>
      <c r="Z8" s="343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8"/>
      <c r="N9" s="2438"/>
      <c r="O9" s="2537"/>
      <c r="P9" s="340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400"/>
      <c r="Q10" s="530" t="str">
        <f t="shared" si="6"/>
        <v>土地使用年限（年）</v>
      </c>
      <c r="R10" s="664" t="s">
        <v>14</v>
      </c>
      <c r="S10" s="665">
        <f t="shared" si="0"/>
        <v>123</v>
      </c>
      <c r="T10" s="664" t="s">
        <v>14</v>
      </c>
      <c r="U10" s="665">
        <f t="shared" si="1"/>
        <v>123</v>
      </c>
      <c r="V10" s="664" t="s">
        <v>14</v>
      </c>
      <c r="W10" s="665">
        <f t="shared" si="2"/>
        <v>123</v>
      </c>
      <c r="X10" s="666"/>
      <c r="Y10" s="3303"/>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0"/>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8"/>
      <c r="N12" s="2438"/>
      <c r="O12" s="2537"/>
      <c r="P12" s="3400"/>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0"/>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08"/>
      <c r="Q16" s="1263"/>
      <c r="R16" s="667"/>
      <c r="S16" s="668"/>
      <c r="T16" s="667"/>
      <c r="U16" s="668"/>
      <c r="V16" s="667"/>
      <c r="W16" s="668"/>
      <c r="X16" s="1265"/>
      <c r="Y16" s="340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08"/>
      <c r="Q18" s="1263"/>
      <c r="R18" s="667"/>
      <c r="S18" s="668"/>
      <c r="T18" s="667"/>
      <c r="U18" s="668"/>
      <c r="V18" s="667"/>
      <c r="W18" s="668"/>
      <c r="X18" s="1265"/>
      <c r="Y18" s="3408"/>
      <c r="Z18" s="1264"/>
      <c r="AA18" s="1264">
        <v>1</v>
      </c>
      <c r="AB18" s="1264">
        <v>1</v>
      </c>
      <c r="AC18" s="1264">
        <v>1</v>
      </c>
    </row>
    <row r="19" spans="1:29" ht="193.2">
      <c r="A19" s="367"/>
      <c r="B19" s="390" t="s">
        <v>1811</v>
      </c>
      <c r="C19" s="1806"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08"/>
      <c r="Q20" s="1263"/>
      <c r="R20" s="667"/>
      <c r="S20" s="668"/>
      <c r="T20" s="667"/>
      <c r="U20" s="668"/>
      <c r="V20" s="667"/>
      <c r="W20" s="668"/>
      <c r="X20" s="1265"/>
      <c r="Y20" s="3408"/>
      <c r="Z20" s="1264"/>
      <c r="AA20" s="1264">
        <v>1</v>
      </c>
      <c r="AB20" s="1264">
        <v>1</v>
      </c>
      <c r="AC20" s="1264">
        <v>1</v>
      </c>
    </row>
    <row r="21" spans="1:29" ht="179.4">
      <c r="A21" s="367"/>
      <c r="B21" s="390" t="s">
        <v>1833</v>
      </c>
      <c r="C21" s="1754"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08"/>
      <c r="Q22" s="1263"/>
      <c r="R22" s="667"/>
      <c r="S22" s="668"/>
      <c r="T22" s="667"/>
      <c r="U22" s="668"/>
      <c r="V22" s="667"/>
      <c r="W22" s="668"/>
      <c r="X22" s="1265"/>
      <c r="Y22" s="340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08"/>
      <c r="Q24" s="1263"/>
      <c r="R24" s="667"/>
      <c r="S24" s="668"/>
      <c r="T24" s="667"/>
      <c r="U24" s="668"/>
      <c r="V24" s="667"/>
      <c r="W24" s="668"/>
      <c r="X24" s="1265"/>
      <c r="Y24" s="3408"/>
      <c r="Z24" s="1264"/>
      <c r="AA24" s="1264"/>
      <c r="AB24" s="1264"/>
      <c r="AC24" s="1264"/>
    </row>
    <row r="25" spans="1:29" ht="110.4">
      <c r="A25" s="348"/>
      <c r="B25" s="586" t="s">
        <v>1872</v>
      </c>
      <c r="C25" s="1806"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08"/>
      <c r="Q26" s="1263"/>
      <c r="R26" s="667"/>
      <c r="S26" s="668"/>
      <c r="T26" s="667"/>
      <c r="U26" s="668"/>
      <c r="V26" s="667"/>
      <c r="W26" s="668"/>
      <c r="X26" s="1265"/>
      <c r="Y26" s="3408"/>
      <c r="Z26" s="1264"/>
      <c r="AA26" s="1264">
        <v>1</v>
      </c>
      <c r="AB26" s="1264">
        <v>1</v>
      </c>
      <c r="AC26" s="1264">
        <v>1</v>
      </c>
    </row>
    <row r="27" spans="1:29" s="102" customFormat="1" ht="248.4">
      <c r="A27" s="443"/>
      <c r="B27" s="586" t="s">
        <v>1778</v>
      </c>
      <c r="C27" s="175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8"/>
      <c r="N27" s="2438"/>
      <c r="O27" s="2537"/>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8"/>
      <c r="N28" s="2438"/>
      <c r="O28" s="2537"/>
      <c r="P28" s="3408"/>
      <c r="Q28" s="530"/>
      <c r="R28" s="664"/>
      <c r="S28" s="665"/>
      <c r="T28" s="664"/>
      <c r="U28" s="665"/>
      <c r="V28" s="664"/>
      <c r="W28" s="665"/>
      <c r="X28" s="666"/>
      <c r="Y28" s="340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8"/>
      <c r="N29" s="2438"/>
      <c r="O29" s="2537"/>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8"/>
      <c r="N30" s="2438"/>
      <c r="O30" s="2537"/>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86"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8"/>
      <c r="N41" s="2438"/>
      <c r="O41" s="2537"/>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400" t="str">
        <f>A46</f>
        <v>成交单价</v>
      </c>
      <c r="Q46" s="3400"/>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400" t="str">
        <f>A47</f>
        <v>比较价值（元/平方米）</v>
      </c>
      <c r="Q47" s="3400"/>
      <c r="R47" s="3488" t="e">
        <f>ROUND(PRODUCT(R46,AA7:AA45),0)</f>
        <v>#DIV/0!</v>
      </c>
      <c r="S47" s="3488"/>
      <c r="T47" s="3488" t="e">
        <f>ROUND(PRODUCT(T46,AB7:AB45),0)</f>
        <v>#DIV/0!</v>
      </c>
      <c r="U47" s="3488"/>
      <c r="V47" s="3488" t="e">
        <f>ROUND(PRODUCT(V46,AC7:AC45),0)</f>
        <v>#DIV/0!</v>
      </c>
      <c r="W47" s="348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75" t="str">
        <f>A48</f>
        <v>估价对象XX用房的比较价值（楼面单价，元/平方米）</v>
      </c>
      <c r="Q48" s="3476"/>
      <c r="R48" s="3489" t="e">
        <f>ROUND(IF(D47="简单平均",AVERAGE(R47:W47),R47*F47+T47*H47+V47*J47),0)</f>
        <v>#DIV/0!</v>
      </c>
      <c r="S48" s="3489"/>
      <c r="T48" s="3489"/>
      <c r="U48" s="3489"/>
      <c r="V48" s="3489"/>
      <c r="W48" s="348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17" t="s">
        <v>1887</v>
      </c>
      <c r="H55" s="3490"/>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38401.339999999997</v>
      </c>
      <c r="F56" s="833" t="e">
        <f t="shared" ref="F56:F64" si="15">ROUND(B56*E56/10000,0)</f>
        <v>#DIV/0!</v>
      </c>
      <c r="G56" s="3399"/>
      <c r="H56" s="3400"/>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9319.9500000000007</v>
      </c>
      <c r="F60" s="833" t="e">
        <f t="shared" si="15"/>
        <v>#DIV/0!</v>
      </c>
      <c r="G60" s="1835" t="s">
        <v>1896</v>
      </c>
      <c r="H60" s="834" t="str">
        <f>项目基本情况!C37</f>
        <v>一级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1545.900000000001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49267.189999999995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3"/>
      <c r="M4" s="2484"/>
      <c r="N4" s="2484"/>
      <c r="O4" s="2484"/>
      <c r="P4" s="3479" t="s">
        <v>1775</v>
      </c>
      <c r="Q4" s="3480"/>
      <c r="R4" s="3483" t="s">
        <v>1771</v>
      </c>
      <c r="S4" s="3484"/>
      <c r="T4" s="3483" t="s">
        <v>1772</v>
      </c>
      <c r="U4" s="3484"/>
      <c r="V4" s="3401" t="s">
        <v>1773</v>
      </c>
      <c r="W4" s="3401"/>
      <c r="X4" s="1265"/>
      <c r="Y4" s="3483" t="s">
        <v>1775</v>
      </c>
      <c r="Z4" s="3484"/>
      <c r="AA4" s="3478" t="s">
        <v>1771</v>
      </c>
      <c r="AB4" s="3445" t="s">
        <v>1772</v>
      </c>
      <c r="AC4" s="3478" t="s">
        <v>1773</v>
      </c>
    </row>
    <row r="5" spans="1:29">
      <c r="A5" s="348"/>
      <c r="B5" s="349"/>
      <c r="C5" s="3436" t="s">
        <v>1673</v>
      </c>
      <c r="D5" s="3437"/>
      <c r="E5" s="3485" t="s">
        <v>1674</v>
      </c>
      <c r="F5" s="3448"/>
      <c r="G5" s="3436" t="s">
        <v>1675</v>
      </c>
      <c r="H5" s="3437"/>
      <c r="I5" s="3436" t="s">
        <v>1676</v>
      </c>
      <c r="J5" s="3437"/>
      <c r="K5" s="537"/>
      <c r="L5" s="2483"/>
      <c r="M5" s="2484"/>
      <c r="N5" s="2484"/>
      <c r="O5" s="2484"/>
      <c r="P5" s="3481"/>
      <c r="Q5" s="3424"/>
      <c r="R5" s="3429"/>
      <c r="S5" s="3430"/>
      <c r="T5" s="3429"/>
      <c r="U5" s="3430"/>
      <c r="V5" s="3401"/>
      <c r="W5" s="3401"/>
      <c r="X5" s="1265"/>
      <c r="Y5" s="3429"/>
      <c r="Z5" s="3430"/>
      <c r="AA5" s="3445"/>
      <c r="AB5" s="3445"/>
      <c r="AC5" s="3445"/>
    </row>
    <row r="6" spans="1:29" ht="15" thickBot="1">
      <c r="A6" s="350"/>
      <c r="B6" s="351"/>
      <c r="C6" s="3491" t="s">
        <v>1919</v>
      </c>
      <c r="D6" s="3492"/>
      <c r="E6" s="3493" t="s">
        <v>1919</v>
      </c>
      <c r="F6" s="3494"/>
      <c r="G6" s="3491" t="s">
        <v>1919</v>
      </c>
      <c r="H6" s="3492"/>
      <c r="I6" s="3491" t="s">
        <v>1919</v>
      </c>
      <c r="J6" s="3492"/>
      <c r="K6" s="537" t="s">
        <v>1678</v>
      </c>
      <c r="L6" s="2483"/>
      <c r="M6" s="2484"/>
      <c r="N6" s="2484"/>
      <c r="O6" s="2484"/>
      <c r="P6" s="3482"/>
      <c r="Q6" s="3426"/>
      <c r="R6" s="3429"/>
      <c r="S6" s="3430"/>
      <c r="T6" s="3431"/>
      <c r="U6" s="3432"/>
      <c r="V6" s="3401"/>
      <c r="W6" s="3401"/>
      <c r="X6" s="1265"/>
      <c r="Y6" s="3431"/>
      <c r="Z6" s="3432"/>
      <c r="AA6" s="3446"/>
      <c r="AB6" s="3446"/>
      <c r="AC6" s="3446"/>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5"/>
      <c r="M7" s="2438"/>
      <c r="N7" s="2438"/>
      <c r="O7" s="2438"/>
      <c r="P7" s="3440" t="s">
        <v>1680</v>
      </c>
      <c r="Q7" s="3441"/>
      <c r="R7" s="664" t="s">
        <v>14</v>
      </c>
      <c r="S7" s="665">
        <f t="shared" ref="S7:S15" si="0">F7</f>
        <v>0</v>
      </c>
      <c r="T7" s="664" t="s">
        <v>14</v>
      </c>
      <c r="U7" s="665">
        <f t="shared" ref="U7:U15" si="1">H7</f>
        <v>0</v>
      </c>
      <c r="V7" s="664" t="s">
        <v>14</v>
      </c>
      <c r="W7" s="665">
        <f t="shared" ref="W7:W15" si="2">J7</f>
        <v>0</v>
      </c>
      <c r="X7" s="666"/>
      <c r="Y7" s="3440" t="s">
        <v>1680</v>
      </c>
      <c r="Z7" s="343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440" t="s">
        <v>1683</v>
      </c>
      <c r="Q8" s="3439"/>
      <c r="R8" s="664" t="s">
        <v>14</v>
      </c>
      <c r="S8" s="665">
        <f t="shared" si="0"/>
        <v>0</v>
      </c>
      <c r="T8" s="664" t="s">
        <v>14</v>
      </c>
      <c r="U8" s="665">
        <f t="shared" si="1"/>
        <v>0</v>
      </c>
      <c r="V8" s="664" t="s">
        <v>14</v>
      </c>
      <c r="W8" s="665">
        <f t="shared" si="2"/>
        <v>0</v>
      </c>
      <c r="X8" s="666"/>
      <c r="Y8" s="3440" t="s">
        <v>1683</v>
      </c>
      <c r="Z8" s="343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8"/>
      <c r="N9" s="2438"/>
      <c r="O9" s="2537"/>
      <c r="P9" s="340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400"/>
      <c r="Q10" s="530" t="str">
        <f t="shared" si="6"/>
        <v>土地使用年限（年）</v>
      </c>
      <c r="R10" s="664" t="s">
        <v>14</v>
      </c>
      <c r="S10" s="665">
        <f t="shared" si="0"/>
        <v>123</v>
      </c>
      <c r="T10" s="664" t="s">
        <v>14</v>
      </c>
      <c r="U10" s="665">
        <f t="shared" si="1"/>
        <v>123</v>
      </c>
      <c r="V10" s="664" t="s">
        <v>14</v>
      </c>
      <c r="W10" s="665">
        <f t="shared" si="2"/>
        <v>123</v>
      </c>
      <c r="X10" s="666"/>
      <c r="Y10" s="3303"/>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0"/>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8"/>
      <c r="N12" s="2438"/>
      <c r="O12" s="2537"/>
      <c r="P12" s="340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08"/>
      <c r="Q16" s="1263"/>
      <c r="R16" s="667"/>
      <c r="S16" s="668"/>
      <c r="T16" s="667"/>
      <c r="U16" s="668"/>
      <c r="V16" s="667"/>
      <c r="W16" s="668"/>
      <c r="X16" s="1265"/>
      <c r="Y16" s="340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08"/>
      <c r="Q18" s="1263"/>
      <c r="R18" s="667"/>
      <c r="S18" s="668"/>
      <c r="T18" s="667"/>
      <c r="U18" s="668"/>
      <c r="V18" s="667"/>
      <c r="W18" s="668"/>
      <c r="X18" s="1265"/>
      <c r="Y18" s="340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08"/>
      <c r="Q20" s="1263"/>
      <c r="R20" s="667"/>
      <c r="S20" s="668"/>
      <c r="T20" s="667"/>
      <c r="U20" s="668"/>
      <c r="V20" s="667"/>
      <c r="W20" s="668"/>
      <c r="X20" s="1265"/>
      <c r="Y20" s="340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08"/>
      <c r="Q22" s="1263"/>
      <c r="R22" s="667"/>
      <c r="S22" s="668"/>
      <c r="T22" s="667"/>
      <c r="U22" s="668"/>
      <c r="V22" s="667"/>
      <c r="W22" s="668"/>
      <c r="X22" s="1265"/>
      <c r="Y22" s="340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8"/>
      <c r="N23" s="2438"/>
      <c r="O23" s="2537"/>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8"/>
      <c r="N24" s="2438"/>
      <c r="O24" s="2537"/>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8"/>
      <c r="N25" s="2438"/>
      <c r="O25" s="2537"/>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8"/>
      <c r="N26" s="2438"/>
      <c r="O26" s="2537"/>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86"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8"/>
      <c r="N36" s="2438"/>
      <c r="O36" s="2537"/>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400" t="str">
        <f>A41</f>
        <v>成交单价</v>
      </c>
      <c r="Q41" s="3400"/>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400" t="str">
        <f>A42</f>
        <v>比较价值（元/平方米）</v>
      </c>
      <c r="Q42" s="3400"/>
      <c r="R42" s="3488" t="e">
        <f>ROUND(PRODUCT(R41,AA7:AA40),0)</f>
        <v>#DIV/0!</v>
      </c>
      <c r="S42" s="3488"/>
      <c r="T42" s="3488" t="e">
        <f>ROUND(PRODUCT(T41,AB7:AB40),0)</f>
        <v>#DIV/0!</v>
      </c>
      <c r="U42" s="3488"/>
      <c r="V42" s="3488" t="e">
        <f>ROUND(PRODUCT(V41,AC7:AC40),0)</f>
        <v>#DIV/0!</v>
      </c>
      <c r="W42" s="348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75" t="str">
        <f>A43</f>
        <v>估价对象XX用房的比较价值（楼面单价，元/平方米）</v>
      </c>
      <c r="Q43" s="3476"/>
      <c r="R43" s="3489" t="e">
        <f>ROUND(IF(D42="简单平均",AVERAGE(R42:W42),R42*F42+T42*H42+V42*J42),0)</f>
        <v>#DIV/0!</v>
      </c>
      <c r="S43" s="3489"/>
      <c r="T43" s="3489"/>
      <c r="U43" s="3489"/>
      <c r="V43" s="3489"/>
      <c r="W43" s="348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17" t="s">
        <v>1887</v>
      </c>
      <c r="H50" s="3490"/>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38401.339999999997</v>
      </c>
      <c r="F51" s="611" t="e">
        <f t="shared" ref="F51:F60" si="15">ROUND(B51*E51/10000,0)</f>
        <v>#DIV/0!</v>
      </c>
      <c r="G51" s="3399"/>
      <c r="H51" s="3400"/>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9319.9500000000007</v>
      </c>
      <c r="F56" s="611" t="e">
        <f t="shared" si="15"/>
        <v>#DIV/0!</v>
      </c>
      <c r="G56" s="1835" t="s">
        <v>1896</v>
      </c>
      <c r="H56" s="834" t="str">
        <f>项目基本情况!C37</f>
        <v>一级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1545.900000000001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3497.08</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8" t="s">
        <v>2084</v>
      </c>
      <c r="D1" s="3499"/>
      <c r="E1" s="3499"/>
      <c r="F1" s="3499"/>
      <c r="G1" s="3499"/>
      <c r="H1" s="3499"/>
      <c r="I1" s="3499"/>
      <c r="J1" s="3499"/>
      <c r="K1" s="3499"/>
      <c r="L1" s="3499"/>
      <c r="M1" s="3499"/>
      <c r="N1" s="3499"/>
      <c r="O1" s="3499"/>
      <c r="P1" s="3499"/>
      <c r="Q1" s="3499"/>
      <c r="R1" s="3499"/>
      <c r="S1" s="350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5" t="s">
        <v>27</v>
      </c>
      <c r="D22" s="3496"/>
      <c r="E22" s="3496"/>
      <c r="F22" s="3496"/>
      <c r="G22" s="3496"/>
      <c r="H22" s="3496"/>
      <c r="I22" s="3496"/>
      <c r="J22" s="3496"/>
      <c r="K22" s="3496"/>
      <c r="L22" s="3496"/>
      <c r="M22" s="3496"/>
      <c r="N22" s="3496"/>
      <c r="O22" s="3496"/>
      <c r="P22" s="3496"/>
      <c r="Q22" s="34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6" t="e">
        <f ca="1">SUMIF(B6:B13,"&lt;&gt;#ref!",B6:B13)</f>
        <v>#DIV/0!</v>
      </c>
      <c r="C2" s="1984" t="s">
        <v>2074</v>
      </c>
      <c r="D2" s="1984" t="s">
        <v>2075</v>
      </c>
      <c r="E2" s="2396">
        <f ca="1">SUMIF(E6:E13,"&lt;&gt;#ref!",E6:E13)</f>
        <v>0</v>
      </c>
      <c r="F2" s="2541"/>
      <c r="G2" s="2541"/>
      <c r="H2" s="2541"/>
      <c r="I2" s="2541"/>
      <c r="J2" s="2541"/>
      <c r="K2" s="2541"/>
      <c r="L2" s="2541"/>
      <c r="M2" s="2541"/>
      <c r="N2" s="2541"/>
      <c r="O2" s="2541"/>
      <c r="P2" s="2541"/>
    </row>
    <row r="3" spans="1:16" ht="15.6">
      <c r="A3" s="1984" t="s">
        <v>2076</v>
      </c>
      <c r="B3" s="2386"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2" t="s">
        <v>2077</v>
      </c>
      <c r="B5" s="2394" t="s">
        <v>2078</v>
      </c>
      <c r="C5" s="1985"/>
      <c r="D5" s="2541"/>
      <c r="E5" s="2395" t="s">
        <v>2079</v>
      </c>
      <c r="F5" s="2541"/>
      <c r="G5" s="2541"/>
      <c r="H5" s="2541"/>
      <c r="I5" s="2541"/>
      <c r="J5" s="2541"/>
      <c r="K5" s="2541"/>
      <c r="L5" s="2541"/>
      <c r="M5" s="2541"/>
      <c r="N5" s="2541"/>
      <c r="O5" s="2541"/>
      <c r="P5" s="2541"/>
    </row>
    <row r="6" spans="1:16" ht="15.6">
      <c r="A6" s="2393" t="s">
        <v>2080</v>
      </c>
      <c r="B6" s="2386" t="e">
        <f ca="1">SUMIF(INDIRECT("'"&amp;A6&amp;"'"&amp;"!A:A"),"总价",INDIRECT("'"&amp;A6&amp;"'"&amp;"!B:B"))</f>
        <v>#DIV/0!</v>
      </c>
      <c r="C6" s="1984" t="s">
        <v>2074</v>
      </c>
      <c r="D6" s="2541"/>
      <c r="E6" s="2396" t="e">
        <f ca="1">SUMIF(INDIRECT("'"&amp;A6&amp;"'"&amp;"!C:C"),"建筑面积",INDIRECT("'"&amp;A6&amp;"'"&amp;"!D:D"))</f>
        <v>#REF!</v>
      </c>
      <c r="F6" s="2541"/>
      <c r="G6" s="2541"/>
      <c r="H6" s="2541"/>
      <c r="I6" s="2541"/>
      <c r="J6" s="2541"/>
      <c r="K6" s="2541"/>
      <c r="L6" s="2541"/>
      <c r="M6" s="2541"/>
      <c r="N6" s="2541"/>
      <c r="O6" s="2541"/>
      <c r="P6" s="2541"/>
    </row>
    <row r="7" spans="1:16" ht="15.6">
      <c r="A7" s="2393"/>
      <c r="B7" s="2386" t="e">
        <f ca="1">SUMIF(INDIRECT("'"&amp;A7&amp;"'"&amp;"!A:A"),"总价",INDIRECT("'"&amp;A7&amp;"'"&amp;"!B:B"))</f>
        <v>#REF!</v>
      </c>
      <c r="C7" s="1984"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6">
      <c r="A8" s="2393"/>
      <c r="B8" s="2386" t="e">
        <f t="shared" ref="B8:B13" ca="1" si="1">SUMIF(INDIRECT("'"&amp;A8&amp;"'"&amp;"!A:A"),"总价",INDIRECT("'"&amp;A8&amp;"'"&amp;"!B:B"))</f>
        <v>#REF!</v>
      </c>
      <c r="C8" s="1984" t="s">
        <v>2074</v>
      </c>
      <c r="D8" s="2541"/>
      <c r="E8" s="2396" t="e">
        <f t="shared" ca="1" si="0"/>
        <v>#REF!</v>
      </c>
      <c r="F8" s="2541"/>
      <c r="G8" s="2541"/>
      <c r="H8" s="2541"/>
      <c r="I8" s="2541"/>
      <c r="J8" s="2541"/>
      <c r="K8" s="2541"/>
      <c r="L8" s="2541"/>
      <c r="M8" s="2541"/>
      <c r="N8" s="2541"/>
      <c r="O8" s="2541"/>
      <c r="P8" s="2541"/>
    </row>
    <row r="9" spans="1:16" ht="15.6">
      <c r="A9" s="2393"/>
      <c r="B9" s="2386" t="e">
        <f t="shared" ca="1" si="1"/>
        <v>#REF!</v>
      </c>
      <c r="C9" s="1984" t="s">
        <v>2074</v>
      </c>
      <c r="D9" s="2541"/>
      <c r="E9" s="2396" t="e">
        <f t="shared" ca="1" si="0"/>
        <v>#REF!</v>
      </c>
      <c r="F9" s="2541"/>
      <c r="G9" s="2541"/>
      <c r="H9" s="2541"/>
      <c r="I9" s="2541"/>
      <c r="J9" s="2541"/>
      <c r="K9" s="2541"/>
      <c r="L9" s="2541"/>
      <c r="M9" s="2541"/>
      <c r="N9" s="2541"/>
      <c r="O9" s="2541"/>
      <c r="P9" s="2541"/>
    </row>
    <row r="10" spans="1:16" ht="15.6">
      <c r="A10" s="2393"/>
      <c r="B10" s="2386" t="e">
        <f t="shared" ca="1" si="1"/>
        <v>#REF!</v>
      </c>
      <c r="C10" s="1984" t="s">
        <v>2074</v>
      </c>
      <c r="D10" s="2541"/>
      <c r="E10" s="2396" t="e">
        <f t="shared" ca="1" si="0"/>
        <v>#REF!</v>
      </c>
      <c r="F10" s="2541"/>
      <c r="G10" s="2541"/>
      <c r="H10" s="2541"/>
      <c r="I10" s="2541"/>
      <c r="J10" s="2541"/>
      <c r="K10" s="2541"/>
      <c r="L10" s="2541"/>
      <c r="M10" s="2541"/>
      <c r="N10" s="2541"/>
      <c r="O10" s="2541"/>
      <c r="P10" s="2541"/>
    </row>
    <row r="11" spans="1:16" ht="15.6">
      <c r="A11" s="2393"/>
      <c r="B11" s="2386" t="e">
        <f t="shared" ca="1" si="1"/>
        <v>#REF!</v>
      </c>
      <c r="C11" s="1984" t="s">
        <v>2074</v>
      </c>
      <c r="D11" s="2541"/>
      <c r="E11" s="2396" t="e">
        <f t="shared" ca="1" si="0"/>
        <v>#REF!</v>
      </c>
      <c r="F11" s="2541"/>
      <c r="G11" s="2541"/>
      <c r="H11" s="2541"/>
      <c r="I11" s="2541"/>
      <c r="J11" s="2541"/>
      <c r="K11" s="2541"/>
      <c r="L11" s="2541"/>
      <c r="M11" s="2541"/>
      <c r="N11" s="2541"/>
      <c r="O11" s="2541"/>
      <c r="P11" s="2541"/>
    </row>
    <row r="12" spans="1:16" ht="15.6">
      <c r="A12" s="2393"/>
      <c r="B12" s="2386" t="e">
        <f t="shared" ca="1" si="1"/>
        <v>#REF!</v>
      </c>
      <c r="C12" s="1984" t="s">
        <v>2074</v>
      </c>
      <c r="D12" s="2541"/>
      <c r="E12" s="2396" t="e">
        <f t="shared" ca="1" si="0"/>
        <v>#REF!</v>
      </c>
      <c r="F12" s="2541"/>
      <c r="G12" s="2541"/>
      <c r="H12" s="2541"/>
      <c r="I12" s="2541"/>
      <c r="J12" s="2541"/>
      <c r="K12" s="2541"/>
      <c r="L12" s="2541"/>
      <c r="M12" s="2541"/>
      <c r="N12" s="2541"/>
      <c r="O12" s="2541"/>
      <c r="P12" s="2541"/>
    </row>
    <row r="13" spans="1:16" ht="15.6">
      <c r="A13" s="2393"/>
      <c r="B13" s="2386" t="e">
        <f t="shared" ca="1" si="1"/>
        <v>#REF!</v>
      </c>
      <c r="C13" s="1984"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t="e">
        <f>SUM(D33:D34,D37:D42)</f>
        <v>#REF!</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7"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t="s">
        <v>2454</v>
      </c>
      <c r="F3" s="1848" t="s">
        <v>3424</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508"/>
      <c r="B4" s="3509"/>
      <c r="C4" s="3509"/>
      <c r="D4" s="3510"/>
      <c r="E4" s="3510"/>
      <c r="F4" s="3510"/>
      <c r="G4" s="3510"/>
      <c r="H4" s="3510"/>
      <c r="I4" s="3510"/>
      <c r="J4" s="35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6" thickBot="1">
      <c r="A7" s="3009"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t="e">
        <f>G3</f>
        <v>#DIV/0!</v>
      </c>
      <c r="AA7" s="1133"/>
      <c r="AB7" s="1133"/>
      <c r="AC7" s="1134"/>
      <c r="AD7" s="1135"/>
      <c r="AE7" s="1135"/>
      <c r="AF7" s="1135"/>
      <c r="AG7" s="1135"/>
      <c r="AH7" s="1135"/>
      <c r="AI7" s="1135"/>
      <c r="AJ7" s="1136"/>
    </row>
    <row r="8" spans="1:36" ht="26.4">
      <c r="A8" s="3006"/>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505" t="s">
        <v>1960</v>
      </c>
      <c r="X8" s="35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507"/>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50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3244</v>
      </c>
      <c r="E18" s="2355"/>
      <c r="F18" s="3027" t="s">
        <v>3247</v>
      </c>
      <c r="G18" s="3031">
        <f>ROUND(1-(1/(POWER(1+G24,E18))),4)</f>
        <v>0</v>
      </c>
      <c r="H18" s="3027" t="s">
        <v>3249</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512" t="s">
        <v>3250</v>
      </c>
      <c r="B20" s="159" t="s">
        <v>1994</v>
      </c>
      <c r="C20" s="3028" t="e">
        <f>ROUND(IF(F21="与级别开发程度一致",0,(G21-E21)/C21),0)</f>
        <v>#DIV/0!</v>
      </c>
      <c r="D20" s="3043" t="s">
        <v>1998</v>
      </c>
      <c r="E20" s="3044"/>
      <c r="F20" s="3518" t="s">
        <v>1995</v>
      </c>
      <c r="G20" s="3519"/>
      <c r="H20" s="3029" t="s">
        <v>3427</v>
      </c>
      <c r="I20" s="3029" t="s">
        <v>3428</v>
      </c>
      <c r="J20" s="3030"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51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0.8</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5" t="s">
        <v>3252</v>
      </c>
      <c r="I23" s="3046" t="str">
        <f>IF(H23="季度增幅（自定义）",SUMIF(N25:N28,E2,O25:O28),"")</f>
        <v/>
      </c>
      <c r="J23" s="3138" t="s">
        <v>3251</v>
      </c>
      <c r="K23" s="1061"/>
      <c r="L23" s="1897" t="s">
        <v>2004</v>
      </c>
      <c r="M23" s="1241">
        <f>ROUND(SUMIF(地价!B2:G2,E2,地价!B16:G16),0)</f>
        <v>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3331</v>
      </c>
      <c r="C25" s="461" t="e">
        <f>IF(B25="容积率修正",IF(G3&lt;10,D26,J26),C27)</f>
        <v>#DIV/0!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3254</v>
      </c>
      <c r="J26" s="374" t="e">
        <f>IF(G3&gt;=10,D115,"——")</f>
        <v>#DIV/0!</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4">
        <f>ROUND($E$24*(1+M31),3)</f>
        <v>5.3999999999999999E-2</v>
      </c>
      <c r="N32" s="2354">
        <f>ROUND($E$24*(1+N31),3)</f>
        <v>5.1999999999999998E-2</v>
      </c>
      <c r="O32" s="2354">
        <f>ROUND($E$24*(1+O31),3)</f>
        <v>0.05</v>
      </c>
      <c r="P32" s="2354">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7" t="s">
        <v>3256</v>
      </c>
      <c r="G33" s="1941"/>
      <c r="H33" s="1941"/>
      <c r="I33" s="1941"/>
      <c r="J33" s="1942"/>
      <c r="K33" s="1056"/>
      <c r="L33" s="3050" t="s">
        <v>3259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39">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7"/>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3164" t="e">
        <f>信息!#REF!</f>
        <v>#REF!</v>
      </c>
      <c r="E40" s="163" t="e">
        <f t="shared" si="4"/>
        <v>#DIV/0!</v>
      </c>
      <c r="F40" s="167">
        <f>SUMIF(修正!A57:A68,G2,修正!E57:E68)</f>
        <v>0</v>
      </c>
      <c r="G40" s="163" t="e">
        <f>ROUND(IF(E2="工业",C40*$M$42,C40*$M$41),0)</f>
        <v>#DIV/0!</v>
      </c>
      <c r="H40" s="163" t="e">
        <f t="shared" si="5"/>
        <v>#REF!</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3165" t="e">
        <f>信息!#REF!</f>
        <v>#REF!</v>
      </c>
      <c r="E42" s="179" t="e">
        <f t="shared" si="4"/>
        <v>#DIV/0!</v>
      </c>
      <c r="F42" s="723">
        <f>SUMIF(修正!A57:A68,G2,修正!G57:G68)</f>
        <v>0</v>
      </c>
      <c r="G42" s="179" t="e">
        <f>ROUND(IF(E2="工业",C42*$M$42,C42*$M$41),0)</f>
        <v>#DIV/0!</v>
      </c>
      <c r="H42" s="179" t="e">
        <f t="shared" si="5"/>
        <v>#REF!</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0.05</v>
      </c>
      <c r="F44" s="163" t="s">
        <v>2008</v>
      </c>
      <c r="G44" s="175" t="e">
        <f>I24</f>
        <v>#DIV/0!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5.6">
      <c r="A51" s="1970" t="s">
        <v>2053</v>
      </c>
      <c r="B51" s="1262" t="str">
        <f>估价对象房地状况!C18</f>
        <v>周边1公里范围内有特8内路、348路、805快路、806路、814路、846路等多条公交线路及地铁1、10号线国贸站，公交便捷度好。综上分析，估价对象所在区位整体交通便捷度较好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3265</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2">
      <c r="A56" s="1976" t="s">
        <v>2059</v>
      </c>
      <c r="B5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周边约1公里范围内有庆丰公园，CBD历史文化公园，中国海关博物馆等，南侧有通惠河经过，环境状况较好</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105.6">
      <c r="A61" s="1970" t="s">
        <v>2064</v>
      </c>
      <c r="B61" s="1973" t="str">
        <f>估价对象房地状况!C17</f>
        <v>估价对象地处北京商务中心区，北京商务中心区（CBD）是首都六大高端产业功能区之一区域内高品质写字楼项目聚集，如国贸中心、银泰中心、环球金融中心等，区域办公集聚程度好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5.6">
      <c r="A62" s="1970" t="s">
        <v>2053</v>
      </c>
      <c r="B62" s="1262" t="str">
        <f>估价对象房地状况!C18</f>
        <v>周边1公里范围内有特8内路、348路、805快路、806路、814路、846路等多条公交线路及地铁1、10号线国贸站，公交便捷度好。综上分析，估价对象所在区位整体交通便捷度较好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3265</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2">
      <c r="A67" s="1970" t="s">
        <v>2059</v>
      </c>
      <c r="B67"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周边约1公里范围内有庆丰公园，CBD历史文化公园，中国海关博物馆等，南侧有通惠河经过，环境状况较好</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5.6">
      <c r="A73" s="1970" t="s">
        <v>2053</v>
      </c>
      <c r="B73" s="1262" t="str">
        <f>估价对象房地状况!C18</f>
        <v>周边1公里范围内有特8内路、348路、805快路、806路、814路、846路等多条公交线路及地铁1、10号线国贸站，公交便捷度好。综上分析，估价对象所在区位整体交通便捷度较好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3265</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2">
      <c r="A76" s="1970" t="s">
        <v>2059</v>
      </c>
      <c r="B7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周边约1公里范围内有庆丰公园，CBD历史文化公园，中国海关博物馆等，南侧有通惠河经过，环境状况较好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3266</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2608</v>
      </c>
      <c r="B91" s="3076">
        <f>1+E93</f>
        <v>1</v>
      </c>
      <c r="C91" s="3069"/>
      <c r="D91" s="3070"/>
      <c r="E91" s="1675"/>
      <c r="F91" s="1675"/>
      <c r="G91" s="3071"/>
      <c r="H91" s="3072"/>
      <c r="I91" s="3073"/>
      <c r="J91" s="3074"/>
      <c r="K91" s="3074"/>
      <c r="L91" s="3074"/>
      <c r="M91" s="3074"/>
      <c r="N91" s="3074"/>
    </row>
    <row r="92" spans="1:37" ht="25.2">
      <c r="A92" s="3077" t="s">
        <v>3267</v>
      </c>
      <c r="B92" s="2308"/>
      <c r="C92" s="2308" t="s">
        <v>3276</v>
      </c>
      <c r="D92" s="2308" t="s">
        <v>3277</v>
      </c>
      <c r="E92" s="3049" t="s">
        <v>3278</v>
      </c>
      <c r="F92" s="3079" t="s">
        <v>3279</v>
      </c>
      <c r="G92" s="2308" t="s">
        <v>3280</v>
      </c>
      <c r="H92" s="3086" t="s">
        <v>3283</v>
      </c>
      <c r="I92" s="2308" t="s">
        <v>3284</v>
      </c>
      <c r="J92" s="2150" t="s">
        <v>3285</v>
      </c>
      <c r="K92" s="2150" t="s">
        <v>3286</v>
      </c>
      <c r="L92" s="2150" t="s">
        <v>3287</v>
      </c>
      <c r="M92" s="2150" t="s">
        <v>3288</v>
      </c>
      <c r="N92" s="2150" t="s">
        <v>3289</v>
      </c>
    </row>
    <row r="93" spans="1:37" ht="24">
      <c r="A93" s="3067" t="s">
        <v>3268</v>
      </c>
      <c r="B93" s="1221"/>
      <c r="C93" s="1887"/>
      <c r="D93" s="2308">
        <f>SUMIF($J$92:$N$92,C93,J93:N93)</f>
        <v>0</v>
      </c>
      <c r="E93" s="3080">
        <f>ROUND(SUM(D93:D101),4)</f>
        <v>0</v>
      </c>
      <c r="F93" s="1675">
        <f>IF(E2="公共服务",SUMIF(L1:L12,G2,N1:N12),"——")</f>
        <v>0</v>
      </c>
      <c r="G93" s="3071"/>
      <c r="H93" s="3116">
        <f>IFERROR(ROUNDDOWN($F$93*I93/2,4),"——")</f>
        <v>0</v>
      </c>
      <c r="I93" s="3065">
        <v>0.25</v>
      </c>
      <c r="J93" s="1912">
        <f t="shared" ref="J93:J101" si="27">K93+$G93</f>
        <v>0</v>
      </c>
      <c r="K93" s="1912">
        <f t="shared" ref="K93:K101" si="28">$L93+$G93</f>
        <v>0</v>
      </c>
      <c r="L93" s="1912">
        <v>0</v>
      </c>
      <c r="M93" s="1912">
        <f t="shared" ref="M93:N101" si="29">L93-$G93</f>
        <v>0</v>
      </c>
      <c r="N93" s="1912">
        <f t="shared" si="29"/>
        <v>0</v>
      </c>
    </row>
    <row r="94" spans="1:37" ht="105.6">
      <c r="A94" s="3077" t="s">
        <v>3269</v>
      </c>
      <c r="B94" s="3068" t="str">
        <f>估价对象房地状况!C18</f>
        <v>周边1公里范围内有特8内路、348路、805快路、806路、814路、846路等多条公交线路及地铁1、10号线国贸站，公交便捷度好。综上分析，估价对象所在区位整体交通便捷度较好</v>
      </c>
      <c r="C94" s="1887"/>
      <c r="D94" s="2308">
        <f t="shared" ref="D94:D101" si="30">SUMIF($J$60:$N$60,C94,J94:N94)</f>
        <v>0</v>
      </c>
      <c r="E94" s="3081"/>
      <c r="F94" s="1675"/>
      <c r="G94" s="3071"/>
      <c r="H94" s="3116">
        <f>IFERROR(ROUNDDOWN($F$93*I94/2,4),"——")</f>
        <v>0</v>
      </c>
      <c r="I94" s="3065">
        <v>0.26</v>
      </c>
      <c r="J94" s="1912">
        <f t="shared" si="27"/>
        <v>0</v>
      </c>
      <c r="K94" s="1912">
        <f t="shared" si="28"/>
        <v>0</v>
      </c>
      <c r="L94" s="1912">
        <v>0</v>
      </c>
      <c r="M94" s="1912">
        <f t="shared" si="29"/>
        <v>0</v>
      </c>
      <c r="N94" s="1912">
        <f t="shared" si="29"/>
        <v>0</v>
      </c>
    </row>
    <row r="95" spans="1:37" ht="48">
      <c r="A95" s="3067" t="s">
        <v>3265</v>
      </c>
      <c r="B95" s="3068">
        <f>估价对象房地状况!C19</f>
        <v>0</v>
      </c>
      <c r="C95" s="1887"/>
      <c r="D95" s="2308">
        <f t="shared" si="30"/>
        <v>0</v>
      </c>
      <c r="E95" s="3081"/>
      <c r="F95" s="1675"/>
      <c r="G95" s="3071"/>
      <c r="H95" s="3116">
        <f t="shared" ref="H95:H101" si="31">IFERROR(ROUNDDOWN($F$93*I95/2,4),"——")</f>
        <v>0</v>
      </c>
      <c r="I95" s="3065">
        <v>0.11</v>
      </c>
      <c r="J95" s="1912">
        <f t="shared" si="27"/>
        <v>0</v>
      </c>
      <c r="K95" s="1912">
        <f t="shared" si="28"/>
        <v>0</v>
      </c>
      <c r="L95" s="1912">
        <v>0</v>
      </c>
      <c r="M95" s="1912">
        <f t="shared" si="29"/>
        <v>0</v>
      </c>
      <c r="N95" s="1912">
        <f t="shared" si="29"/>
        <v>0</v>
      </c>
    </row>
    <row r="96" spans="1:37" ht="37.200000000000003">
      <c r="A96" s="3077" t="s">
        <v>3270</v>
      </c>
      <c r="B96" s="3083" t="s">
        <v>3281</v>
      </c>
      <c r="C96" s="1887"/>
      <c r="D96" s="2308">
        <f t="shared" si="30"/>
        <v>0</v>
      </c>
      <c r="E96" s="3081"/>
      <c r="F96" s="1675"/>
      <c r="G96" s="3071"/>
      <c r="H96" s="3116">
        <f t="shared" si="31"/>
        <v>0</v>
      </c>
      <c r="I96" s="3065">
        <v>0.05</v>
      </c>
      <c r="J96" s="1912">
        <f t="shared" si="27"/>
        <v>0</v>
      </c>
      <c r="K96" s="1912">
        <f t="shared" si="28"/>
        <v>0</v>
      </c>
      <c r="L96" s="1912">
        <v>0</v>
      </c>
      <c r="M96" s="1912">
        <f t="shared" si="29"/>
        <v>0</v>
      </c>
      <c r="N96" s="1912">
        <f t="shared" si="29"/>
        <v>0</v>
      </c>
    </row>
    <row r="97" spans="1:14" ht="24">
      <c r="A97" s="3077" t="s">
        <v>3271</v>
      </c>
      <c r="B97" s="3068" t="str">
        <f>估价对象房地状况!C24</f>
        <v>次干道-朝运街</v>
      </c>
      <c r="C97" s="1887"/>
      <c r="D97" s="2308">
        <f t="shared" si="30"/>
        <v>0</v>
      </c>
      <c r="E97" s="3081"/>
      <c r="F97" s="1675"/>
      <c r="G97" s="3071"/>
      <c r="H97" s="3116">
        <f t="shared" si="31"/>
        <v>0</v>
      </c>
      <c r="I97" s="3065">
        <v>0.05</v>
      </c>
      <c r="J97" s="1912">
        <f t="shared" si="27"/>
        <v>0</v>
      </c>
      <c r="K97" s="1912">
        <f t="shared" si="28"/>
        <v>0</v>
      </c>
      <c r="L97" s="1912">
        <v>0</v>
      </c>
      <c r="M97" s="1912">
        <f t="shared" si="29"/>
        <v>0</v>
      </c>
      <c r="N97" s="1912">
        <f t="shared" si="29"/>
        <v>0</v>
      </c>
    </row>
    <row r="98" spans="1:14" ht="36">
      <c r="A98" s="3077" t="s">
        <v>3272</v>
      </c>
      <c r="B98" s="3084" t="s">
        <v>3282</v>
      </c>
      <c r="C98" s="1887"/>
      <c r="D98" s="2308">
        <f t="shared" si="30"/>
        <v>0</v>
      </c>
      <c r="E98" s="3081"/>
      <c r="F98" s="1675"/>
      <c r="G98" s="3071"/>
      <c r="H98" s="3116">
        <f t="shared" si="31"/>
        <v>0</v>
      </c>
      <c r="I98" s="3065">
        <v>0.06</v>
      </c>
      <c r="J98" s="1912">
        <f t="shared" si="27"/>
        <v>0</v>
      </c>
      <c r="K98" s="1912">
        <f t="shared" si="28"/>
        <v>0</v>
      </c>
      <c r="L98" s="1912">
        <v>0</v>
      </c>
      <c r="M98" s="1912">
        <f t="shared" si="29"/>
        <v>0</v>
      </c>
      <c r="N98" s="1912">
        <f t="shared" si="29"/>
        <v>0</v>
      </c>
    </row>
    <row r="99" spans="1:14" ht="132">
      <c r="A99" s="3077" t="s">
        <v>3273</v>
      </c>
      <c r="B99" s="3068"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7"/>
      <c r="D99" s="2308">
        <f t="shared" si="30"/>
        <v>0</v>
      </c>
      <c r="E99" s="3081"/>
      <c r="F99" s="1675"/>
      <c r="G99" s="3071"/>
      <c r="H99" s="3116">
        <f t="shared" si="31"/>
        <v>0</v>
      </c>
      <c r="I99" s="3065">
        <v>0.06</v>
      </c>
      <c r="J99" s="1912">
        <f t="shared" si="27"/>
        <v>0</v>
      </c>
      <c r="K99" s="1912">
        <f t="shared" si="28"/>
        <v>0</v>
      </c>
      <c r="L99" s="1912">
        <v>0</v>
      </c>
      <c r="M99" s="1912">
        <f t="shared" si="29"/>
        <v>0</v>
      </c>
      <c r="N99" s="1912">
        <f t="shared" si="29"/>
        <v>0</v>
      </c>
    </row>
    <row r="100" spans="1:14" ht="26.4">
      <c r="A100" s="3077" t="s">
        <v>3274</v>
      </c>
      <c r="B100" s="3068" t="str">
        <f>估价对象房地状况!C22</f>
        <v>估价对象所在区域基础设施水平</v>
      </c>
      <c r="C100" s="1887"/>
      <c r="D100" s="2308">
        <f t="shared" si="30"/>
        <v>0</v>
      </c>
      <c r="E100" s="3081"/>
      <c r="F100" s="1675"/>
      <c r="G100" s="3071"/>
      <c r="H100" s="3116">
        <f t="shared" si="31"/>
        <v>0</v>
      </c>
      <c r="I100" s="3065">
        <v>0.09</v>
      </c>
      <c r="J100" s="1912">
        <f t="shared" si="27"/>
        <v>0</v>
      </c>
      <c r="K100" s="1912">
        <f t="shared" si="28"/>
        <v>0</v>
      </c>
      <c r="L100" s="1912">
        <v>0</v>
      </c>
      <c r="M100" s="1912">
        <f t="shared" si="29"/>
        <v>0</v>
      </c>
      <c r="N100" s="1912">
        <f t="shared" si="29"/>
        <v>0</v>
      </c>
    </row>
    <row r="101" spans="1:14" ht="66.599999999999994" thickBot="1">
      <c r="A101" s="3078" t="s">
        <v>3275</v>
      </c>
      <c r="B101" s="3085" t="str">
        <f>估价对象房地状况!C20</f>
        <v>周边约1公里范围内有庆丰公园，CBD历史文化公园，中国海关博物馆等，南侧有通惠河经过，环境状况较好</v>
      </c>
      <c r="C101" s="1887"/>
      <c r="D101" s="2308">
        <f t="shared" si="30"/>
        <v>0</v>
      </c>
      <c r="E101" s="3082"/>
      <c r="F101" s="1675"/>
      <c r="G101" s="3071"/>
      <c r="H101" s="3116">
        <f t="shared" si="31"/>
        <v>0</v>
      </c>
      <c r="I101" s="3066">
        <v>7.0000000000000007E-2</v>
      </c>
      <c r="J101" s="1912">
        <f t="shared" si="27"/>
        <v>0</v>
      </c>
      <c r="K101" s="1912">
        <f t="shared" si="28"/>
        <v>0</v>
      </c>
      <c r="L101" s="1912">
        <v>0</v>
      </c>
      <c r="M101" s="1912">
        <f t="shared" si="29"/>
        <v>0</v>
      </c>
      <c r="N101" s="1912">
        <f t="shared" si="29"/>
        <v>0</v>
      </c>
    </row>
    <row r="103" spans="1:14">
      <c r="A103" s="3514" t="s">
        <v>3290</v>
      </c>
      <c r="B103" s="3514"/>
      <c r="C103" s="3514"/>
      <c r="D103" s="3514"/>
      <c r="E103" s="3514"/>
      <c r="F103" s="3514"/>
      <c r="G103" s="3514"/>
      <c r="H103" s="3514"/>
      <c r="I103" s="3514"/>
      <c r="J103" s="3514"/>
      <c r="K103" s="1667"/>
      <c r="L103" s="1667"/>
      <c r="M103" s="1667"/>
      <c r="N103" s="1667"/>
    </row>
    <row r="104" spans="1:14">
      <c r="A104" s="3515" t="s">
        <v>3291</v>
      </c>
      <c r="B104" s="3515" t="s">
        <v>3292</v>
      </c>
      <c r="C104" s="3087" t="s">
        <v>3293</v>
      </c>
      <c r="D104" s="3088"/>
      <c r="E104" s="3088"/>
      <c r="F104" s="3088"/>
      <c r="G104" s="3088"/>
      <c r="H104" s="3088"/>
      <c r="I104" s="3088"/>
      <c r="J104" s="3089"/>
      <c r="K104" s="3090"/>
      <c r="L104" s="3090"/>
      <c r="M104" s="3090"/>
      <c r="N104" s="3090"/>
    </row>
    <row r="105" spans="1:14">
      <c r="A105" s="3515"/>
      <c r="B105" s="3515"/>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501"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50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50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50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50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502"/>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50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504" t="s">
        <v>3307</v>
      </c>
      <c r="B113" s="3504"/>
      <c r="C113" s="3504"/>
      <c r="D113" s="3504"/>
      <c r="E113" s="3504"/>
      <c r="F113" s="3504"/>
      <c r="G113" s="3504"/>
      <c r="H113" s="3504"/>
      <c r="I113" s="3504"/>
      <c r="J113" s="3504"/>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3308</v>
      </c>
      <c r="B116" s="3111" t="e">
        <f>G3</f>
        <v>#DIV/0!</v>
      </c>
      <c r="C116" s="3096" t="s">
        <v>3309</v>
      </c>
      <c r="D116" s="3097" t="e">
        <f>SUMPRODUCT((A118:A122=F116)*(B117:M117=H116)*B118:M122)</f>
        <v>#DIV/0!</v>
      </c>
      <c r="E116" s="162" t="s">
        <v>3310</v>
      </c>
      <c r="F116" s="3098" t="str">
        <f>E2</f>
        <v>公共服务</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t="e">
        <f>ROUND(0.9968-0.011*B116,4)</f>
        <v>#DIV/0!</v>
      </c>
      <c r="C118" s="3086" t="e">
        <f>B118</f>
        <v>#DIV/0!</v>
      </c>
      <c r="D118" s="3086" t="e">
        <f>ROUND(0.949-0.014*B116,4)</f>
        <v>#DIV/0!</v>
      </c>
      <c r="E118" s="3086" t="e">
        <f>D118</f>
        <v>#DIV/0!</v>
      </c>
      <c r="F118" s="3086" t="e">
        <f>E118</f>
        <v>#DIV/0!</v>
      </c>
      <c r="G118" s="3086" t="e">
        <f>F118</f>
        <v>#DIV/0!</v>
      </c>
      <c r="H118" s="3086" t="e">
        <f>G118</f>
        <v>#DIV/0!</v>
      </c>
      <c r="I118" s="3086" t="e">
        <f>ROUND(0.8486-0.018*B116,4)</f>
        <v>#DIV/0!</v>
      </c>
      <c r="J118" s="3086" t="e">
        <f t="shared" ref="J118:M122" si="35">I118</f>
        <v>#DIV/0!</v>
      </c>
      <c r="K118" s="3086" t="e">
        <f t="shared" si="35"/>
        <v>#DIV/0!</v>
      </c>
      <c r="L118" s="3086" t="e">
        <f t="shared" si="35"/>
        <v>#DIV/0!</v>
      </c>
      <c r="M118" s="3106" t="e">
        <f t="shared" si="35"/>
        <v>#DIV/0!</v>
      </c>
      <c r="N118" s="3094"/>
    </row>
    <row r="119" spans="1:14">
      <c r="A119" s="3054" t="s">
        <v>3325</v>
      </c>
      <c r="B119" s="3086" t="e">
        <f>ROUND(0.993-0.0112*B116,4)</f>
        <v>#DIV/0!</v>
      </c>
      <c r="C119" s="3086" t="e">
        <f>B119</f>
        <v>#DIV/0!</v>
      </c>
      <c r="D119" s="3086" t="e">
        <f>ROUND(0.9415-0.0142*B116,4)</f>
        <v>#DIV/0!</v>
      </c>
      <c r="E119" s="3086" t="e">
        <f t="shared" ref="E119:H120" si="36">D119</f>
        <v>#DIV/0!</v>
      </c>
      <c r="F119" s="3086" t="e">
        <f t="shared" si="36"/>
        <v>#DIV/0!</v>
      </c>
      <c r="G119" s="3086" t="e">
        <f t="shared" si="36"/>
        <v>#DIV/0!</v>
      </c>
      <c r="H119" s="3086" t="e">
        <f t="shared" si="36"/>
        <v>#DIV/0!</v>
      </c>
      <c r="I119" s="3086" t="e">
        <f>ROUND(0.838-0.0182*B116,4)</f>
        <v>#DIV/0!</v>
      </c>
      <c r="J119" s="3086" t="e">
        <f t="shared" si="35"/>
        <v>#DIV/0!</v>
      </c>
      <c r="K119" s="3086" t="e">
        <f t="shared" si="35"/>
        <v>#DIV/0!</v>
      </c>
      <c r="L119" s="3086" t="e">
        <f t="shared" si="35"/>
        <v>#DIV/0!</v>
      </c>
      <c r="M119" s="3106" t="e">
        <f t="shared" si="35"/>
        <v>#DIV/0!</v>
      </c>
      <c r="N119" s="3094"/>
    </row>
    <row r="120" spans="1:14">
      <c r="A120" s="3054" t="s">
        <v>3326</v>
      </c>
      <c r="B120" s="3086" t="e">
        <f>ROUND(0.9448-0.0115*B116,4)</f>
        <v>#DIV/0!</v>
      </c>
      <c r="C120" s="3086" t="e">
        <f>B120</f>
        <v>#DIV/0!</v>
      </c>
      <c r="D120" s="3086" t="e">
        <f>ROUND(0.937-0.0145*B116,4)</f>
        <v>#DIV/0!</v>
      </c>
      <c r="E120" s="3086" t="e">
        <f t="shared" si="36"/>
        <v>#DIV/0!</v>
      </c>
      <c r="F120" s="3086" t="e">
        <f t="shared" si="36"/>
        <v>#DIV/0!</v>
      </c>
      <c r="G120" s="3086" t="e">
        <f t="shared" si="36"/>
        <v>#DIV/0!</v>
      </c>
      <c r="H120" s="3086" t="e">
        <f t="shared" si="36"/>
        <v>#DIV/0!</v>
      </c>
      <c r="I120" s="3086" t="e">
        <f>ROUND(0.7965-0.0185*B116,4)</f>
        <v>#DIV/0!</v>
      </c>
      <c r="J120" s="3086" t="e">
        <f t="shared" si="35"/>
        <v>#DIV/0!</v>
      </c>
      <c r="K120" s="3086" t="e">
        <f t="shared" si="35"/>
        <v>#DIV/0!</v>
      </c>
      <c r="L120" s="3086" t="e">
        <f t="shared" si="35"/>
        <v>#DIV/0!</v>
      </c>
      <c r="M120" s="3106" t="e">
        <f t="shared" si="35"/>
        <v>#DIV/0!</v>
      </c>
      <c r="N120" s="3094"/>
    </row>
    <row r="121" spans="1:14" ht="13.8" thickBot="1">
      <c r="A121" s="3107" t="s">
        <v>3327</v>
      </c>
      <c r="B121" s="3108" t="e">
        <f>ROUND(0.7836-0.012*B116,4)</f>
        <v>#DIV/0!</v>
      </c>
      <c r="C121" s="3108" t="e">
        <f>B121</f>
        <v>#DIV/0!</v>
      </c>
      <c r="D121" s="3108" t="e">
        <f>ROUND(0.753-0.015*B116,4)</f>
        <v>#DIV/0!</v>
      </c>
      <c r="E121" s="3108" t="e">
        <f>D121</f>
        <v>#DIV/0!</v>
      </c>
      <c r="F121" s="3108" t="e">
        <f>E121</f>
        <v>#DIV/0!</v>
      </c>
      <c r="G121" s="3108" t="e">
        <f>ROUND(0.6612-0.018*B116,4)</f>
        <v>#DIV/0!</v>
      </c>
      <c r="H121" s="3108" t="e">
        <f>G121</f>
        <v>#DIV/0!</v>
      </c>
      <c r="I121" s="3108" t="e">
        <f>ROUND(0.5905-0.019*B116,4)</f>
        <v>#DIV/0!</v>
      </c>
      <c r="J121" s="3108" t="e">
        <f t="shared" si="35"/>
        <v>#DIV/0!</v>
      </c>
      <c r="K121" s="3108" t="e">
        <f t="shared" si="35"/>
        <v>#DIV/0!</v>
      </c>
      <c r="L121" s="3108" t="e">
        <f t="shared" si="35"/>
        <v>#DIV/0!</v>
      </c>
      <c r="M121" s="3109" t="e">
        <f t="shared" si="35"/>
        <v>#DIV/0!</v>
      </c>
      <c r="N121" s="3094"/>
    </row>
    <row r="122" spans="1:14">
      <c r="A122" s="3110" t="s">
        <v>2608</v>
      </c>
      <c r="B122" s="3086" t="e">
        <f>ROUND(0.9404-0.0106*B116,4)</f>
        <v>#DIV/0!</v>
      </c>
      <c r="C122" s="3086" t="e">
        <f>B122</f>
        <v>#DIV/0!</v>
      </c>
      <c r="D122" s="3086" t="e">
        <f>ROUND(0.8955-0.0135*B116,4)</f>
        <v>#DIV/0!</v>
      </c>
      <c r="E122" s="3086" t="e">
        <f t="shared" ref="E122:H122" si="37">D122</f>
        <v>#DIV/0!</v>
      </c>
      <c r="F122" s="3086" t="e">
        <f t="shared" si="37"/>
        <v>#DIV/0!</v>
      </c>
      <c r="G122" s="3086" t="e">
        <f t="shared" si="37"/>
        <v>#DIV/0!</v>
      </c>
      <c r="H122" s="3086" t="e">
        <f t="shared" si="37"/>
        <v>#DIV/0!</v>
      </c>
      <c r="I122" s="3086" t="e">
        <f>ROUND(0.7632-0.0166*B116,4)</f>
        <v>#DIV/0!</v>
      </c>
      <c r="J122" s="3086" t="e">
        <f t="shared" si="35"/>
        <v>#DIV/0!</v>
      </c>
      <c r="K122" s="3086" t="e">
        <f t="shared" si="35"/>
        <v>#DIV/0!</v>
      </c>
      <c r="L122" s="3086" t="e">
        <f t="shared" si="35"/>
        <v>#DIV/0!</v>
      </c>
      <c r="M122" s="3106" t="e">
        <f t="shared" si="35"/>
        <v>#DIV/0!</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29" t="s">
        <v>2603</v>
      </c>
      <c r="B20" s="3524" t="s">
        <v>2624</v>
      </c>
      <c r="C20" s="2839" t="s">
        <v>2435</v>
      </c>
      <c r="D20" s="2840"/>
      <c r="E20" s="2841">
        <v>1</v>
      </c>
      <c r="F20" s="2842" t="s">
        <v>2436</v>
      </c>
      <c r="G20" s="2842"/>
    </row>
    <row r="21" spans="1:13" ht="19.5" customHeight="1">
      <c r="A21" s="3530"/>
      <c r="B21" s="3523"/>
      <c r="C21" s="2843" t="s">
        <v>2437</v>
      </c>
      <c r="D21" s="2844"/>
      <c r="E21" s="2845">
        <v>1</v>
      </c>
      <c r="F21" s="2842" t="s">
        <v>2438</v>
      </c>
      <c r="G21" s="2842"/>
    </row>
    <row r="22" spans="1:13" ht="19.5" customHeight="1">
      <c r="A22" s="3530"/>
      <c r="B22" s="3523"/>
      <c r="C22" s="2843" t="s">
        <v>2439</v>
      </c>
      <c r="D22" s="2844"/>
      <c r="E22" s="2845">
        <v>0.9</v>
      </c>
      <c r="F22" s="2842" t="s">
        <v>2440</v>
      </c>
      <c r="G22" s="2842"/>
    </row>
    <row r="23" spans="1:13" ht="19.5" customHeight="1">
      <c r="A23" s="3530"/>
      <c r="B23" s="3523"/>
      <c r="C23" s="2843" t="s">
        <v>2441</v>
      </c>
      <c r="D23" s="2844"/>
      <c r="E23" s="2845">
        <v>0.9</v>
      </c>
      <c r="F23" s="2842" t="s">
        <v>2442</v>
      </c>
      <c r="G23" s="2842"/>
    </row>
    <row r="24" spans="1:13" ht="19.5" customHeight="1">
      <c r="A24" s="3530"/>
      <c r="B24" s="3523"/>
      <c r="C24" s="2843" t="s">
        <v>2443</v>
      </c>
      <c r="D24" s="2844"/>
      <c r="E24" s="2845">
        <v>0.8</v>
      </c>
      <c r="F24" s="2842" t="s">
        <v>2444</v>
      </c>
      <c r="G24" s="2842"/>
    </row>
    <row r="25" spans="1:13" ht="19.5" customHeight="1" thickBot="1">
      <c r="A25" s="3531"/>
      <c r="B25" s="3525"/>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26" t="s">
        <v>2627</v>
      </c>
      <c r="B27" s="3524" t="s">
        <v>2608</v>
      </c>
      <c r="C27" s="2839" t="s">
        <v>2448</v>
      </c>
      <c r="D27" s="2840"/>
      <c r="E27" s="2841">
        <v>1</v>
      </c>
      <c r="F27" s="2842" t="s">
        <v>2449</v>
      </c>
      <c r="G27" s="2842"/>
    </row>
    <row r="28" spans="1:13" ht="19.5" customHeight="1">
      <c r="A28" s="3527"/>
      <c r="B28" s="3523"/>
      <c r="C28" s="2843" t="s">
        <v>2450</v>
      </c>
      <c r="D28" s="2844"/>
      <c r="E28" s="2845">
        <v>1</v>
      </c>
      <c r="F28" s="2842" t="s">
        <v>2451</v>
      </c>
      <c r="G28" s="2842"/>
    </row>
    <row r="29" spans="1:13" ht="19.5" customHeight="1">
      <c r="A29" s="3527"/>
      <c r="B29" s="3523"/>
      <c r="C29" s="2843" t="s">
        <v>2452</v>
      </c>
      <c r="D29" s="2844"/>
      <c r="E29" s="2845">
        <v>0.8</v>
      </c>
      <c r="F29" s="2842" t="s">
        <v>2453</v>
      </c>
      <c r="G29" s="2842"/>
    </row>
    <row r="30" spans="1:13" ht="19.5" customHeight="1">
      <c r="A30" s="3527"/>
      <c r="B30" s="3523"/>
      <c r="C30" s="2843" t="s">
        <v>2454</v>
      </c>
      <c r="D30" s="2844"/>
      <c r="E30" s="2845">
        <v>0.8</v>
      </c>
      <c r="F30" s="2842" t="s">
        <v>2455</v>
      </c>
      <c r="G30" s="2842"/>
    </row>
    <row r="31" spans="1:13" ht="19.5" customHeight="1">
      <c r="A31" s="3527"/>
      <c r="B31" s="3523"/>
      <c r="C31" s="2843" t="s">
        <v>2456</v>
      </c>
      <c r="D31" s="2844"/>
      <c r="E31" s="2845">
        <v>0.8</v>
      </c>
      <c r="F31" s="2842" t="s">
        <v>2457</v>
      </c>
      <c r="G31" s="2842"/>
    </row>
    <row r="32" spans="1:13" ht="19.5" customHeight="1">
      <c r="A32" s="3527"/>
      <c r="B32" s="3523"/>
      <c r="C32" s="2843" t="s">
        <v>2458</v>
      </c>
      <c r="D32" s="2844"/>
      <c r="E32" s="2845">
        <v>0.7</v>
      </c>
      <c r="F32" s="2842" t="s">
        <v>2459</v>
      </c>
      <c r="G32" s="2842"/>
    </row>
    <row r="33" spans="1:7" ht="19.5" customHeight="1">
      <c r="A33" s="3527"/>
      <c r="B33" s="3523"/>
      <c r="C33" s="2843" t="s">
        <v>2460</v>
      </c>
      <c r="D33" s="2844"/>
      <c r="E33" s="2845">
        <v>0.8</v>
      </c>
      <c r="F33" s="2842" t="s">
        <v>2461</v>
      </c>
      <c r="G33" s="2842"/>
    </row>
    <row r="34" spans="1:7" ht="19.5" customHeight="1">
      <c r="A34" s="3527"/>
      <c r="B34" s="3523"/>
      <c r="C34" s="2843" t="s">
        <v>2462</v>
      </c>
      <c r="D34" s="2844"/>
      <c r="E34" s="2845">
        <v>0.6</v>
      </c>
      <c r="F34" s="2842" t="s">
        <v>2463</v>
      </c>
      <c r="G34" s="2842"/>
    </row>
    <row r="35" spans="1:7" ht="19.5" customHeight="1">
      <c r="A35" s="3527"/>
      <c r="B35" s="3523"/>
      <c r="C35" s="2843" t="s">
        <v>2464</v>
      </c>
      <c r="D35" s="2844"/>
      <c r="E35" s="2845">
        <v>0.2</v>
      </c>
      <c r="F35" s="2842" t="s">
        <v>2465</v>
      </c>
      <c r="G35" s="2842"/>
    </row>
    <row r="36" spans="1:7" ht="19.5" customHeight="1">
      <c r="A36" s="3527"/>
      <c r="B36" s="3523"/>
      <c r="C36" s="2843" t="s">
        <v>2466</v>
      </c>
      <c r="D36" s="2844"/>
      <c r="E36" s="2845">
        <v>0.2</v>
      </c>
      <c r="F36" s="2842" t="s">
        <v>2467</v>
      </c>
      <c r="G36" s="2842"/>
    </row>
    <row r="37" spans="1:7" ht="19.5" customHeight="1">
      <c r="A37" s="3527"/>
      <c r="B37" s="3521" t="s">
        <v>2628</v>
      </c>
      <c r="C37" s="2843" t="s">
        <v>2468</v>
      </c>
      <c r="D37" s="2844"/>
      <c r="E37" s="2845">
        <v>0.6</v>
      </c>
      <c r="F37" s="2842" t="s">
        <v>2469</v>
      </c>
      <c r="G37" s="2842"/>
    </row>
    <row r="38" spans="1:7" ht="19.5" customHeight="1">
      <c r="A38" s="3527"/>
      <c r="B38" s="3523"/>
      <c r="C38" s="2843" t="s">
        <v>2470</v>
      </c>
      <c r="D38" s="2844"/>
      <c r="E38" s="2845">
        <v>0.6</v>
      </c>
      <c r="F38" s="2842" t="s">
        <v>2471</v>
      </c>
      <c r="G38" s="2842"/>
    </row>
    <row r="39" spans="1:7" ht="19.5" customHeight="1" thickBot="1">
      <c r="A39" s="3528"/>
      <c r="B39" s="3525"/>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29" t="s">
        <v>2606</v>
      </c>
      <c r="B41" s="3524" t="s">
        <v>2630</v>
      </c>
      <c r="C41" s="2839" t="s">
        <v>2475</v>
      </c>
      <c r="D41" s="2840"/>
      <c r="E41" s="2841">
        <v>1</v>
      </c>
      <c r="F41" s="2842" t="s">
        <v>2476</v>
      </c>
      <c r="G41" s="2842"/>
    </row>
    <row r="42" spans="1:7" ht="19.5" customHeight="1">
      <c r="A42" s="3530"/>
      <c r="B42" s="3523"/>
      <c r="C42" s="2843" t="s">
        <v>2477</v>
      </c>
      <c r="D42" s="2844"/>
      <c r="E42" s="2845">
        <v>1</v>
      </c>
      <c r="F42" s="2842" t="s">
        <v>2478</v>
      </c>
      <c r="G42" s="2842"/>
    </row>
    <row r="43" spans="1:7" ht="19.5" customHeight="1">
      <c r="A43" s="3530"/>
      <c r="B43" s="3522"/>
      <c r="C43" s="2843" t="s">
        <v>2479</v>
      </c>
      <c r="D43" s="2844"/>
      <c r="E43" s="2845">
        <v>1.5</v>
      </c>
      <c r="F43" s="2842" t="s">
        <v>2480</v>
      </c>
      <c r="G43" s="2842"/>
    </row>
    <row r="44" spans="1:7" ht="19.5" customHeight="1">
      <c r="A44" s="3530"/>
      <c r="B44" s="2854" t="s">
        <v>2631</v>
      </c>
      <c r="C44" s="2843" t="s">
        <v>2632</v>
      </c>
      <c r="D44" s="2844"/>
      <c r="E44" s="2845">
        <v>2</v>
      </c>
      <c r="F44" s="2842" t="s">
        <v>2481</v>
      </c>
      <c r="G44" s="2842"/>
    </row>
    <row r="45" spans="1:7" ht="19.5" customHeight="1">
      <c r="A45" s="3530"/>
      <c r="B45" s="3521" t="s">
        <v>2633</v>
      </c>
      <c r="C45" s="2843" t="s">
        <v>2482</v>
      </c>
      <c r="D45" s="2844"/>
      <c r="E45" s="2845">
        <v>1</v>
      </c>
      <c r="F45" s="2842" t="s">
        <v>2483</v>
      </c>
      <c r="G45" s="2842"/>
    </row>
    <row r="46" spans="1:7" ht="19.5" customHeight="1">
      <c r="A46" s="3530"/>
      <c r="B46" s="3523"/>
      <c r="C46" s="2843" t="s">
        <v>2484</v>
      </c>
      <c r="D46" s="2844"/>
      <c r="E46" s="2845">
        <v>1</v>
      </c>
      <c r="F46" s="2842" t="s">
        <v>2485</v>
      </c>
      <c r="G46" s="2842"/>
    </row>
    <row r="47" spans="1:7" ht="19.5" customHeight="1">
      <c r="A47" s="3530"/>
      <c r="B47" s="3523"/>
      <c r="C47" s="2843" t="s">
        <v>2486</v>
      </c>
      <c r="D47" s="2844"/>
      <c r="E47" s="2845">
        <v>1</v>
      </c>
      <c r="F47" s="2842" t="s">
        <v>2487</v>
      </c>
      <c r="G47" s="2842"/>
    </row>
    <row r="48" spans="1:7" ht="19.5" customHeight="1">
      <c r="A48" s="3530"/>
      <c r="B48" s="3523"/>
      <c r="C48" s="2843" t="s">
        <v>2488</v>
      </c>
      <c r="D48" s="2844"/>
      <c r="E48" s="2845">
        <v>1</v>
      </c>
      <c r="F48" s="2842" t="s">
        <v>2489</v>
      </c>
      <c r="G48" s="2842"/>
    </row>
    <row r="49" spans="1:7" ht="19.5" customHeight="1">
      <c r="A49" s="3530"/>
      <c r="B49" s="3523"/>
      <c r="C49" s="2843" t="s">
        <v>2490</v>
      </c>
      <c r="D49" s="2844"/>
      <c r="E49" s="2845">
        <v>1</v>
      </c>
      <c r="F49" s="2842" t="s">
        <v>2491</v>
      </c>
      <c r="G49" s="2842"/>
    </row>
    <row r="50" spans="1:7" ht="19.5" customHeight="1">
      <c r="A50" s="3530"/>
      <c r="B50" s="3523"/>
      <c r="C50" s="2843" t="s">
        <v>2492</v>
      </c>
      <c r="D50" s="2844"/>
      <c r="E50" s="2845">
        <v>1</v>
      </c>
      <c r="F50" s="2842" t="s">
        <v>2493</v>
      </c>
      <c r="G50" s="2842"/>
    </row>
    <row r="51" spans="1:7" ht="19.5" customHeight="1" thickBot="1">
      <c r="A51" s="3531"/>
      <c r="B51" s="3525"/>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21" t="s">
        <v>2647</v>
      </c>
      <c r="C73" s="2828" t="s">
        <v>2648</v>
      </c>
      <c r="D73" s="2828" t="s">
        <v>2649</v>
      </c>
      <c r="E73" s="2854">
        <v>0.2</v>
      </c>
      <c r="F73" s="2854">
        <v>25</v>
      </c>
    </row>
    <row r="74" spans="1:7" ht="24">
      <c r="A74" s="2854">
        <v>2</v>
      </c>
      <c r="B74" s="3523"/>
      <c r="C74" s="2828" t="s">
        <v>2650</v>
      </c>
      <c r="D74" s="2828" t="s">
        <v>2651</v>
      </c>
      <c r="E74" s="2854">
        <v>0.2</v>
      </c>
      <c r="F74" s="2854">
        <v>25</v>
      </c>
    </row>
    <row r="75" spans="1:7" ht="24">
      <c r="A75" s="2854">
        <v>3</v>
      </c>
      <c r="B75" s="3523"/>
      <c r="C75" s="2828" t="s">
        <v>2652</v>
      </c>
      <c r="D75" s="2828" t="s">
        <v>2653</v>
      </c>
      <c r="E75" s="2854">
        <v>0.2</v>
      </c>
      <c r="F75" s="2854">
        <v>25</v>
      </c>
    </row>
    <row r="76" spans="1:7" ht="14.4">
      <c r="A76" s="2854">
        <v>4</v>
      </c>
      <c r="B76" s="3523"/>
      <c r="C76" s="2828" t="s">
        <v>2654</v>
      </c>
      <c r="D76" s="2828" t="s">
        <v>2655</v>
      </c>
      <c r="E76" s="2854">
        <v>0.15</v>
      </c>
      <c r="F76" s="2854">
        <v>20</v>
      </c>
    </row>
    <row r="77" spans="1:7" ht="24">
      <c r="A77" s="2854">
        <v>5</v>
      </c>
      <c r="B77" s="3523"/>
      <c r="C77" s="2828" t="s">
        <v>2656</v>
      </c>
      <c r="D77" s="2828" t="s">
        <v>2657</v>
      </c>
      <c r="E77" s="2854">
        <v>0.15</v>
      </c>
      <c r="F77" s="2854">
        <v>20</v>
      </c>
    </row>
    <row r="78" spans="1:7" ht="24">
      <c r="A78" s="2854">
        <v>6</v>
      </c>
      <c r="B78" s="3523"/>
      <c r="C78" s="2828" t="s">
        <v>2658</v>
      </c>
      <c r="D78" s="2828" t="s">
        <v>2659</v>
      </c>
      <c r="E78" s="2854">
        <v>0.15</v>
      </c>
      <c r="F78" s="2854">
        <v>20</v>
      </c>
    </row>
    <row r="79" spans="1:7" ht="24">
      <c r="A79" s="2854">
        <v>7</v>
      </c>
      <c r="B79" s="3523"/>
      <c r="C79" s="2828" t="s">
        <v>2660</v>
      </c>
      <c r="D79" s="2828" t="s">
        <v>2661</v>
      </c>
      <c r="E79" s="2854">
        <v>0.15</v>
      </c>
      <c r="F79" s="2854">
        <v>20</v>
      </c>
    </row>
    <row r="80" spans="1:7" ht="24">
      <c r="A80" s="2854">
        <v>8</v>
      </c>
      <c r="B80" s="3523"/>
      <c r="C80" s="2828" t="s">
        <v>2662</v>
      </c>
      <c r="D80" s="2828" t="s">
        <v>2663</v>
      </c>
      <c r="E80" s="2854">
        <v>0.1</v>
      </c>
      <c r="F80" s="2854">
        <v>15</v>
      </c>
    </row>
    <row r="81" spans="1:6" ht="24">
      <c r="A81" s="2854">
        <v>9</v>
      </c>
      <c r="B81" s="3523"/>
      <c r="C81" s="2828" t="s">
        <v>2664</v>
      </c>
      <c r="D81" s="2828" t="s">
        <v>2665</v>
      </c>
      <c r="E81" s="2854">
        <v>0.1</v>
      </c>
      <c r="F81" s="2854">
        <v>15</v>
      </c>
    </row>
    <row r="82" spans="1:6" ht="24">
      <c r="A82" s="2854">
        <v>10</v>
      </c>
      <c r="B82" s="3523"/>
      <c r="C82" s="2828" t="s">
        <v>2666</v>
      </c>
      <c r="D82" s="2828" t="s">
        <v>2667</v>
      </c>
      <c r="E82" s="2854">
        <v>0.1</v>
      </c>
      <c r="F82" s="2854">
        <v>15</v>
      </c>
    </row>
    <row r="83" spans="1:6" ht="24">
      <c r="A83" s="2854">
        <v>11</v>
      </c>
      <c r="B83" s="3523"/>
      <c r="C83" s="2828" t="s">
        <v>2668</v>
      </c>
      <c r="D83" s="2828" t="s">
        <v>2669</v>
      </c>
      <c r="E83" s="2854">
        <v>0.1</v>
      </c>
      <c r="F83" s="2854">
        <v>15</v>
      </c>
    </row>
    <row r="84" spans="1:6" ht="24">
      <c r="A84" s="2854">
        <v>12</v>
      </c>
      <c r="B84" s="3523"/>
      <c r="C84" s="2828" t="s">
        <v>2670</v>
      </c>
      <c r="D84" s="2828" t="s">
        <v>2671</v>
      </c>
      <c r="E84" s="2854">
        <v>0.1</v>
      </c>
      <c r="F84" s="2854">
        <v>15</v>
      </c>
    </row>
    <row r="85" spans="1:6" ht="24">
      <c r="A85" s="2854">
        <v>13</v>
      </c>
      <c r="B85" s="3523"/>
      <c r="C85" s="2828" t="s">
        <v>2672</v>
      </c>
      <c r="D85" s="2828" t="s">
        <v>2673</v>
      </c>
      <c r="E85" s="2854">
        <v>0.1</v>
      </c>
      <c r="F85" s="2854">
        <v>15</v>
      </c>
    </row>
    <row r="86" spans="1:6" ht="24">
      <c r="A86" s="2854">
        <v>14</v>
      </c>
      <c r="B86" s="3523"/>
      <c r="C86" s="2828" t="s">
        <v>2674</v>
      </c>
      <c r="D86" s="2828" t="s">
        <v>2675</v>
      </c>
      <c r="E86" s="2854">
        <v>0.1</v>
      </c>
      <c r="F86" s="2854">
        <v>15</v>
      </c>
    </row>
    <row r="87" spans="1:6" ht="24">
      <c r="A87" s="2854">
        <v>15</v>
      </c>
      <c r="B87" s="3523"/>
      <c r="C87" s="2828" t="s">
        <v>2676</v>
      </c>
      <c r="D87" s="2828" t="s">
        <v>2677</v>
      </c>
      <c r="E87" s="2854">
        <v>0.1</v>
      </c>
      <c r="F87" s="2854">
        <v>15</v>
      </c>
    </row>
    <row r="88" spans="1:6" ht="24">
      <c r="A88" s="2854">
        <v>16</v>
      </c>
      <c r="B88" s="3523"/>
      <c r="C88" s="2828" t="s">
        <v>2678</v>
      </c>
      <c r="D88" s="2828" t="s">
        <v>2679</v>
      </c>
      <c r="E88" s="2854">
        <v>0.1</v>
      </c>
      <c r="F88" s="2854">
        <v>15</v>
      </c>
    </row>
    <row r="89" spans="1:6" ht="24">
      <c r="A89" s="2854">
        <v>17</v>
      </c>
      <c r="B89" s="3522"/>
      <c r="C89" s="2828" t="s">
        <v>2680</v>
      </c>
      <c r="D89" s="2828" t="s">
        <v>2681</v>
      </c>
      <c r="E89" s="2854">
        <v>0.1</v>
      </c>
      <c r="F89" s="2854">
        <v>15</v>
      </c>
    </row>
    <row r="90" spans="1:6" ht="14.4">
      <c r="A90" s="2854">
        <v>18</v>
      </c>
      <c r="B90" s="3521" t="s">
        <v>2682</v>
      </c>
      <c r="C90" s="2828" t="s">
        <v>2683</v>
      </c>
      <c r="D90" s="2828" t="s">
        <v>2684</v>
      </c>
      <c r="E90" s="2854">
        <v>0.2</v>
      </c>
      <c r="F90" s="2854">
        <v>25</v>
      </c>
    </row>
    <row r="91" spans="1:6" ht="24">
      <c r="A91" s="2854">
        <v>19</v>
      </c>
      <c r="B91" s="3523"/>
      <c r="C91" s="2828" t="s">
        <v>2685</v>
      </c>
      <c r="D91" s="2828" t="s">
        <v>2686</v>
      </c>
      <c r="E91" s="2854">
        <v>0.2</v>
      </c>
      <c r="F91" s="2854">
        <v>25</v>
      </c>
    </row>
    <row r="92" spans="1:6" ht="14.4">
      <c r="A92" s="2854">
        <v>20</v>
      </c>
      <c r="B92" s="3523"/>
      <c r="C92" s="2828" t="s">
        <v>2687</v>
      </c>
      <c r="D92" s="2828" t="s">
        <v>2688</v>
      </c>
      <c r="E92" s="2854">
        <v>0.15</v>
      </c>
      <c r="F92" s="2854">
        <v>20</v>
      </c>
    </row>
    <row r="93" spans="1:6" ht="24">
      <c r="A93" s="2854">
        <v>21</v>
      </c>
      <c r="B93" s="3523"/>
      <c r="C93" s="2828" t="s">
        <v>2689</v>
      </c>
      <c r="D93" s="2828" t="s">
        <v>2690</v>
      </c>
      <c r="E93" s="2854">
        <v>0.15</v>
      </c>
      <c r="F93" s="2854">
        <v>20</v>
      </c>
    </row>
    <row r="94" spans="1:6" ht="24">
      <c r="A94" s="2854">
        <v>22</v>
      </c>
      <c r="B94" s="3523"/>
      <c r="C94" s="2828" t="s">
        <v>2691</v>
      </c>
      <c r="D94" s="2828" t="s">
        <v>2692</v>
      </c>
      <c r="E94" s="2854">
        <v>0.15</v>
      </c>
      <c r="F94" s="2854">
        <v>20</v>
      </c>
    </row>
    <row r="95" spans="1:6" ht="36">
      <c r="A95" s="2854">
        <v>23</v>
      </c>
      <c r="B95" s="3523"/>
      <c r="C95" s="2828" t="s">
        <v>2693</v>
      </c>
      <c r="D95" s="2828" t="s">
        <v>2694</v>
      </c>
      <c r="E95" s="2854">
        <v>0.15</v>
      </c>
      <c r="F95" s="2854">
        <v>20</v>
      </c>
    </row>
    <row r="96" spans="1:6" ht="24">
      <c r="A96" s="2854">
        <v>24</v>
      </c>
      <c r="B96" s="3523"/>
      <c r="C96" s="2828" t="s">
        <v>2695</v>
      </c>
      <c r="D96" s="2828" t="s">
        <v>2696</v>
      </c>
      <c r="E96" s="2854">
        <v>0.1</v>
      </c>
      <c r="F96" s="2854">
        <v>15</v>
      </c>
    </row>
    <row r="97" spans="1:6" ht="24">
      <c r="A97" s="2854">
        <v>25</v>
      </c>
      <c r="B97" s="3523"/>
      <c r="C97" s="2828" t="s">
        <v>2697</v>
      </c>
      <c r="D97" s="2828" t="s">
        <v>2698</v>
      </c>
      <c r="E97" s="2854">
        <v>0.1</v>
      </c>
      <c r="F97" s="2854">
        <v>15</v>
      </c>
    </row>
    <row r="98" spans="1:6" ht="24">
      <c r="A98" s="2854">
        <v>26</v>
      </c>
      <c r="B98" s="3523"/>
      <c r="C98" s="2828" t="s">
        <v>2699</v>
      </c>
      <c r="D98" s="2828" t="s">
        <v>2700</v>
      </c>
      <c r="E98" s="2854">
        <v>0.1</v>
      </c>
      <c r="F98" s="2854">
        <v>15</v>
      </c>
    </row>
    <row r="99" spans="1:6" ht="24">
      <c r="A99" s="2854">
        <v>27</v>
      </c>
      <c r="B99" s="3523"/>
      <c r="C99" s="2828" t="s">
        <v>2701</v>
      </c>
      <c r="D99" s="2828" t="s">
        <v>2702</v>
      </c>
      <c r="E99" s="2854">
        <v>0.1</v>
      </c>
      <c r="F99" s="2854">
        <v>15</v>
      </c>
    </row>
    <row r="100" spans="1:6" ht="24">
      <c r="A100" s="2854">
        <v>28</v>
      </c>
      <c r="B100" s="3523"/>
      <c r="C100" s="2828" t="s">
        <v>2703</v>
      </c>
      <c r="D100" s="2828" t="s">
        <v>2704</v>
      </c>
      <c r="E100" s="2854">
        <v>0.1</v>
      </c>
      <c r="F100" s="2854">
        <v>15</v>
      </c>
    </row>
    <row r="101" spans="1:6" ht="24">
      <c r="A101" s="2854">
        <v>29</v>
      </c>
      <c r="B101" s="3523"/>
      <c r="C101" s="2828" t="s">
        <v>2705</v>
      </c>
      <c r="D101" s="2828" t="s">
        <v>2706</v>
      </c>
      <c r="E101" s="2854">
        <v>0.1</v>
      </c>
      <c r="F101" s="2854">
        <v>15</v>
      </c>
    </row>
    <row r="102" spans="1:6" ht="24">
      <c r="A102" s="2854">
        <v>30</v>
      </c>
      <c r="B102" s="3523"/>
      <c r="C102" s="2828" t="s">
        <v>2707</v>
      </c>
      <c r="D102" s="2828" t="s">
        <v>2708</v>
      </c>
      <c r="E102" s="2854">
        <v>0.1</v>
      </c>
      <c r="F102" s="2854">
        <v>15</v>
      </c>
    </row>
    <row r="103" spans="1:6" ht="24">
      <c r="A103" s="2854">
        <v>31</v>
      </c>
      <c r="B103" s="3523"/>
      <c r="C103" s="2828" t="s">
        <v>2709</v>
      </c>
      <c r="D103" s="2828" t="s">
        <v>2710</v>
      </c>
      <c r="E103" s="2854">
        <v>0.1</v>
      </c>
      <c r="F103" s="2854">
        <v>15</v>
      </c>
    </row>
    <row r="104" spans="1:6" ht="24">
      <c r="A104" s="2854">
        <v>32</v>
      </c>
      <c r="B104" s="3523"/>
      <c r="C104" s="2828" t="s">
        <v>2711</v>
      </c>
      <c r="D104" s="2828" t="s">
        <v>2712</v>
      </c>
      <c r="E104" s="2854">
        <v>0.1</v>
      </c>
      <c r="F104" s="2854">
        <v>15</v>
      </c>
    </row>
    <row r="105" spans="1:6" ht="24">
      <c r="A105" s="2854">
        <v>33</v>
      </c>
      <c r="B105" s="3523"/>
      <c r="C105" s="2828" t="s">
        <v>2713</v>
      </c>
      <c r="D105" s="2828" t="s">
        <v>2714</v>
      </c>
      <c r="E105" s="2854">
        <v>0.1</v>
      </c>
      <c r="F105" s="2854">
        <v>15</v>
      </c>
    </row>
    <row r="106" spans="1:6" ht="24">
      <c r="A106" s="2854">
        <v>34</v>
      </c>
      <c r="B106" s="3522"/>
      <c r="C106" s="2828" t="s">
        <v>2715</v>
      </c>
      <c r="D106" s="2828" t="s">
        <v>2716</v>
      </c>
      <c r="E106" s="2854">
        <v>0.1</v>
      </c>
      <c r="F106" s="2854">
        <v>15</v>
      </c>
    </row>
    <row r="107" spans="1:6" ht="36">
      <c r="A107" s="2854">
        <v>35</v>
      </c>
      <c r="B107" s="3521" t="s">
        <v>2717</v>
      </c>
      <c r="C107" s="2854" t="s">
        <v>2718</v>
      </c>
      <c r="D107" s="2828" t="s">
        <v>2719</v>
      </c>
      <c r="E107" s="2854">
        <v>0.15</v>
      </c>
      <c r="F107" s="2854">
        <v>20</v>
      </c>
    </row>
    <row r="108" spans="1:6" ht="24">
      <c r="A108" s="2854">
        <v>36</v>
      </c>
      <c r="B108" s="3523"/>
      <c r="C108" s="2854" t="s">
        <v>2720</v>
      </c>
      <c r="D108" s="2828" t="s">
        <v>2721</v>
      </c>
      <c r="E108" s="2854">
        <v>0.15</v>
      </c>
      <c r="F108" s="2854">
        <v>20</v>
      </c>
    </row>
    <row r="109" spans="1:6" ht="24">
      <c r="A109" s="2854">
        <v>37</v>
      </c>
      <c r="B109" s="3523"/>
      <c r="C109" s="2854" t="s">
        <v>2722</v>
      </c>
      <c r="D109" s="2828" t="s">
        <v>2723</v>
      </c>
      <c r="E109" s="2854">
        <v>0.15</v>
      </c>
      <c r="F109" s="2854">
        <v>20</v>
      </c>
    </row>
    <row r="110" spans="1:6" ht="24">
      <c r="A110" s="2854">
        <v>38</v>
      </c>
      <c r="B110" s="3523"/>
      <c r="C110" s="2854" t="s">
        <v>2724</v>
      </c>
      <c r="D110" s="2828" t="s">
        <v>2725</v>
      </c>
      <c r="E110" s="2854">
        <v>0.1</v>
      </c>
      <c r="F110" s="2854">
        <v>15</v>
      </c>
    </row>
    <row r="111" spans="1:6" ht="24">
      <c r="A111" s="2854">
        <v>39</v>
      </c>
      <c r="B111" s="3523"/>
      <c r="C111" s="2854" t="s">
        <v>2726</v>
      </c>
      <c r="D111" s="2828" t="s">
        <v>2727</v>
      </c>
      <c r="E111" s="2854">
        <v>0.1</v>
      </c>
      <c r="F111" s="2854">
        <v>15</v>
      </c>
    </row>
    <row r="112" spans="1:6" ht="24">
      <c r="A112" s="2854">
        <v>40</v>
      </c>
      <c r="B112" s="3522"/>
      <c r="C112" s="2854" t="s">
        <v>2728</v>
      </c>
      <c r="D112" s="2828" t="s">
        <v>2729</v>
      </c>
      <c r="E112" s="2854">
        <v>0.1</v>
      </c>
      <c r="F112" s="2854">
        <v>15</v>
      </c>
    </row>
    <row r="113" spans="1:6" ht="24">
      <c r="A113" s="2854">
        <v>41</v>
      </c>
      <c r="B113" s="3520" t="s">
        <v>2730</v>
      </c>
      <c r="C113" s="2854" t="s">
        <v>2731</v>
      </c>
      <c r="D113" s="2828" t="s">
        <v>2732</v>
      </c>
      <c r="E113" s="2854">
        <v>0.1</v>
      </c>
      <c r="F113" s="2854">
        <v>15</v>
      </c>
    </row>
    <row r="114" spans="1:6" ht="24">
      <c r="A114" s="2854">
        <v>42</v>
      </c>
      <c r="B114" s="3520"/>
      <c r="C114" s="2854" t="s">
        <v>2733</v>
      </c>
      <c r="D114" s="2828" t="s">
        <v>2734</v>
      </c>
      <c r="E114" s="2854">
        <v>0.1</v>
      </c>
      <c r="F114" s="2854">
        <v>15</v>
      </c>
    </row>
    <row r="115" spans="1:6" ht="24">
      <c r="A115" s="2854">
        <v>43</v>
      </c>
      <c r="B115" s="3520"/>
      <c r="C115" s="2854" t="s">
        <v>2735</v>
      </c>
      <c r="D115" s="2828" t="s">
        <v>2736</v>
      </c>
      <c r="E115" s="2854">
        <v>0.1</v>
      </c>
      <c r="F115" s="2854">
        <v>15</v>
      </c>
    </row>
    <row r="116" spans="1:6" ht="24">
      <c r="A116" s="2854">
        <v>44</v>
      </c>
      <c r="B116" s="3521" t="s">
        <v>2737</v>
      </c>
      <c r="C116" s="2854" t="s">
        <v>2738</v>
      </c>
      <c r="D116" s="2828" t="s">
        <v>2739</v>
      </c>
      <c r="E116" s="2854">
        <v>0.1</v>
      </c>
      <c r="F116" s="2854">
        <v>15</v>
      </c>
    </row>
    <row r="117" spans="1:6" ht="24">
      <c r="A117" s="2854">
        <v>45</v>
      </c>
      <c r="B117" s="3522"/>
      <c r="C117" s="2828" t="s">
        <v>2740</v>
      </c>
      <c r="D117" s="2828" t="s">
        <v>2741</v>
      </c>
      <c r="E117" s="2854">
        <v>0.1</v>
      </c>
      <c r="F117" s="2854">
        <v>15</v>
      </c>
    </row>
    <row r="118" spans="1:6" ht="24">
      <c r="A118" s="2854">
        <v>46</v>
      </c>
      <c r="B118" s="3521" t="s">
        <v>2742</v>
      </c>
      <c r="C118" s="2854" t="s">
        <v>2743</v>
      </c>
      <c r="D118" s="2828" t="s">
        <v>2744</v>
      </c>
      <c r="E118" s="2854">
        <v>0.1</v>
      </c>
      <c r="F118" s="2854">
        <v>15</v>
      </c>
    </row>
    <row r="119" spans="1:6" ht="24">
      <c r="A119" s="2854">
        <v>47</v>
      </c>
      <c r="B119" s="3522"/>
      <c r="C119" s="2854" t="s">
        <v>2745</v>
      </c>
      <c r="D119" s="2828" t="s">
        <v>2746</v>
      </c>
      <c r="E119" s="2854">
        <v>0.1</v>
      </c>
      <c r="F119" s="2854">
        <v>15</v>
      </c>
    </row>
    <row r="120" spans="1:6" ht="24">
      <c r="A120" s="2854">
        <v>48</v>
      </c>
      <c r="B120" s="3521" t="s">
        <v>2747</v>
      </c>
      <c r="C120" s="2854" t="s">
        <v>2748</v>
      </c>
      <c r="D120" s="2828" t="s">
        <v>2749</v>
      </c>
      <c r="E120" s="2854">
        <v>0.1</v>
      </c>
      <c r="F120" s="2854">
        <v>15</v>
      </c>
    </row>
    <row r="121" spans="1:6" ht="24">
      <c r="A121" s="2854">
        <v>49</v>
      </c>
      <c r="B121" s="3522"/>
      <c r="C121" s="2854" t="s">
        <v>2750</v>
      </c>
      <c r="D121" s="2828" t="s">
        <v>2751</v>
      </c>
      <c r="E121" s="2854">
        <v>0.1</v>
      </c>
      <c r="F121" s="2854">
        <v>15</v>
      </c>
    </row>
    <row r="122" spans="1:6" ht="24">
      <c r="A122" s="2854">
        <v>50</v>
      </c>
      <c r="B122" s="3520" t="s">
        <v>2752</v>
      </c>
      <c r="C122" s="2854" t="s">
        <v>2753</v>
      </c>
      <c r="D122" s="2828" t="s">
        <v>2754</v>
      </c>
      <c r="E122" s="2854">
        <v>0.1</v>
      </c>
      <c r="F122" s="2854">
        <v>15</v>
      </c>
    </row>
    <row r="123" spans="1:6" ht="24">
      <c r="A123" s="2854">
        <v>51</v>
      </c>
      <c r="B123" s="3520"/>
      <c r="C123" s="2854" t="s">
        <v>2755</v>
      </c>
      <c r="D123" s="2828" t="s">
        <v>2756</v>
      </c>
      <c r="E123" s="2854">
        <v>0.1</v>
      </c>
      <c r="F123" s="2854">
        <v>15</v>
      </c>
    </row>
    <row r="124" spans="1:6" ht="24">
      <c r="A124" s="2854">
        <v>52</v>
      </c>
      <c r="B124" s="3520" t="s">
        <v>2757</v>
      </c>
      <c r="C124" s="2854" t="s">
        <v>2758</v>
      </c>
      <c r="D124" s="2828" t="s">
        <v>2759</v>
      </c>
      <c r="E124" s="2854">
        <v>0.1</v>
      </c>
      <c r="F124" s="2854">
        <v>15</v>
      </c>
    </row>
    <row r="125" spans="1:6" ht="24">
      <c r="A125" s="2854">
        <v>53</v>
      </c>
      <c r="B125" s="3520"/>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20" t="s">
        <v>2765</v>
      </c>
      <c r="C127" s="2854" t="s">
        <v>2766</v>
      </c>
      <c r="D127" s="2828" t="s">
        <v>2767</v>
      </c>
      <c r="E127" s="2854">
        <v>0.1</v>
      </c>
      <c r="F127" s="2854">
        <v>15</v>
      </c>
    </row>
    <row r="128" spans="1:6" ht="24">
      <c r="A128" s="2854">
        <v>56</v>
      </c>
      <c r="B128" s="3520"/>
      <c r="C128" s="2854" t="s">
        <v>2768</v>
      </c>
      <c r="D128" s="2828" t="s">
        <v>2769</v>
      </c>
      <c r="E128" s="2854">
        <v>0.1</v>
      </c>
      <c r="F128" s="2854">
        <v>15</v>
      </c>
    </row>
    <row r="129" spans="1:6" ht="24">
      <c r="A129" s="2854">
        <v>57</v>
      </c>
      <c r="B129" s="3520"/>
      <c r="C129" s="2854" t="s">
        <v>2770</v>
      </c>
      <c r="D129" s="2828" t="s">
        <v>2771</v>
      </c>
      <c r="E129" s="2854">
        <v>0.1</v>
      </c>
      <c r="F129" s="2854">
        <v>15</v>
      </c>
    </row>
    <row r="130" spans="1:6" ht="24">
      <c r="A130" s="2854">
        <v>58</v>
      </c>
      <c r="B130" s="3520" t="s">
        <v>2772</v>
      </c>
      <c r="C130" s="2854" t="s">
        <v>2773</v>
      </c>
      <c r="D130" s="2828" t="s">
        <v>2774</v>
      </c>
      <c r="E130" s="2854">
        <v>0.1</v>
      </c>
      <c r="F130" s="2854">
        <v>15</v>
      </c>
    </row>
    <row r="131" spans="1:6" ht="24">
      <c r="A131" s="2854">
        <v>59</v>
      </c>
      <c r="B131" s="3520"/>
      <c r="C131" s="2854" t="s">
        <v>2775</v>
      </c>
      <c r="D131" s="2828" t="s">
        <v>2776</v>
      </c>
      <c r="E131" s="2854">
        <v>0.1</v>
      </c>
      <c r="F131" s="2854">
        <v>15</v>
      </c>
    </row>
    <row r="132" spans="1:6" ht="24">
      <c r="A132" s="2854">
        <v>60</v>
      </c>
      <c r="B132" s="3521" t="s">
        <v>2777</v>
      </c>
      <c r="C132" s="2854" t="s">
        <v>2778</v>
      </c>
      <c r="D132" s="2828" t="s">
        <v>2779</v>
      </c>
      <c r="E132" s="2854">
        <v>0.1</v>
      </c>
      <c r="F132" s="2854">
        <v>15</v>
      </c>
    </row>
    <row r="133" spans="1:6" ht="24">
      <c r="A133" s="2854">
        <v>61</v>
      </c>
      <c r="B133" s="3522"/>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20" t="s">
        <v>2785</v>
      </c>
      <c r="C135" s="2854" t="s">
        <v>2786</v>
      </c>
      <c r="D135" s="2828" t="s">
        <v>2787</v>
      </c>
      <c r="E135" s="2854">
        <v>0.1</v>
      </c>
      <c r="F135" s="2854">
        <v>15</v>
      </c>
    </row>
    <row r="136" spans="1:6" ht="24">
      <c r="A136" s="2854">
        <v>64</v>
      </c>
      <c r="B136" s="3520"/>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t="e">
        <f>SUMPRODUCT((A95:A184=ROUNDDOWN(基准地价修正!G3,1))*(B94:M94=基准地价修正!G2)*(B95:M184))</f>
        <v>#DIV/0!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t="e">
        <f>SUMPRODUCT((A371:A460=ROUNDDOWN(基准地价修正!G3,1))*(B370:M370=基准地价修正!G2)*(B371:M460))</f>
        <v>#DIV/0!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7.399999999999999">
      <c r="A3" s="3220" t="str">
        <f>IF(项目基本情况!B9="房地产市场价值","估价结果一览表（市场价值不需“结果表-1”）","估价结果一览表")</f>
        <v>估价结果一览表</v>
      </c>
      <c r="B3" s="3220"/>
      <c r="C3" s="3220"/>
      <c r="D3" s="3220"/>
      <c r="E3" s="3220"/>
    </row>
    <row r="4" spans="1:5" ht="18" thickBot="1">
      <c r="A4" s="1391"/>
      <c r="B4" s="3218" t="s">
        <v>917</v>
      </c>
      <c r="C4" s="3218"/>
      <c r="D4" s="3218"/>
      <c r="E4" s="1391"/>
    </row>
    <row r="5" spans="1:5" ht="16.2" thickTop="1">
      <c r="B5" s="3216" t="s">
        <v>909</v>
      </c>
      <c r="C5" s="1392" t="s">
        <v>910</v>
      </c>
      <c r="D5" s="797">
        <f ca="1">结果表!H101</f>
        <v>289182</v>
      </c>
    </row>
    <row r="6" spans="1:5" ht="15.6">
      <c r="B6" s="3216"/>
      <c r="C6" s="1392" t="s">
        <v>911</v>
      </c>
      <c r="D6" s="797" t="str">
        <f ca="1">NUMBERSTRING(INT(D5*10000),2)&amp;"元整"</f>
        <v>贰拾捌亿玖仟壹佰捌拾贰万元整</v>
      </c>
    </row>
    <row r="7" spans="1:5" ht="15.6">
      <c r="B7" s="3221"/>
      <c r="C7" s="1393" t="s">
        <v>912</v>
      </c>
      <c r="D7" s="798">
        <f ca="1">结果表!H102</f>
        <v>58697</v>
      </c>
    </row>
    <row r="8" spans="1:5" ht="15.6">
      <c r="B8" s="3222" t="str">
        <f>结果表!E103</f>
        <v>2.估价师知悉的法定优先受偿款</v>
      </c>
      <c r="C8" s="1394" t="s">
        <v>913</v>
      </c>
      <c r="D8" s="798">
        <f>结果表!H103</f>
        <v>0</v>
      </c>
    </row>
    <row r="9" spans="1:5" ht="15.6">
      <c r="B9" s="322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5" t="str">
        <f>结果表!E107</f>
        <v>3.房地产抵押价值</v>
      </c>
      <c r="C13" s="1397" t="s">
        <v>910</v>
      </c>
      <c r="D13" s="800">
        <f ca="1">结果表!H107</f>
        <v>289182</v>
      </c>
    </row>
    <row r="14" spans="1:5" ht="15.6">
      <c r="B14" s="3216"/>
      <c r="C14" s="1392" t="s">
        <v>911</v>
      </c>
      <c r="D14" s="797" t="str">
        <f ca="1">NUMBERSTRING(INT(D13*10000),2)&amp;"元整"</f>
        <v>贰拾捌亿玖仟壹佰捌拾贰万元整</v>
      </c>
    </row>
    <row r="15" spans="1:5" ht="15.6">
      <c r="B15" s="3221"/>
      <c r="C15" s="1393" t="s">
        <v>921</v>
      </c>
      <c r="D15" s="806">
        <f ca="1">结果表!H108</f>
        <v>58697</v>
      </c>
    </row>
    <row r="16" spans="1:5" ht="15.6">
      <c r="B16" s="3222" t="str">
        <f>结果表!E109</f>
        <v>——</v>
      </c>
      <c r="C16" s="1397" t="s">
        <v>922</v>
      </c>
      <c r="D16" s="1398" t="str">
        <f>结果表!H109</f>
        <v>——</v>
      </c>
    </row>
    <row r="17" spans="1:5" ht="15.6">
      <c r="B17" s="3223"/>
      <c r="C17" s="1392" t="s">
        <v>923</v>
      </c>
      <c r="D17" s="797" t="e">
        <f>NUMBERSTRING(INT(D16*10000),2)&amp;"元整"</f>
        <v>#VALUE!</v>
      </c>
    </row>
    <row r="18" spans="1:5" ht="15.6">
      <c r="B18" s="3224"/>
      <c r="C18" s="1393" t="s">
        <v>912</v>
      </c>
      <c r="D18" s="806" t="str">
        <f>结果表!H110</f>
        <v>——</v>
      </c>
    </row>
    <row r="19" spans="1:5" ht="15.6">
      <c r="B19" s="3215" t="str">
        <f>结果表!E111</f>
        <v>4.抵押净值</v>
      </c>
      <c r="C19" s="1397" t="s">
        <v>910</v>
      </c>
      <c r="D19" s="798">
        <f ca="1">结果表!H111</f>
        <v>109937</v>
      </c>
    </row>
    <row r="20" spans="1:5" ht="15.6">
      <c r="B20" s="3216"/>
      <c r="C20" s="1392" t="s">
        <v>923</v>
      </c>
      <c r="D20" s="797" t="str">
        <f ca="1">NUMBERSTRING(INT(D19*10000),2)&amp;"元整"</f>
        <v>壹拾亿玖仟玖佰叁拾柒万元整</v>
      </c>
    </row>
    <row r="21" spans="1:5" ht="16.2" thickBot="1">
      <c r="B21" s="3217"/>
      <c r="C21" s="1399" t="s">
        <v>921</v>
      </c>
      <c r="D21" s="807">
        <f ca="1">结果表!H112</f>
        <v>22314</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67468</v>
      </c>
      <c r="C2" s="2" t="s">
        <v>106</v>
      </c>
      <c r="D2" s="191"/>
      <c r="E2" s="191"/>
      <c r="F2" s="191"/>
      <c r="G2" s="191"/>
    </row>
    <row r="3" spans="1:7" s="192" customFormat="1" ht="18" customHeight="1" thickBot="1">
      <c r="A3" s="195" t="s">
        <v>58</v>
      </c>
      <c r="B3" s="196">
        <f ca="1">ROUND(B2*10000/'数据-汇总表'!E3,0)</f>
        <v>13694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985</v>
      </c>
      <c r="D10" s="795">
        <f>'数据-汇总表'!E6</f>
        <v>49267.189999999995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985</v>
      </c>
      <c r="D19" s="204">
        <f>'数据-汇总表'!E3</f>
        <v>49267.189999999995</v>
      </c>
      <c r="E19" s="203">
        <f>'数据-取费表'!B31</f>
        <v>200</v>
      </c>
      <c r="F19" s="223"/>
      <c r="G19" s="1" t="s">
        <v>436</v>
      </c>
    </row>
    <row r="20" spans="1:7" s="206" customFormat="1" ht="13.5" customHeight="1">
      <c r="A20" s="731" t="s">
        <v>419</v>
      </c>
      <c r="B20" s="202" t="s">
        <v>77</v>
      </c>
      <c r="C20" s="224">
        <f>ROUND((C5+C19)*F20,0)</f>
        <v>648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2031</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91</v>
      </c>
      <c r="D24" s="230"/>
      <c r="E24" s="230"/>
      <c r="F24" s="231"/>
      <c r="G24" s="232" t="s">
        <v>82</v>
      </c>
    </row>
    <row r="25" spans="1:7" s="206" customFormat="1" ht="24">
      <c r="A25" s="734" t="s">
        <v>348</v>
      </c>
      <c r="B25" s="207" t="s">
        <v>420</v>
      </c>
      <c r="C25" s="1042">
        <f ca="1">ROUND(IF('数据-取费表'!B22&lt;=1,C20*F22*'数据-取费表'!B23/2,C20*(POWER((1+F22),'数据-取费表'!B23/2)-1)),0)</f>
        <v>29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4449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4449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31161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32614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29560</v>
      </c>
      <c r="D34" s="209"/>
      <c r="E34" s="212"/>
      <c r="F34" s="249">
        <f>IF('数据-取费表'!B24=0,1,'数据-取费表'!N16)</f>
        <v>1</v>
      </c>
      <c r="G34" s="211" t="s">
        <v>89</v>
      </c>
    </row>
    <row r="35" spans="1:7" ht="13.5" customHeight="1">
      <c r="A35" s="734" t="s">
        <v>351</v>
      </c>
      <c r="B35" s="207" t="s">
        <v>33</v>
      </c>
      <c r="C35" s="212">
        <f>ROUND(C34*F35,0)</f>
        <v>1478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985</v>
      </c>
      <c r="D37" s="209">
        <f>'数据-汇总表'!E3</f>
        <v>49267.189999999995</v>
      </c>
      <c r="E37" s="241">
        <f>'数据-取费表'!B35</f>
        <v>200</v>
      </c>
      <c r="F37" s="251"/>
      <c r="G37" s="253" t="s">
        <v>92</v>
      </c>
    </row>
    <row r="38" spans="1:7" ht="13.5" customHeight="1">
      <c r="A38" s="734" t="s">
        <v>354</v>
      </c>
      <c r="B38" s="207" t="s">
        <v>36</v>
      </c>
      <c r="C38" s="212">
        <f>ROUND(C34*F38,0)</f>
        <v>591</v>
      </c>
      <c r="D38" s="212"/>
      <c r="E38" s="212"/>
      <c r="F38" s="251">
        <f>'数据-取费表'!B36</f>
        <v>0.02</v>
      </c>
      <c r="G38" s="211" t="s">
        <v>90</v>
      </c>
    </row>
    <row r="39" spans="1:7" s="206" customFormat="1" ht="13.5" customHeight="1">
      <c r="A39" s="731" t="s">
        <v>338</v>
      </c>
      <c r="B39" s="202" t="s">
        <v>77</v>
      </c>
      <c r="C39" s="224">
        <f>ROUND(C33*F20,0)</f>
        <v>978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1523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1479</v>
      </c>
      <c r="D42" s="230"/>
      <c r="E42" s="230"/>
      <c r="F42" s="231"/>
      <c r="G42" s="3396" t="s">
        <v>94</v>
      </c>
    </row>
    <row r="43" spans="1:7" ht="13.5" customHeight="1">
      <c r="A43" s="734" t="s">
        <v>347</v>
      </c>
      <c r="B43" s="207" t="s">
        <v>426</v>
      </c>
      <c r="C43" s="230">
        <f ca="1">ROUND(IF('数据-取费表'!B22&lt;=1,C39*F22*'数据-取费表'!B21/2,C39*(POWER((1+F22),'数据-取费表'!B21/2)-1)),0)</f>
        <v>44</v>
      </c>
      <c r="D43" s="230"/>
      <c r="E43" s="230"/>
      <c r="F43" s="231"/>
      <c r="G43" s="3397"/>
    </row>
    <row r="44" spans="1:7" ht="13.5" customHeight="1">
      <c r="A44" s="734" t="s">
        <v>348</v>
      </c>
      <c r="B44" s="207" t="s">
        <v>428</v>
      </c>
      <c r="C44" s="230">
        <f ca="1">ROUND(IF('数据-取费表'!B22&lt;=1,C40*F22*'数据-取费表'!B21/2,C40*(POWER((1+F22),'数据-取费表'!B21/2)-1)),4)</f>
        <v>8.9999999999999998E-4</v>
      </c>
      <c r="D44" s="230"/>
      <c r="E44" s="230"/>
      <c r="F44" s="231"/>
      <c r="G44" s="3398"/>
    </row>
    <row r="45" spans="1:7" s="206" customFormat="1" ht="13.5" customHeight="1">
      <c r="A45" s="731" t="s">
        <v>341</v>
      </c>
      <c r="B45" s="236" t="s">
        <v>85</v>
      </c>
      <c r="C45" s="237">
        <f>C46</f>
        <v>6718</v>
      </c>
      <c r="D45" s="227">
        <f>C47</f>
        <v>4.0000000000000001E-3</v>
      </c>
      <c r="E45" s="228" t="s">
        <v>102</v>
      </c>
      <c r="F45" s="238"/>
      <c r="G45" s="239" t="s">
        <v>434</v>
      </c>
    </row>
    <row r="46" spans="1:7" s="206" customFormat="1" ht="13.5" customHeight="1">
      <c r="A46" s="734" t="s">
        <v>349</v>
      </c>
      <c r="B46" s="240" t="s">
        <v>427</v>
      </c>
      <c r="C46" s="241">
        <f>ROUND((C33+C39)*F27,0)</f>
        <v>6718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45384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36307</v>
      </c>
      <c r="D51" s="224"/>
      <c r="E51" s="224"/>
      <c r="F51" s="256"/>
      <c r="G51" s="226" t="s">
        <v>37</v>
      </c>
    </row>
    <row r="52" spans="1:7" s="200" customFormat="1" ht="16.8" thickBot="1">
      <c r="A52" s="257" t="s">
        <v>38</v>
      </c>
      <c r="B52" s="258"/>
      <c r="C52" s="259">
        <f ca="1">C31+C51</f>
        <v>67468</v>
      </c>
      <c r="D52" s="258"/>
      <c r="E52" s="258"/>
      <c r="F52" s="258"/>
      <c r="G52" s="260"/>
    </row>
    <row r="55" spans="1:7" ht="15">
      <c r="B55" s="262" t="s">
        <v>39</v>
      </c>
      <c r="C55" s="263"/>
    </row>
    <row r="56" spans="1:7">
      <c r="B56" s="265" t="s">
        <v>40</v>
      </c>
      <c r="C56" s="266">
        <f ca="1">ROUND(C51/C52,3)</f>
        <v>0.53800000000000003</v>
      </c>
    </row>
    <row r="57" spans="1:7">
      <c r="B57" s="265" t="s">
        <v>41</v>
      </c>
      <c r="C57" s="267">
        <f ca="1">1-C56</f>
        <v>0.46199999999999997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32" t="s">
        <v>3177</v>
      </c>
      <c r="B1" s="3532"/>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33" t="s">
        <v>3228</v>
      </c>
      <c r="B1" s="3533"/>
      <c r="C1" s="3533"/>
      <c r="D1" s="3533"/>
      <c r="E1" s="3533"/>
      <c r="F1" s="3534"/>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3416</v>
      </c>
      <c r="C1" s="190"/>
      <c r="D1" s="190"/>
      <c r="E1" s="190"/>
      <c r="F1" s="190"/>
      <c r="G1" s="1062" t="e">
        <f>MATCH(B1,'数据-取费表'!A6:A16,0)+5</f>
        <v>#N/A</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2" t="s">
        <v>1472</v>
      </c>
      <c r="B6" s="207" t="s">
        <v>1473</v>
      </c>
      <c r="C6" s="208" t="e">
        <f>基准地价修正!E40+基准地价修正!E42</f>
        <v>#DIV/0!</v>
      </c>
      <c r="D6" s="209"/>
      <c r="E6" s="210"/>
      <c r="F6" s="210"/>
      <c r="G6" s="211"/>
    </row>
    <row r="7" spans="1:9" s="206" customFormat="1" ht="13.5" customHeight="1">
      <c r="A7" s="732" t="s">
        <v>1474</v>
      </c>
      <c r="B7" s="207" t="s">
        <v>1475</v>
      </c>
      <c r="C7" s="212" t="e">
        <f>ROUND(C6*F7,0)</f>
        <v>#DIV/0!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3434</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3435</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3436</v>
      </c>
    </row>
    <row r="20" spans="1:7" s="206" customFormat="1" ht="13.5" customHeight="1">
      <c r="A20" s="247" t="s">
        <v>1493</v>
      </c>
      <c r="B20" s="202" t="s">
        <v>1494</v>
      </c>
      <c r="C20" s="224" t="e">
        <f ca="1">ROUND((C5+C19)*F20,0)</f>
        <v>#DIV/0!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#DIV/0!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#DIV/0!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96" t="s">
        <v>1544</v>
      </c>
    </row>
    <row r="43" spans="1:7" ht="13.5" customHeight="1">
      <c r="A43" s="734" t="s">
        <v>347</v>
      </c>
      <c r="B43" s="207" t="s">
        <v>1545</v>
      </c>
      <c r="C43" s="230" t="e">
        <f ca="1">ROUND(IF('数据-取费表'!B22&lt;=1,C39*F22*'数据-取费表'!B21/2,C39*(POWER((1+F22),'数据-取费表'!B21/2)-1)),0)</f>
        <v>#N/A</v>
      </c>
      <c r="D43" s="230"/>
      <c r="E43" s="230"/>
      <c r="F43" s="231"/>
      <c r="G43" s="3397"/>
    </row>
    <row r="44" spans="1:7" ht="13.5" customHeight="1">
      <c r="A44" s="734" t="s">
        <v>348</v>
      </c>
      <c r="B44" s="207" t="s">
        <v>1546</v>
      </c>
      <c r="C44" s="230">
        <f ca="1">ROUND(IF('数据-取费表'!B22&lt;=1,C40*F22*'数据-取费表'!B21/2,C40*(POWER((1+F22),'数据-取费表'!B21/2)-1)),4)</f>
        <v>8.9999999999999998E-4</v>
      </c>
      <c r="D44" s="230"/>
      <c r="E44" s="230"/>
      <c r="F44" s="231"/>
      <c r="G44" s="3398"/>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8"/>
  <sheetViews>
    <sheetView workbookViewId="0">
      <selection activeCell="O13" sqref="O13"/>
    </sheetView>
  </sheetViews>
  <sheetFormatPr defaultColWidth="8.88671875" defaultRowHeight="14.4"/>
  <cols>
    <col min="1" max="15" width="8.88671875" style="3181"/>
    <col min="16" max="16" width="13.88671875" style="3181" customWidth="1"/>
    <col min="17" max="16384" width="8.88671875" style="3181"/>
  </cols>
  <sheetData>
    <row r="1" spans="1:23" s="3171" customFormat="1" ht="36" customHeight="1">
      <c r="A1" s="3168" t="s">
        <v>2640</v>
      </c>
      <c r="B1" s="3168" t="s">
        <v>3454</v>
      </c>
      <c r="C1" s="3168" t="s">
        <v>3455</v>
      </c>
      <c r="D1" s="3168" t="s">
        <v>3456</v>
      </c>
      <c r="E1" s="3168" t="s">
        <v>3457</v>
      </c>
      <c r="F1" s="3168" t="s">
        <v>3458</v>
      </c>
      <c r="G1" s="3168" t="s">
        <v>3459</v>
      </c>
      <c r="H1" s="3168" t="s">
        <v>3460</v>
      </c>
      <c r="I1" s="3168" t="s">
        <v>3461</v>
      </c>
      <c r="J1" s="3169" t="s">
        <v>3462</v>
      </c>
      <c r="K1" s="3168" t="s">
        <v>3463</v>
      </c>
      <c r="L1" s="3168" t="s">
        <v>3464</v>
      </c>
      <c r="M1" s="3168" t="s">
        <v>3465</v>
      </c>
      <c r="N1" s="3168" t="s">
        <v>3466</v>
      </c>
      <c r="O1" s="3168" t="s">
        <v>3467</v>
      </c>
      <c r="P1" s="3170" t="s">
        <v>3468</v>
      </c>
      <c r="Q1" s="3168" t="s">
        <v>3469</v>
      </c>
      <c r="R1" s="3168" t="s">
        <v>3470</v>
      </c>
      <c r="S1" s="3168" t="s">
        <v>3471</v>
      </c>
      <c r="T1" s="3168" t="s">
        <v>3472</v>
      </c>
      <c r="U1" s="3168" t="s">
        <v>3473</v>
      </c>
      <c r="V1" s="3168" t="s">
        <v>3474</v>
      </c>
      <c r="W1" s="3168" t="s">
        <v>3475</v>
      </c>
    </row>
    <row r="2" spans="1:23" s="3171" customFormat="1" ht="36" customHeight="1">
      <c r="A2" s="3168" t="s">
        <v>3476</v>
      </c>
      <c r="B2" s="3168" t="s">
        <v>3477</v>
      </c>
      <c r="C2" s="3168" t="s">
        <v>3478</v>
      </c>
      <c r="D2" s="3168" t="s">
        <v>2717</v>
      </c>
      <c r="E2" s="3172" t="s">
        <v>3479</v>
      </c>
      <c r="F2" s="3168" t="s">
        <v>3480</v>
      </c>
      <c r="G2" s="3168" t="s">
        <v>3481</v>
      </c>
      <c r="H2" s="3172"/>
      <c r="I2" s="3173">
        <v>28179.63</v>
      </c>
      <c r="J2" s="3173">
        <v>22543.704000000002</v>
      </c>
      <c r="K2" s="3173">
        <v>5635.9259999999995</v>
      </c>
      <c r="L2" s="3172">
        <v>59177.22</v>
      </c>
      <c r="M2" s="3168">
        <v>21000</v>
      </c>
      <c r="N2" s="3174">
        <v>26249.998669251512</v>
      </c>
      <c r="O2" s="3168" t="s">
        <v>3482</v>
      </c>
      <c r="P2" s="3175">
        <v>44795</v>
      </c>
      <c r="Q2" s="3176" t="s">
        <v>3483</v>
      </c>
      <c r="R2" s="3177" t="s">
        <v>3484</v>
      </c>
      <c r="S2" s="3172"/>
      <c r="T2" s="3172"/>
      <c r="U2" s="3178"/>
      <c r="V2" s="3172"/>
      <c r="W2" s="3172" t="s">
        <v>3485</v>
      </c>
    </row>
    <row r="3" spans="1:23" s="3171" customFormat="1" ht="36" customHeight="1">
      <c r="A3" s="3168" t="s">
        <v>3486</v>
      </c>
      <c r="B3" s="3168" t="s">
        <v>3487</v>
      </c>
      <c r="C3" s="3168" t="s">
        <v>3488</v>
      </c>
      <c r="D3" s="3168" t="s">
        <v>2717</v>
      </c>
      <c r="E3" s="3172" t="s">
        <v>3479</v>
      </c>
      <c r="F3" s="3168" t="s">
        <v>3480</v>
      </c>
      <c r="G3" s="3168" t="s">
        <v>3481</v>
      </c>
      <c r="H3" s="3172"/>
      <c r="I3" s="3173">
        <v>35283.660000000003</v>
      </c>
      <c r="J3" s="3173">
        <v>29000</v>
      </c>
      <c r="K3" s="3173">
        <v>6283.6600000000035</v>
      </c>
      <c r="L3" s="3172">
        <v>90000</v>
      </c>
      <c r="M3" s="3168">
        <v>25508</v>
      </c>
      <c r="N3" s="3172">
        <v>31034</v>
      </c>
      <c r="O3" s="3168" t="s">
        <v>3489</v>
      </c>
      <c r="P3" s="3179" t="s">
        <v>3490</v>
      </c>
      <c r="Q3" s="3176" t="s">
        <v>3491</v>
      </c>
      <c r="R3" s="3177" t="s">
        <v>3492</v>
      </c>
      <c r="S3" s="3172"/>
      <c r="T3" s="3172"/>
      <c r="U3" s="3172"/>
      <c r="V3" s="3172"/>
      <c r="W3" s="3172" t="s">
        <v>3493</v>
      </c>
    </row>
    <row r="4" spans="1:23" s="3171" customFormat="1" ht="36" customHeight="1">
      <c r="A4" s="3168" t="s">
        <v>3494</v>
      </c>
      <c r="B4" s="3172" t="s">
        <v>3495</v>
      </c>
      <c r="C4" s="3168" t="s">
        <v>3496</v>
      </c>
      <c r="D4" s="3172" t="s">
        <v>2772</v>
      </c>
      <c r="E4" s="3172" t="s">
        <v>3497</v>
      </c>
      <c r="F4" s="3172" t="s">
        <v>3498</v>
      </c>
      <c r="G4" s="3168" t="s">
        <v>460</v>
      </c>
      <c r="H4" s="3172"/>
      <c r="I4" s="3172">
        <v>12280.94</v>
      </c>
      <c r="J4" s="3173">
        <v>12280.94</v>
      </c>
      <c r="K4" s="3172"/>
      <c r="L4" s="3174">
        <v>32716.42</v>
      </c>
      <c r="M4" s="3168">
        <v>26640</v>
      </c>
      <c r="N4" s="3174">
        <v>26639.99661263714</v>
      </c>
      <c r="O4" s="3172" t="s">
        <v>0</v>
      </c>
      <c r="P4" s="3175">
        <v>45217</v>
      </c>
      <c r="Q4" s="3172" t="s">
        <v>3499</v>
      </c>
      <c r="R4" s="3172" t="s">
        <v>3500</v>
      </c>
      <c r="S4" s="3172">
        <v>42983.29</v>
      </c>
      <c r="T4" s="3174">
        <v>35000</v>
      </c>
      <c r="U4" s="3172" t="s">
        <v>3501</v>
      </c>
      <c r="V4" s="3180">
        <v>0.76114276036106121</v>
      </c>
      <c r="W4" s="3172" t="s">
        <v>3502</v>
      </c>
    </row>
    <row r="7" spans="1:23">
      <c r="K7" s="3190">
        <f>K2/I2</f>
        <v>0.19999999999999998</v>
      </c>
    </row>
    <row r="8" spans="1:23">
      <c r="K8" s="3190">
        <f>K3/I3</f>
        <v>0.1780898013414709</v>
      </c>
    </row>
  </sheetData>
  <phoneticPr fontId="134"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45800</v>
      </c>
      <c r="B1" s="2926" t="s">
        <v>3374</v>
      </c>
      <c r="C1" s="2927"/>
      <c r="D1" s="2927"/>
      <c r="E1" s="2927"/>
      <c r="F1" s="2927"/>
      <c r="G1" s="2927"/>
      <c r="H1" s="2927"/>
      <c r="I1" s="2927"/>
      <c r="J1" s="2893"/>
      <c r="K1" s="2927" t="s">
        <v>454</v>
      </c>
      <c r="L1" s="2927"/>
      <c r="M1" s="2927"/>
      <c r="N1" s="2927"/>
      <c r="O1" s="2927"/>
      <c r="P1" s="2927"/>
      <c r="Q1" s="2893"/>
      <c r="R1" s="3535" t="s">
        <v>456</v>
      </c>
      <c r="S1" s="3536"/>
      <c r="T1" s="3536"/>
      <c r="U1" s="3536"/>
      <c r="V1" s="3536"/>
      <c r="W1" s="3536"/>
      <c r="X1" s="2893"/>
      <c r="Y1" s="3535" t="s">
        <v>457</v>
      </c>
      <c r="Z1" s="3536"/>
      <c r="AA1" s="3536"/>
      <c r="AB1" s="3536"/>
      <c r="AC1" s="3536"/>
      <c r="AD1" s="3536"/>
    </row>
    <row r="2" spans="1:44" s="2010" customFormat="1" ht="1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44" s="2045" customFormat="1">
      <c r="A5" s="2040" t="s">
        <v>3400</v>
      </c>
      <c r="B5" s="2031">
        <v>2025</v>
      </c>
      <c r="C5" s="2042">
        <v>4</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 t="shared" ref="P5:P11" si="10">M5</f>
        <v>0</v>
      </c>
      <c r="Q5" s="2903"/>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3"/>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5" customFormat="1" ht="13.2">
      <c r="A6" s="2040" t="s">
        <v>3399</v>
      </c>
      <c r="B6" s="2031">
        <v>2025</v>
      </c>
      <c r="C6" s="2042">
        <v>3</v>
      </c>
      <c r="D6" s="2007">
        <v>0</v>
      </c>
      <c r="E6" s="2007">
        <v>0</v>
      </c>
      <c r="F6" s="2007">
        <v>0</v>
      </c>
      <c r="G6" s="2007">
        <v>0</v>
      </c>
      <c r="H6" s="2007">
        <v>0</v>
      </c>
      <c r="I6" s="2008">
        <f t="shared" ref="I6" si="19">F6</f>
        <v>0</v>
      </c>
      <c r="J6" s="2903"/>
      <c r="K6" s="2043">
        <f t="shared" ref="K6" si="20">D6/100</f>
        <v>0</v>
      </c>
      <c r="L6" s="2028">
        <f t="shared" ref="L6" si="21">E6/100</f>
        <v>0</v>
      </c>
      <c r="M6" s="2028">
        <f t="shared" ref="M6" si="22">F6/100</f>
        <v>0</v>
      </c>
      <c r="N6" s="2028">
        <f t="shared" ref="N6" si="23">G6/100</f>
        <v>0</v>
      </c>
      <c r="O6" s="2028">
        <f t="shared" ref="O6" si="24">H6/100</f>
        <v>0</v>
      </c>
      <c r="P6" s="2028">
        <f t="shared" si="10"/>
        <v>0</v>
      </c>
      <c r="Q6" s="2903"/>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3"/>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3"/>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3"/>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3"/>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3"/>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3"/>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3"/>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3"/>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3"/>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3"/>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5" customFormat="1" ht="13.2">
      <c r="A11" s="2902" t="s">
        <v>3372</v>
      </c>
      <c r="B11" s="2031">
        <v>2024</v>
      </c>
      <c r="C11" s="2042">
        <v>2</v>
      </c>
      <c r="D11" s="2007">
        <v>-0.59</v>
      </c>
      <c r="E11" s="2007">
        <v>-0.21</v>
      </c>
      <c r="F11" s="2007">
        <v>-1.38</v>
      </c>
      <c r="G11" s="2007">
        <v>-1.24</v>
      </c>
      <c r="H11" s="2914">
        <v>0.34</v>
      </c>
      <c r="I11" s="2008">
        <f t="shared" ref="I11:I24" si="87">F11</f>
        <v>-1.38</v>
      </c>
      <c r="J11" s="2903"/>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3"/>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3"/>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5" customFormat="1" ht="13.2">
      <c r="A12" s="2902" t="s">
        <v>3371</v>
      </c>
      <c r="B12" s="2031">
        <v>2024</v>
      </c>
      <c r="C12" s="2042">
        <v>1</v>
      </c>
      <c r="D12" s="2007">
        <v>0.08</v>
      </c>
      <c r="E12" s="2007">
        <v>0.46</v>
      </c>
      <c r="F12" s="2007">
        <v>-0.16</v>
      </c>
      <c r="G12" s="2007">
        <v>0.26</v>
      </c>
      <c r="H12" s="2914">
        <v>0.59</v>
      </c>
      <c r="I12" s="2008">
        <f t="shared" si="87"/>
        <v>-0.16</v>
      </c>
      <c r="J12" s="2903"/>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3"/>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3"/>
      <c r="Y12" s="2028"/>
      <c r="Z12" s="2028"/>
      <c r="AA12" s="2028"/>
      <c r="AB12" s="2028"/>
      <c r="AC12" s="2028"/>
      <c r="AD12" s="2028"/>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5" customFormat="1" ht="13.2">
      <c r="A13" s="2902" t="s">
        <v>3367</v>
      </c>
      <c r="B13" s="2031">
        <v>2023</v>
      </c>
      <c r="C13" s="2042">
        <v>4</v>
      </c>
      <c r="D13" s="2007">
        <v>0.19</v>
      </c>
      <c r="E13" s="2007">
        <v>0.24</v>
      </c>
      <c r="F13" s="2007">
        <v>-0.16</v>
      </c>
      <c r="G13" s="2007">
        <v>0.17</v>
      </c>
      <c r="H13" s="2914">
        <v>0.61</v>
      </c>
      <c r="I13" s="2008">
        <f>F13</f>
        <v>-0.16</v>
      </c>
      <c r="J13" s="2903"/>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3"/>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3"/>
      <c r="Y13" s="2028"/>
      <c r="Z13" s="2028"/>
      <c r="AA13" s="2028"/>
      <c r="AB13" s="2028"/>
      <c r="AC13" s="2028"/>
      <c r="AD13" s="2028"/>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5" customFormat="1" ht="13.2">
      <c r="A14" s="2902" t="s">
        <v>3366</v>
      </c>
      <c r="B14" s="2031">
        <v>2023</v>
      </c>
      <c r="C14" s="2042">
        <v>3</v>
      </c>
      <c r="D14" s="2007">
        <v>0.25</v>
      </c>
      <c r="E14" s="2007">
        <v>0.5</v>
      </c>
      <c r="F14" s="2007">
        <v>0.31</v>
      </c>
      <c r="G14" s="2007">
        <v>0.21</v>
      </c>
      <c r="H14" s="2914">
        <v>0.43</v>
      </c>
      <c r="I14" s="2008">
        <f t="shared" si="87"/>
        <v>0.31</v>
      </c>
      <c r="J14" s="2903"/>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3"/>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3"/>
      <c r="Y14" s="2028"/>
      <c r="Z14" s="2028"/>
      <c r="AA14" s="2028"/>
      <c r="AB14" s="2028"/>
      <c r="AC14" s="2028"/>
      <c r="AD14" s="2028"/>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5" customFormat="1" ht="13.2">
      <c r="A15" s="2902" t="s">
        <v>3364</v>
      </c>
      <c r="B15" s="2031">
        <v>2023</v>
      </c>
      <c r="C15" s="2042">
        <v>2</v>
      </c>
      <c r="D15" s="2007">
        <v>0.91</v>
      </c>
      <c r="E15" s="2007">
        <v>0.66</v>
      </c>
      <c r="F15" s="2007">
        <v>0.47</v>
      </c>
      <c r="G15" s="2007">
        <v>0.96</v>
      </c>
      <c r="H15" s="2914">
        <v>0.71</v>
      </c>
      <c r="I15" s="2008">
        <f t="shared" si="87"/>
        <v>0.47</v>
      </c>
      <c r="J15" s="2903"/>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3"/>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3"/>
      <c r="Y15" s="2028"/>
      <c r="Z15" s="2028"/>
      <c r="AA15" s="2028"/>
      <c r="AB15" s="2028"/>
      <c r="AC15" s="2028"/>
      <c r="AD15" s="2028"/>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5" customFormat="1" ht="13.2">
      <c r="A16" s="2902" t="s">
        <v>3363</v>
      </c>
      <c r="B16" s="2031">
        <v>2023</v>
      </c>
      <c r="C16" s="2042">
        <v>1</v>
      </c>
      <c r="D16" s="2007">
        <v>0.89</v>
      </c>
      <c r="E16" s="2007">
        <v>0.74</v>
      </c>
      <c r="F16" s="2007">
        <v>0.56999999999999995</v>
      </c>
      <c r="G16" s="2007">
        <v>0.92</v>
      </c>
      <c r="H16" s="2914">
        <v>0.5</v>
      </c>
      <c r="I16" s="2008">
        <f t="shared" si="87"/>
        <v>0.56999999999999995</v>
      </c>
      <c r="J16" s="2903"/>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3"/>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3"/>
      <c r="Y16" s="2028"/>
      <c r="Z16" s="2028"/>
      <c r="AA16" s="2028"/>
      <c r="AB16" s="2028"/>
      <c r="AC16" s="2028"/>
      <c r="AD16" s="2028"/>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5" customFormat="1" ht="13.2">
      <c r="A17" s="2902" t="s">
        <v>3362</v>
      </c>
      <c r="B17" s="2031">
        <v>2022</v>
      </c>
      <c r="C17" s="2042">
        <v>4</v>
      </c>
      <c r="D17" s="2007">
        <v>0.62</v>
      </c>
      <c r="E17" s="2007">
        <v>0.2</v>
      </c>
      <c r="F17" s="2007">
        <v>0.11</v>
      </c>
      <c r="G17" s="2007">
        <v>0.69</v>
      </c>
      <c r="H17" s="2914">
        <v>0.53</v>
      </c>
      <c r="I17" s="2008">
        <f t="shared" si="87"/>
        <v>0.11</v>
      </c>
      <c r="J17" s="2903"/>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3"/>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3"/>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5" customFormat="1" ht="13.2">
      <c r="A18" s="2902" t="s">
        <v>3360</v>
      </c>
      <c r="B18" s="2031">
        <v>2022</v>
      </c>
      <c r="C18" s="2042">
        <v>3</v>
      </c>
      <c r="D18" s="2007">
        <v>0.66</v>
      </c>
      <c r="E18" s="2007">
        <v>0.32</v>
      </c>
      <c r="F18" s="2007">
        <v>0.23</v>
      </c>
      <c r="G18" s="2007">
        <v>0.72</v>
      </c>
      <c r="H18" s="2914">
        <v>0.63</v>
      </c>
      <c r="I18" s="2008">
        <f t="shared" si="87"/>
        <v>0.23</v>
      </c>
      <c r="J18" s="2903"/>
      <c r="K18" s="2043">
        <f t="shared" si="88"/>
        <v>6.6E-3</v>
      </c>
      <c r="L18" s="2028">
        <f t="shared" si="88"/>
        <v>3.2000000000000002E-3</v>
      </c>
      <c r="M18" s="2028">
        <f t="shared" si="88"/>
        <v>2.3E-3</v>
      </c>
      <c r="N18" s="2028">
        <f t="shared" si="88"/>
        <v>7.1999999999999998E-3</v>
      </c>
      <c r="O18" s="2028">
        <f t="shared" si="88"/>
        <v>6.3E-3</v>
      </c>
      <c r="P18" s="2028">
        <f t="shared" si="108"/>
        <v>2.3E-3</v>
      </c>
      <c r="Q18" s="2903"/>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3"/>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5" customFormat="1" ht="13.2">
      <c r="A19" s="2902" t="s">
        <v>3351</v>
      </c>
      <c r="B19" s="2031">
        <v>2022</v>
      </c>
      <c r="C19" s="2042">
        <v>2</v>
      </c>
      <c r="D19" s="2007">
        <v>0.93</v>
      </c>
      <c r="E19" s="2007">
        <v>0.15</v>
      </c>
      <c r="F19" s="2007">
        <v>0.01</v>
      </c>
      <c r="G19" s="2007">
        <v>1.05</v>
      </c>
      <c r="H19" s="2914">
        <v>1.08</v>
      </c>
      <c r="I19" s="2008">
        <f t="shared" si="87"/>
        <v>0.01</v>
      </c>
      <c r="J19" s="2903"/>
      <c r="K19" s="2043">
        <f t="shared" si="88"/>
        <v>9.300000000000001E-3</v>
      </c>
      <c r="L19" s="2028">
        <f t="shared" si="88"/>
        <v>1.5E-3</v>
      </c>
      <c r="M19" s="2028">
        <f t="shared" si="88"/>
        <v>1E-4</v>
      </c>
      <c r="N19" s="2028">
        <f t="shared" si="88"/>
        <v>1.0500000000000001E-2</v>
      </c>
      <c r="O19" s="2028">
        <f t="shared" si="88"/>
        <v>1.0800000000000001E-2</v>
      </c>
      <c r="P19" s="2028">
        <f t="shared" si="108"/>
        <v>1E-4</v>
      </c>
      <c r="Q19" s="2903"/>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3"/>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5" customFormat="1" ht="13.2">
      <c r="A20" s="2902" t="s">
        <v>2816</v>
      </c>
      <c r="B20" s="2031">
        <v>2022</v>
      </c>
      <c r="C20" s="2042">
        <v>1</v>
      </c>
      <c r="D20" s="2007">
        <v>0.89</v>
      </c>
      <c r="E20" s="2007">
        <v>0.44</v>
      </c>
      <c r="F20" s="2007">
        <v>0.37</v>
      </c>
      <c r="G20" s="2007">
        <v>0.96</v>
      </c>
      <c r="H20" s="2914">
        <v>0.64</v>
      </c>
      <c r="I20" s="2008">
        <f t="shared" si="87"/>
        <v>0.37</v>
      </c>
      <c r="J20" s="2903"/>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3"/>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3"/>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5" customFormat="1" ht="13.2">
      <c r="A21" s="2902" t="s">
        <v>2817</v>
      </c>
      <c r="B21" s="2031">
        <v>2021</v>
      </c>
      <c r="C21" s="2042">
        <v>4</v>
      </c>
      <c r="D21" s="2007">
        <v>1.03</v>
      </c>
      <c r="E21" s="2007">
        <v>0.24</v>
      </c>
      <c r="F21" s="2007">
        <v>7.0000000000000007E-2</v>
      </c>
      <c r="G21" s="2007">
        <v>1.17</v>
      </c>
      <c r="H21" s="2914">
        <v>0.55000000000000004</v>
      </c>
      <c r="I21" s="2008">
        <f t="shared" si="87"/>
        <v>7.0000000000000007E-2</v>
      </c>
      <c r="J21" s="2903"/>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3"/>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3"/>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5" customFormat="1" ht="13.2">
      <c r="A22" s="2902" t="s">
        <v>2818</v>
      </c>
      <c r="B22" s="2031">
        <v>2021</v>
      </c>
      <c r="C22" s="2042">
        <v>3</v>
      </c>
      <c r="D22" s="2007">
        <v>0.47</v>
      </c>
      <c r="E22" s="2007">
        <v>0.41</v>
      </c>
      <c r="F22" s="2007">
        <v>0.24</v>
      </c>
      <c r="G22" s="2007">
        <v>0.48</v>
      </c>
      <c r="H22" s="2914">
        <v>0.48</v>
      </c>
      <c r="I22" s="2008">
        <f t="shared" si="87"/>
        <v>0.24</v>
      </c>
      <c r="J22" s="2903"/>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3"/>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3"/>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5" customFormat="1" ht="13.2">
      <c r="A23" s="2902" t="s">
        <v>2819</v>
      </c>
      <c r="B23" s="2031">
        <v>2021</v>
      </c>
      <c r="C23" s="2042">
        <v>2</v>
      </c>
      <c r="D23" s="2007">
        <v>0.92</v>
      </c>
      <c r="E23" s="2007">
        <v>0.72</v>
      </c>
      <c r="F23" s="2007">
        <v>0.41</v>
      </c>
      <c r="G23" s="2007">
        <v>0.95</v>
      </c>
      <c r="H23" s="2914">
        <v>1.01</v>
      </c>
      <c r="I23" s="2008">
        <f t="shared" si="87"/>
        <v>0.41</v>
      </c>
      <c r="J23" s="2903"/>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3"/>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3"/>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5" t="s">
        <v>2821</v>
      </c>
    </row>
    <row r="29" spans="1:44" s="2009" customFormat="1" ht="13.2">
      <c r="B29" s="2926" t="s">
        <v>3375</v>
      </c>
      <c r="C29" s="2927"/>
      <c r="D29" s="2927"/>
      <c r="E29" s="2927"/>
      <c r="F29" s="2927"/>
      <c r="G29" s="2927"/>
      <c r="H29" s="2927"/>
      <c r="I29" s="2927"/>
      <c r="J29" s="2893"/>
      <c r="K29" s="2927" t="s">
        <v>2822</v>
      </c>
      <c r="L29" s="2927"/>
      <c r="M29" s="2927"/>
      <c r="N29" s="2927"/>
      <c r="O29" s="2927"/>
      <c r="P29" s="2927"/>
      <c r="Q29" s="2893"/>
      <c r="R29" s="3535" t="s">
        <v>2823</v>
      </c>
      <c r="S29" s="3536"/>
      <c r="T29" s="3536"/>
      <c r="U29" s="3536"/>
      <c r="V29" s="3536"/>
      <c r="W29" s="3536"/>
      <c r="X29" s="2893"/>
      <c r="Y29" s="3535" t="s">
        <v>2824</v>
      </c>
      <c r="Z29" s="3536"/>
      <c r="AA29" s="3536"/>
      <c r="AB29" s="3536"/>
      <c r="AC29" s="3536"/>
      <c r="AD29" s="3536"/>
    </row>
    <row r="30" spans="1:44" s="2010" customFormat="1" ht="15" thickBot="1">
      <c r="B30" s="2878"/>
      <c r="C30" s="2879"/>
      <c r="D30" s="2011" t="s">
        <v>2825</v>
      </c>
      <c r="E30" s="2012" t="s">
        <v>2826</v>
      </c>
      <c r="F30" s="2012" t="s">
        <v>2827</v>
      </c>
      <c r="G30" s="2012" t="s">
        <v>2828</v>
      </c>
      <c r="H30" s="2012"/>
      <c r="I30" s="2012" t="s">
        <v>2829</v>
      </c>
      <c r="J30" s="2880"/>
      <c r="K30" s="2011" t="s">
        <v>2825</v>
      </c>
      <c r="L30" s="2012" t="s">
        <v>2826</v>
      </c>
      <c r="M30" s="2012" t="s">
        <v>2827</v>
      </c>
      <c r="N30" s="2012" t="s">
        <v>2828</v>
      </c>
      <c r="O30" s="2012"/>
      <c r="P30" s="2012" t="s">
        <v>2829</v>
      </c>
      <c r="Q30" s="2880"/>
      <c r="R30" s="2011" t="s">
        <v>2825</v>
      </c>
      <c r="S30" s="2012" t="s">
        <v>2826</v>
      </c>
      <c r="T30" s="2012" t="s">
        <v>2827</v>
      </c>
      <c r="U30" s="2012" t="s">
        <v>2828</v>
      </c>
      <c r="V30" s="2012"/>
      <c r="W30" s="2012" t="s">
        <v>2829</v>
      </c>
      <c r="X30" s="2880"/>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9" customFormat="1" ht="13.2">
      <c r="B32" s="2025"/>
      <c r="J32" s="2893"/>
      <c r="K32" s="2894"/>
      <c r="L32" s="2895"/>
      <c r="M32" s="2895"/>
      <c r="N32" s="2895"/>
      <c r="O32" s="2895"/>
      <c r="P32" s="2895"/>
      <c r="Q32" s="2893"/>
      <c r="R32" s="2027"/>
      <c r="S32" s="2896"/>
      <c r="T32" s="2897"/>
      <c r="U32" s="2027"/>
      <c r="V32" s="2898"/>
      <c r="W32" s="2027"/>
      <c r="X32" s="2893"/>
      <c r="Y32" s="2028"/>
      <c r="Z32" s="2899"/>
      <c r="AA32" s="2900"/>
      <c r="AB32" s="2028"/>
      <c r="AC32" s="2901"/>
      <c r="AD32" s="2028"/>
    </row>
    <row r="33" spans="1:44" s="2045" customFormat="1">
      <c r="A33" s="2040" t="s">
        <v>3400</v>
      </c>
      <c r="B33" s="2031">
        <v>2025</v>
      </c>
      <c r="C33" s="2042">
        <v>4</v>
      </c>
      <c r="D33" s="2007"/>
      <c r="E33" s="2007">
        <v>0</v>
      </c>
      <c r="F33" s="2007">
        <v>0</v>
      </c>
      <c r="G33" s="2007">
        <v>0</v>
      </c>
      <c r="H33" s="2007"/>
      <c r="I33" s="2008">
        <f t="shared" ref="I33" si="119">F33</f>
        <v>0</v>
      </c>
      <c r="J33" s="2903"/>
      <c r="K33" s="2043"/>
      <c r="L33" s="2028">
        <f t="shared" ref="L33" si="120">E33/100</f>
        <v>0</v>
      </c>
      <c r="M33" s="2028">
        <f t="shared" ref="M33" si="121">F33/100</f>
        <v>0</v>
      </c>
      <c r="N33" s="2028">
        <f t="shared" ref="N33" si="122">G33/100</f>
        <v>0</v>
      </c>
      <c r="O33" s="2028"/>
      <c r="P33" s="2028">
        <f t="shared" ref="P33:P39" si="123">M33</f>
        <v>0</v>
      </c>
      <c r="Q33" s="2903"/>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3"/>
      <c r="Y33" s="2028"/>
      <c r="Z33" s="2899">
        <f t="shared" ref="Z33" si="125">IF(E33=0,0,ROUND(AVERAGE(E33:E46)/100,4))</f>
        <v>0</v>
      </c>
      <c r="AA33" s="2899">
        <f t="shared" ref="AA33" si="126">IF(F33=0,0,ROUND(AVERAGE(F33:F46)/100,4))</f>
        <v>0</v>
      </c>
      <c r="AB33" s="2899">
        <f t="shared" ref="AB33" si="127">IF(G33=0,0,ROUND(AVERAGE(G33:G46)/100,4))</f>
        <v>0</v>
      </c>
      <c r="AC33" s="2901"/>
      <c r="AD33" s="2028">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5" customFormat="1" ht="13.2">
      <c r="A34" s="2040" t="s">
        <v>3399</v>
      </c>
      <c r="B34" s="2031">
        <v>2025</v>
      </c>
      <c r="C34" s="2042">
        <v>3</v>
      </c>
      <c r="D34" s="2007"/>
      <c r="E34" s="2007">
        <v>0</v>
      </c>
      <c r="F34" s="2007">
        <v>0</v>
      </c>
      <c r="G34" s="2007">
        <v>0</v>
      </c>
      <c r="H34" s="2007"/>
      <c r="I34" s="2008">
        <f t="shared" ref="I34" si="133">F34</f>
        <v>0</v>
      </c>
      <c r="J34" s="2903"/>
      <c r="K34" s="2043"/>
      <c r="L34" s="2028">
        <f t="shared" ref="L34" si="134">E34/100</f>
        <v>0</v>
      </c>
      <c r="M34" s="2028">
        <f t="shared" ref="M34" si="135">F34/100</f>
        <v>0</v>
      </c>
      <c r="N34" s="2028">
        <f t="shared" ref="N34" si="136">G34/100</f>
        <v>0</v>
      </c>
      <c r="O34" s="2028"/>
      <c r="P34" s="2028">
        <f t="shared" si="123"/>
        <v>0</v>
      </c>
      <c r="Q34" s="2903"/>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3"/>
      <c r="Y34" s="2028"/>
      <c r="Z34" s="2899">
        <f t="shared" ref="Z34" si="137">IF(E34=0,0,ROUND(AVERAGE(E34:E47)/100,4))</f>
        <v>0</v>
      </c>
      <c r="AA34" s="2899">
        <f t="shared" ref="AA34" si="138">IF(F34=0,0,ROUND(AVERAGE(F34:F47)/100,4))</f>
        <v>0</v>
      </c>
      <c r="AB34" s="2899">
        <f t="shared" ref="AB34" si="139">IF(G34=0,0,ROUND(AVERAGE(G34:G47)/100,4))</f>
        <v>0</v>
      </c>
      <c r="AC34" s="2901"/>
      <c r="AD34" s="2028">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3"/>
      <c r="K36" s="2043"/>
      <c r="L36" s="2028">
        <f t="shared" ref="L36" si="153">E36/100</f>
        <v>-1.47E-2</v>
      </c>
      <c r="M36" s="2028">
        <f t="shared" ref="M36" si="154">F36/100</f>
        <v>-9.7999999999999997E-3</v>
      </c>
      <c r="N36" s="2028">
        <f t="shared" ref="N36" si="155">G36/100</f>
        <v>-5.1000000000000004E-3</v>
      </c>
      <c r="O36" s="2028"/>
      <c r="P36" s="2028">
        <f t="shared" si="123"/>
        <v>-9.7999999999999997E-3</v>
      </c>
      <c r="Q36" s="2903"/>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3"/>
      <c r="Y36" s="2028"/>
      <c r="Z36" s="2899">
        <f t="shared" ref="Z36" si="156">IF(E36=0,0,ROUND(AVERAGE(E36:E49)/100,4))</f>
        <v>4.0000000000000002E-4</v>
      </c>
      <c r="AA36" s="2899">
        <f t="shared" ref="AA36" si="157">IF(F36=0,0,ROUND(AVERAGE(F36:F49)/100,4))</f>
        <v>0</v>
      </c>
      <c r="AB36" s="2899">
        <f t="shared" ref="AB36" si="158">IF(G36=0,0,ROUND(AVERAGE(G36:G49)/100,4))</f>
        <v>1E-3</v>
      </c>
      <c r="AC36" s="2901"/>
      <c r="AD36" s="2028">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3"/>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3"/>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3"/>
      <c r="Y37" s="2028"/>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8">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3"/>
      <c r="K38" s="2043"/>
      <c r="L38" s="2028">
        <f t="shared" ref="L38" si="170">E38/100</f>
        <v>-6.6E-3</v>
      </c>
      <c r="M38" s="2028">
        <f t="shared" ref="M38" si="171">F38/100</f>
        <v>-5.1999999999999998E-3</v>
      </c>
      <c r="N38" s="2028">
        <f t="shared" ref="N38" si="172">G38/100</f>
        <v>-2.87E-2</v>
      </c>
      <c r="O38" s="2028"/>
      <c r="P38" s="2028">
        <f t="shared" si="123"/>
        <v>-5.1999999999999998E-3</v>
      </c>
      <c r="Q38" s="2903"/>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3"/>
      <c r="Y38" s="2028"/>
      <c r="Z38" s="2899">
        <f t="shared" ref="Z38:AB39" si="173">IF(E38=0,0,ROUND(AVERAGE(E38:E51)/100,4))</f>
        <v>2.5999999999999999E-3</v>
      </c>
      <c r="AA38" s="2899">
        <f t="shared" si="173"/>
        <v>1.6999999999999999E-3</v>
      </c>
      <c r="AB38" s="2899">
        <f t="shared" si="173"/>
        <v>3.3999999999999998E-3</v>
      </c>
      <c r="AC38" s="2901"/>
      <c r="AD38" s="2028">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5" customFormat="1" ht="13.2">
      <c r="A39" s="2902" t="s">
        <v>3373</v>
      </c>
      <c r="B39" s="2031">
        <v>2024</v>
      </c>
      <c r="C39" s="2042">
        <v>2</v>
      </c>
      <c r="D39" s="2007"/>
      <c r="E39" s="2007">
        <v>-0.31</v>
      </c>
      <c r="F39" s="2007">
        <v>-0.39</v>
      </c>
      <c r="G39" s="2007">
        <v>1.23</v>
      </c>
      <c r="H39" s="2914"/>
      <c r="I39" s="2008">
        <f t="shared" ref="I39:I52" si="174">F39</f>
        <v>-0.39</v>
      </c>
      <c r="J39" s="2903"/>
      <c r="K39" s="2043"/>
      <c r="L39" s="2028">
        <f t="shared" ref="L39:N52" si="175">E39/100</f>
        <v>-3.0999999999999999E-3</v>
      </c>
      <c r="M39" s="2028">
        <f t="shared" si="175"/>
        <v>-3.9000000000000003E-3</v>
      </c>
      <c r="N39" s="2028">
        <f t="shared" si="175"/>
        <v>1.23E-2</v>
      </c>
      <c r="O39" s="2028"/>
      <c r="P39" s="2028">
        <f t="shared" si="123"/>
        <v>-3.9000000000000003E-3</v>
      </c>
      <c r="Q39" s="2903"/>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3"/>
      <c r="Y39" s="2028"/>
      <c r="Z39" s="2899">
        <f t="shared" si="173"/>
        <v>3.3E-3</v>
      </c>
      <c r="AA39" s="2900">
        <f t="shared" si="173"/>
        <v>2.3999999999999998E-3</v>
      </c>
      <c r="AB39" s="2028">
        <f t="shared" si="173"/>
        <v>6.1999999999999998E-3</v>
      </c>
      <c r="AC39" s="2901"/>
      <c r="AD39" s="2028">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5" customFormat="1" ht="13.2">
      <c r="A40" s="2902" t="s">
        <v>3370</v>
      </c>
      <c r="B40" s="2031">
        <v>2024</v>
      </c>
      <c r="C40" s="2042">
        <v>1</v>
      </c>
      <c r="D40" s="2007"/>
      <c r="E40" s="2007">
        <v>0.25</v>
      </c>
      <c r="F40" s="2007">
        <v>0.4</v>
      </c>
      <c r="G40" s="2007">
        <v>-0.63</v>
      </c>
      <c r="H40" s="2914"/>
      <c r="I40" s="2008">
        <f t="shared" ref="I40:I41" si="176">F40</f>
        <v>0.4</v>
      </c>
      <c r="J40" s="2903"/>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3"/>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3"/>
      <c r="Y40" s="2028"/>
      <c r="Z40" s="2899"/>
      <c r="AA40" s="2900"/>
      <c r="AB40" s="2028"/>
      <c r="AC40" s="2901"/>
      <c r="AD40" s="2028"/>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5" customFormat="1" ht="13.2">
      <c r="A41" s="2902" t="s">
        <v>3368</v>
      </c>
      <c r="B41" s="2031">
        <v>2023</v>
      </c>
      <c r="C41" s="2042">
        <v>4</v>
      </c>
      <c r="D41" s="2007"/>
      <c r="E41" s="2007">
        <v>7.0000000000000007E-2</v>
      </c>
      <c r="F41" s="2007">
        <v>0.09</v>
      </c>
      <c r="G41" s="2007">
        <v>0.03</v>
      </c>
      <c r="H41" s="2914"/>
      <c r="I41" s="2008">
        <f t="shared" si="176"/>
        <v>0.09</v>
      </c>
      <c r="J41" s="2903"/>
      <c r="K41" s="2043"/>
      <c r="L41" s="2028">
        <f t="shared" si="175"/>
        <v>7.000000000000001E-4</v>
      </c>
      <c r="M41" s="2028">
        <f t="shared" si="175"/>
        <v>8.9999999999999998E-4</v>
      </c>
      <c r="N41" s="2028">
        <f t="shared" si="175"/>
        <v>2.9999999999999997E-4</v>
      </c>
      <c r="O41" s="2028"/>
      <c r="P41" s="2028">
        <f t="shared" ref="P41" si="182">M41</f>
        <v>8.9999999999999998E-4</v>
      </c>
      <c r="Q41" s="2903"/>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3"/>
      <c r="Y41" s="2028"/>
      <c r="Z41" s="2899"/>
      <c r="AA41" s="2900"/>
      <c r="AB41" s="2028"/>
      <c r="AC41" s="2901"/>
      <c r="AD41" s="2028"/>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5" customFormat="1" ht="13.2">
      <c r="A42" s="2902" t="s">
        <v>3366</v>
      </c>
      <c r="B42" s="2031">
        <v>2023</v>
      </c>
      <c r="C42" s="2042">
        <v>3</v>
      </c>
      <c r="D42" s="2007"/>
      <c r="E42" s="2007">
        <v>0.35</v>
      </c>
      <c r="F42" s="2007">
        <v>0.17</v>
      </c>
      <c r="G42" s="2007">
        <v>0.52</v>
      </c>
      <c r="H42" s="2914"/>
      <c r="I42" s="2008">
        <f t="shared" si="174"/>
        <v>0.17</v>
      </c>
      <c r="J42" s="2903"/>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3"/>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3"/>
      <c r="Y42" s="2028"/>
      <c r="Z42" s="2899"/>
      <c r="AA42" s="2900"/>
      <c r="AB42" s="2028"/>
      <c r="AC42" s="2901"/>
      <c r="AD42" s="2028"/>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5" customFormat="1" ht="13.2">
      <c r="A43" s="2902" t="s">
        <v>3365</v>
      </c>
      <c r="B43" s="2031">
        <v>2023</v>
      </c>
      <c r="C43" s="2042">
        <v>2</v>
      </c>
      <c r="D43" s="2007"/>
      <c r="E43" s="2007">
        <v>0.5</v>
      </c>
      <c r="F43" s="2007">
        <v>0.45</v>
      </c>
      <c r="G43" s="2007">
        <v>0.89</v>
      </c>
      <c r="H43" s="2914"/>
      <c r="I43" s="2008">
        <f t="shared" si="174"/>
        <v>0.45</v>
      </c>
      <c r="J43" s="2903"/>
      <c r="K43" s="2043"/>
      <c r="L43" s="2028">
        <f t="shared" si="184"/>
        <v>5.0000000000000001E-3</v>
      </c>
      <c r="M43" s="2028">
        <f t="shared" si="185"/>
        <v>4.5000000000000005E-3</v>
      </c>
      <c r="N43" s="2028">
        <f t="shared" si="186"/>
        <v>8.8999999999999999E-3</v>
      </c>
      <c r="O43" s="2028"/>
      <c r="P43" s="2028">
        <f t="shared" si="187"/>
        <v>4.5000000000000005E-3</v>
      </c>
      <c r="Q43" s="2903"/>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3"/>
      <c r="Y43" s="2028"/>
      <c r="Z43" s="2899"/>
      <c r="AA43" s="2900"/>
      <c r="AB43" s="2028"/>
      <c r="AC43" s="2901"/>
      <c r="AD43" s="2028"/>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5" customFormat="1" ht="13.2">
      <c r="A44" s="2902" t="s">
        <v>3363</v>
      </c>
      <c r="B44" s="2031">
        <v>2023</v>
      </c>
      <c r="C44" s="2042">
        <v>1</v>
      </c>
      <c r="D44" s="2007"/>
      <c r="E44" s="2007">
        <v>0.55000000000000004</v>
      </c>
      <c r="F44" s="2007">
        <v>0.59</v>
      </c>
      <c r="G44" s="2007">
        <v>0.64</v>
      </c>
      <c r="H44" s="2914"/>
      <c r="I44" s="2008">
        <f t="shared" si="174"/>
        <v>0.59</v>
      </c>
      <c r="J44" s="2903"/>
      <c r="K44" s="2043"/>
      <c r="L44" s="2028">
        <f t="shared" si="184"/>
        <v>5.5000000000000005E-3</v>
      </c>
      <c r="M44" s="2028">
        <f t="shared" si="185"/>
        <v>5.8999999999999999E-3</v>
      </c>
      <c r="N44" s="2028">
        <f t="shared" si="186"/>
        <v>6.4000000000000003E-3</v>
      </c>
      <c r="O44" s="2028"/>
      <c r="P44" s="2028">
        <f t="shared" si="187"/>
        <v>5.8999999999999999E-3</v>
      </c>
      <c r="Q44" s="2903"/>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3"/>
      <c r="Y44" s="2028"/>
      <c r="Z44" s="2899"/>
      <c r="AA44" s="2900"/>
      <c r="AB44" s="2028"/>
      <c r="AC44" s="2901"/>
      <c r="AD44" s="2028"/>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5" customFormat="1" ht="13.2">
      <c r="A45" s="2902" t="s">
        <v>3362</v>
      </c>
      <c r="B45" s="2031">
        <v>2022</v>
      </c>
      <c r="C45" s="2042">
        <v>4</v>
      </c>
      <c r="D45" s="2007"/>
      <c r="E45" s="2007">
        <v>0.45</v>
      </c>
      <c r="F45" s="2007">
        <v>0.2</v>
      </c>
      <c r="G45" s="2007">
        <v>0.38</v>
      </c>
      <c r="H45" s="2914"/>
      <c r="I45" s="2008">
        <f t="shared" si="174"/>
        <v>0.2</v>
      </c>
      <c r="J45" s="2903"/>
      <c r="K45" s="2043"/>
      <c r="L45" s="2028">
        <f t="shared" si="175"/>
        <v>4.5000000000000005E-3</v>
      </c>
      <c r="M45" s="2028">
        <f t="shared" si="175"/>
        <v>2E-3</v>
      </c>
      <c r="N45" s="2028">
        <f t="shared" si="175"/>
        <v>3.8E-3</v>
      </c>
      <c r="O45" s="2028"/>
      <c r="P45" s="2028">
        <f t="shared" ref="P45:P52" si="189">M45</f>
        <v>2E-3</v>
      </c>
      <c r="Q45" s="2903"/>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3"/>
      <c r="Y45" s="2028"/>
      <c r="Z45" s="2899">
        <f t="shared" ref="Z45:AD52" si="191">IF(E45=0,0,ROUND(AVERAGE(E45:E53)/100,4))</f>
        <v>4.0000000000000001E-3</v>
      </c>
      <c r="AA45" s="2900">
        <f t="shared" si="191"/>
        <v>2.5999999999999999E-3</v>
      </c>
      <c r="AB45" s="2028">
        <f t="shared" si="191"/>
        <v>7.4000000000000003E-3</v>
      </c>
      <c r="AC45" s="2901"/>
      <c r="AD45" s="2028">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5" customFormat="1" ht="13.2">
      <c r="A46" s="2902" t="s">
        <v>3361</v>
      </c>
      <c r="B46" s="2031">
        <v>2022</v>
      </c>
      <c r="C46" s="2042">
        <v>3</v>
      </c>
      <c r="D46" s="2007"/>
      <c r="E46" s="2007">
        <v>0.3</v>
      </c>
      <c r="F46" s="2007">
        <v>0.28999999999999998</v>
      </c>
      <c r="G46" s="2007">
        <v>0.83</v>
      </c>
      <c r="H46" s="2914"/>
      <c r="I46" s="2008">
        <f t="shared" si="174"/>
        <v>0.28999999999999998</v>
      </c>
      <c r="J46" s="2903"/>
      <c r="K46" s="2043"/>
      <c r="L46" s="2028">
        <f t="shared" si="175"/>
        <v>3.0000000000000001E-3</v>
      </c>
      <c r="M46" s="2028">
        <f t="shared" si="175"/>
        <v>2.8999999999999998E-3</v>
      </c>
      <c r="N46" s="2028">
        <f t="shared" si="175"/>
        <v>8.3000000000000001E-3</v>
      </c>
      <c r="O46" s="2028"/>
      <c r="P46" s="2028">
        <f t="shared" si="189"/>
        <v>2.8999999999999998E-3</v>
      </c>
      <c r="Q46" s="2903"/>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3"/>
      <c r="Y46" s="2028"/>
      <c r="Z46" s="2899">
        <f t="shared" si="191"/>
        <v>3.8999999999999998E-3</v>
      </c>
      <c r="AA46" s="2900">
        <f t="shared" si="191"/>
        <v>2.7000000000000001E-3</v>
      </c>
      <c r="AB46" s="2028">
        <f t="shared" si="191"/>
        <v>7.9000000000000008E-3</v>
      </c>
      <c r="AC46" s="2901"/>
      <c r="AD46" s="2028">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5" customFormat="1" ht="13.2">
      <c r="A47" s="2902" t="s">
        <v>3351</v>
      </c>
      <c r="B47" s="2031">
        <v>2022</v>
      </c>
      <c r="C47" s="2042">
        <v>2</v>
      </c>
      <c r="D47" s="2007"/>
      <c r="E47" s="2007">
        <v>-0.11</v>
      </c>
      <c r="F47" s="2007">
        <v>-0.13</v>
      </c>
      <c r="G47" s="2007">
        <v>0.53</v>
      </c>
      <c r="H47" s="2914"/>
      <c r="I47" s="2008">
        <f t="shared" si="174"/>
        <v>-0.13</v>
      </c>
      <c r="J47" s="2903"/>
      <c r="K47" s="2043"/>
      <c r="L47" s="2028">
        <f t="shared" si="175"/>
        <v>-1.1000000000000001E-3</v>
      </c>
      <c r="M47" s="2028">
        <f t="shared" si="175"/>
        <v>-1.2999999999999999E-3</v>
      </c>
      <c r="N47" s="2028">
        <f t="shared" si="175"/>
        <v>5.3E-3</v>
      </c>
      <c r="O47" s="2028"/>
      <c r="P47" s="2028">
        <f t="shared" si="189"/>
        <v>-1.2999999999999999E-3</v>
      </c>
      <c r="Q47" s="2903"/>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3"/>
      <c r="Y47" s="2028"/>
      <c r="Z47" s="2899">
        <f t="shared" si="191"/>
        <v>4.1000000000000003E-3</v>
      </c>
      <c r="AA47" s="2900">
        <f t="shared" si="191"/>
        <v>2.7000000000000001E-3</v>
      </c>
      <c r="AB47" s="2028">
        <f t="shared" si="191"/>
        <v>7.9000000000000008E-3</v>
      </c>
      <c r="AC47" s="2901"/>
      <c r="AD47" s="2028">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5" customFormat="1" ht="13.2">
      <c r="A48" s="2902" t="s">
        <v>2831</v>
      </c>
      <c r="B48" s="2031">
        <v>2022</v>
      </c>
      <c r="C48" s="2042">
        <v>1</v>
      </c>
      <c r="D48" s="2007"/>
      <c r="E48" s="2007">
        <v>0.6</v>
      </c>
      <c r="F48" s="2007">
        <v>0.45</v>
      </c>
      <c r="G48" s="2007">
        <v>0.53</v>
      </c>
      <c r="H48" s="2914"/>
      <c r="I48" s="2008">
        <f t="shared" si="174"/>
        <v>0.45</v>
      </c>
      <c r="J48" s="2903"/>
      <c r="K48" s="2043"/>
      <c r="L48" s="2028">
        <f t="shared" si="175"/>
        <v>6.0000000000000001E-3</v>
      </c>
      <c r="M48" s="2028">
        <f t="shared" si="175"/>
        <v>4.5000000000000005E-3</v>
      </c>
      <c r="N48" s="2028">
        <f t="shared" si="175"/>
        <v>5.3E-3</v>
      </c>
      <c r="O48" s="2028"/>
      <c r="P48" s="2028">
        <f t="shared" si="189"/>
        <v>4.5000000000000005E-3</v>
      </c>
      <c r="Q48" s="2903"/>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3"/>
      <c r="Y48" s="2028"/>
      <c r="Z48" s="2899">
        <f t="shared" si="191"/>
        <v>5.1000000000000004E-3</v>
      </c>
      <c r="AA48" s="2900">
        <f t="shared" si="191"/>
        <v>3.5000000000000001E-3</v>
      </c>
      <c r="AB48" s="2028">
        <f t="shared" si="191"/>
        <v>8.3999999999999995E-3</v>
      </c>
      <c r="AC48" s="2901"/>
      <c r="AD48" s="2028">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5" customFormat="1" ht="13.2">
      <c r="A49" s="2902" t="s">
        <v>2832</v>
      </c>
      <c r="B49" s="2031">
        <v>2021</v>
      </c>
      <c r="C49" s="2042">
        <v>4</v>
      </c>
      <c r="D49" s="2007"/>
      <c r="E49" s="2007">
        <v>0.57999999999999996</v>
      </c>
      <c r="F49" s="2007">
        <v>0.08</v>
      </c>
      <c r="G49" s="2007">
        <v>0.68</v>
      </c>
      <c r="H49" s="2914"/>
      <c r="I49" s="2008">
        <f t="shared" si="174"/>
        <v>0.08</v>
      </c>
      <c r="J49" s="2903"/>
      <c r="K49" s="2043"/>
      <c r="L49" s="2028">
        <f t="shared" si="175"/>
        <v>5.7999999999999996E-3</v>
      </c>
      <c r="M49" s="2028">
        <f t="shared" si="175"/>
        <v>8.0000000000000004E-4</v>
      </c>
      <c r="N49" s="2028">
        <f t="shared" si="175"/>
        <v>6.8000000000000005E-3</v>
      </c>
      <c r="O49" s="2028"/>
      <c r="P49" s="2028">
        <f t="shared" si="189"/>
        <v>8.0000000000000004E-4</v>
      </c>
      <c r="Q49" s="2903"/>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3"/>
      <c r="Y49" s="2028"/>
      <c r="Z49" s="2899">
        <f t="shared" si="191"/>
        <v>4.8999999999999998E-3</v>
      </c>
      <c r="AA49" s="2900">
        <f t="shared" si="191"/>
        <v>3.3E-3</v>
      </c>
      <c r="AB49" s="2028">
        <f t="shared" si="191"/>
        <v>9.1999999999999998E-3</v>
      </c>
      <c r="AC49" s="2901"/>
      <c r="AD49" s="2028">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5" customFormat="1" ht="13.2">
      <c r="A50" s="2902" t="s">
        <v>2833</v>
      </c>
      <c r="B50" s="2031">
        <v>2021</v>
      </c>
      <c r="C50" s="2042">
        <v>3</v>
      </c>
      <c r="D50" s="2007"/>
      <c r="E50" s="2007">
        <v>0.47</v>
      </c>
      <c r="F50" s="2007">
        <v>0.28000000000000003</v>
      </c>
      <c r="G50" s="2007">
        <v>0.91</v>
      </c>
      <c r="H50" s="2914"/>
      <c r="I50" s="2008">
        <f t="shared" si="174"/>
        <v>0.28000000000000003</v>
      </c>
      <c r="J50" s="2903"/>
      <c r="K50" s="2043"/>
      <c r="L50" s="2028">
        <f t="shared" si="175"/>
        <v>4.6999999999999993E-3</v>
      </c>
      <c r="M50" s="2028">
        <f t="shared" si="175"/>
        <v>2.8000000000000004E-3</v>
      </c>
      <c r="N50" s="2028">
        <f t="shared" si="175"/>
        <v>9.1000000000000004E-3</v>
      </c>
      <c r="O50" s="2028"/>
      <c r="P50" s="2028">
        <f t="shared" si="189"/>
        <v>2.8000000000000004E-3</v>
      </c>
      <c r="Q50" s="2903"/>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3"/>
      <c r="Y50" s="2028"/>
      <c r="Z50" s="2899">
        <f t="shared" si="191"/>
        <v>4.5999999999999999E-3</v>
      </c>
      <c r="AA50" s="2900">
        <f t="shared" si="191"/>
        <v>4.1000000000000003E-3</v>
      </c>
      <c r="AB50" s="2028">
        <f t="shared" si="191"/>
        <v>0.01</v>
      </c>
      <c r="AC50" s="2901"/>
      <c r="AD50" s="2028">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5" customFormat="1" ht="13.2">
      <c r="A51" s="2902" t="s">
        <v>2834</v>
      </c>
      <c r="B51" s="2031">
        <v>2021</v>
      </c>
      <c r="C51" s="2042">
        <v>2</v>
      </c>
      <c r="D51" s="2007"/>
      <c r="E51" s="2007">
        <v>0.55000000000000004</v>
      </c>
      <c r="F51" s="2007">
        <v>0.46</v>
      </c>
      <c r="G51" s="2007">
        <v>1.1000000000000001</v>
      </c>
      <c r="H51" s="2914"/>
      <c r="I51" s="2008">
        <f t="shared" si="174"/>
        <v>0.46</v>
      </c>
      <c r="J51" s="2903"/>
      <c r="K51" s="2043"/>
      <c r="L51" s="2028">
        <f t="shared" si="175"/>
        <v>5.5000000000000005E-3</v>
      </c>
      <c r="M51" s="2028">
        <f t="shared" si="175"/>
        <v>4.5999999999999999E-3</v>
      </c>
      <c r="N51" s="2028">
        <f t="shared" si="175"/>
        <v>1.1000000000000001E-2</v>
      </c>
      <c r="O51" s="2028"/>
      <c r="P51" s="2028">
        <f t="shared" si="189"/>
        <v>4.5999999999999999E-3</v>
      </c>
      <c r="Q51" s="2903"/>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3"/>
      <c r="Y51" s="2028"/>
      <c r="Z51" s="2899">
        <f t="shared" si="191"/>
        <v>4.4999999999999997E-3</v>
      </c>
      <c r="AA51" s="2900">
        <f t="shared" si="191"/>
        <v>4.7000000000000002E-3</v>
      </c>
      <c r="AB51" s="2028">
        <f t="shared" si="191"/>
        <v>1.04E-2</v>
      </c>
      <c r="AC51" s="2901"/>
      <c r="AD51" s="2028">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48" t="s">
        <v>2835</v>
      </c>
      <c r="B1" s="3548"/>
      <c r="C1" s="3548"/>
      <c r="D1" s="3548"/>
      <c r="E1" s="3548"/>
      <c r="F1" s="3548"/>
      <c r="G1" s="3549"/>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46"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47"/>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928</v>
      </c>
      <c r="B2" s="3233" t="s">
        <v>929</v>
      </c>
      <c r="C2" s="3233" t="s">
        <v>930</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6">
      <c r="A3" s="3228"/>
      <c r="B3" s="3228"/>
      <c r="C3" s="3228"/>
      <c r="D3" s="801" t="s">
        <v>925</v>
      </c>
      <c r="E3" s="801" t="s">
        <v>931</v>
      </c>
      <c r="F3" s="801" t="s">
        <v>925</v>
      </c>
      <c r="G3" s="801" t="s">
        <v>926</v>
      </c>
      <c r="H3" s="801" t="s">
        <v>925</v>
      </c>
      <c r="I3" s="801" t="s">
        <v>926</v>
      </c>
    </row>
    <row r="4" spans="1:9" ht="30">
      <c r="A4" s="1403" t="str">
        <f>项目基本情况!S2</f>
        <v>北京市朝阳区建国门外大街甲6号1幢房地产</v>
      </c>
      <c r="B4" s="801">
        <f>项目基本情况!C17</f>
        <v>49267.189999999995</v>
      </c>
      <c r="C4" s="801">
        <f>项目基本情况!C18</f>
        <v>3497.08</v>
      </c>
      <c r="D4" s="801">
        <f ca="1">结果表!D118</f>
        <v>221224</v>
      </c>
      <c r="E4" s="801">
        <f ca="1">结果表!E118</f>
        <v>44903</v>
      </c>
      <c r="F4" s="801">
        <f ca="1">结果表!F118</f>
        <v>67958</v>
      </c>
      <c r="G4" s="801">
        <f ca="1">结果表!G118</f>
        <v>13794</v>
      </c>
      <c r="H4" s="801">
        <f ca="1">结果表!H118</f>
        <v>289182</v>
      </c>
      <c r="I4" s="801">
        <f ca="1">结果表!I118</f>
        <v>58697</v>
      </c>
    </row>
    <row r="5" spans="1:9" ht="30" customHeight="1">
      <c r="A5" s="3228" t="s">
        <v>927</v>
      </c>
      <c r="B5" s="3228"/>
      <c r="C5" s="3228"/>
      <c r="D5" s="3228" t="str">
        <f ca="1">结果表!D119</f>
        <v>贰拾贰亿壹仟贰佰贰拾肆万元整</v>
      </c>
      <c r="E5" s="3228"/>
      <c r="F5" s="3228" t="str">
        <f ca="1">结果表!F119</f>
        <v>陆亿柒仟玖佰伍拾捌万元整</v>
      </c>
      <c r="G5" s="3228"/>
      <c r="H5" s="3228" t="str">
        <f ca="1">结果表!H119</f>
        <v>贰拾捌亿玖仟壹佰捌拾贰万元整</v>
      </c>
      <c r="I5" s="3228"/>
    </row>
    <row r="6" spans="1:9" ht="15.6">
      <c r="A6" s="3227" t="str">
        <f>结果表!A120</f>
        <v>估价师知悉的法定优先受偿款</v>
      </c>
      <c r="B6" s="3227"/>
      <c r="C6" s="3227"/>
      <c r="D6" s="3227">
        <f>结果表!D120</f>
        <v>0</v>
      </c>
      <c r="E6" s="3227"/>
      <c r="F6" s="3227"/>
      <c r="G6" s="3227"/>
      <c r="H6" s="3227"/>
      <c r="I6" s="3227"/>
    </row>
    <row r="7" spans="1:9" ht="15">
      <c r="A7" s="3228" t="s">
        <v>927</v>
      </c>
      <c r="B7" s="3228"/>
      <c r="C7" s="3228"/>
      <c r="D7" s="3229" t="str">
        <f>结果表!D121</f>
        <v>零元整</v>
      </c>
      <c r="E7" s="3230"/>
      <c r="F7" s="3230"/>
      <c r="G7" s="3230"/>
      <c r="H7" s="3230"/>
      <c r="I7" s="3231"/>
    </row>
    <row r="8" spans="1:9" ht="15.6">
      <c r="A8" s="3227" t="str">
        <f>结果表!A122</f>
        <v>房地产抵押价值</v>
      </c>
      <c r="B8" s="3227"/>
      <c r="C8" s="3227"/>
      <c r="D8" s="3227">
        <f ca="1">结果表!D122</f>
        <v>289182</v>
      </c>
      <c r="E8" s="3227"/>
      <c r="F8" s="3227"/>
      <c r="G8" s="3227"/>
      <c r="H8" s="3227"/>
      <c r="I8" s="3227"/>
    </row>
    <row r="9" spans="1:9" ht="15">
      <c r="A9" s="3228" t="s">
        <v>927</v>
      </c>
      <c r="B9" s="3228"/>
      <c r="C9" s="3228"/>
      <c r="D9" s="3228" t="str">
        <f ca="1">结果表!D123</f>
        <v>贰拾捌亿玖仟壹佰捌拾贰万元整</v>
      </c>
      <c r="E9" s="3228"/>
      <c r="F9" s="3228"/>
      <c r="G9" s="3228"/>
      <c r="H9" s="3228"/>
      <c r="I9" s="3228"/>
    </row>
    <row r="10" spans="1:9" ht="15.6">
      <c r="A10" s="3227" t="str">
        <f>结果表!A124</f>
        <v/>
      </c>
      <c r="B10" s="3227"/>
      <c r="C10" s="3227"/>
      <c r="D10" s="3227" t="str">
        <f>结果表!D124</f>
        <v>——</v>
      </c>
      <c r="E10" s="3227"/>
      <c r="F10" s="3227"/>
      <c r="G10" s="3227"/>
      <c r="H10" s="3227"/>
      <c r="I10" s="3227"/>
    </row>
    <row r="11" spans="1:9" ht="15">
      <c r="A11" s="3228" t="s">
        <v>927</v>
      </c>
      <c r="B11" s="3228"/>
      <c r="C11" s="3228"/>
      <c r="D11" s="3228" t="e">
        <f>结果表!D125</f>
        <v>#VALUE!</v>
      </c>
      <c r="E11" s="3228"/>
      <c r="F11" s="3228"/>
      <c r="G11" s="3228"/>
      <c r="H11" s="3228"/>
      <c r="I11" s="3228"/>
    </row>
    <row r="12" spans="1:9" ht="15.6">
      <c r="A12" s="3227" t="str">
        <f>结果表!A126</f>
        <v>抵押净值</v>
      </c>
      <c r="B12" s="3227"/>
      <c r="C12" s="3227"/>
      <c r="D12" s="3227">
        <f ca="1">结果表!D126</f>
        <v>109937</v>
      </c>
      <c r="E12" s="3227"/>
      <c r="F12" s="3227"/>
      <c r="G12" s="3227"/>
      <c r="H12" s="3227"/>
      <c r="I12" s="3227"/>
    </row>
    <row r="13" spans="1:9" ht="15.6" thickBot="1">
      <c r="A13" s="3225" t="s">
        <v>927</v>
      </c>
      <c r="B13" s="3225"/>
      <c r="C13" s="3225"/>
      <c r="D13" s="3225" t="str">
        <f ca="1">结果表!D127</f>
        <v>壹拾亿玖仟玖佰叁拾柒万元整</v>
      </c>
      <c r="E13" s="3225"/>
      <c r="F13" s="3225"/>
      <c r="G13" s="3225"/>
      <c r="H13" s="3225"/>
      <c r="I13" s="3225"/>
    </row>
    <row r="14" spans="1:9" ht="14.4" thickTop="1">
      <c r="A14" s="3226" t="s">
        <v>932</v>
      </c>
      <c r="B14" s="3226"/>
      <c r="C14" s="3226"/>
      <c r="D14" s="3226"/>
      <c r="E14" s="3226"/>
      <c r="F14" s="3226"/>
      <c r="G14" s="3226"/>
      <c r="H14" s="3226"/>
      <c r="I14" s="322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0" t="s">
        <v>949</v>
      </c>
      <c r="B1" s="3240"/>
      <c r="C1" s="3240"/>
      <c r="D1" s="3240"/>
    </row>
    <row r="2" spans="1:4" ht="17.399999999999999">
      <c r="A2" s="3241" t="s">
        <v>933</v>
      </c>
      <c r="B2" s="3241"/>
      <c r="C2" s="3241"/>
      <c r="D2" s="3241"/>
    </row>
    <row r="3" spans="1:4" ht="17.399999999999999">
      <c r="A3" s="1407" t="s">
        <v>934</v>
      </c>
      <c r="B3" s="1407" t="s">
        <v>935</v>
      </c>
      <c r="C3" s="1407" t="s">
        <v>936</v>
      </c>
      <c r="D3" s="1407" t="s">
        <v>937</v>
      </c>
    </row>
    <row r="4" spans="1:4" ht="56.25" customHeight="1">
      <c r="A4" s="1408" t="str">
        <f>项目基本情况!B4</f>
        <v>梁津</v>
      </c>
      <c r="B4" s="1409">
        <f ca="1">项目基本情况!C4</f>
        <v>1119970066</v>
      </c>
      <c r="C4" s="1410"/>
      <c r="D4" s="1411" t="s">
        <v>938</v>
      </c>
    </row>
    <row r="5" spans="1:4" ht="56.25" customHeight="1">
      <c r="A5" s="1408" t="str">
        <f>项目基本情况!D4</f>
        <v>郑燚</v>
      </c>
      <c r="B5" s="1409">
        <f ca="1">项目基本情况!E4</f>
        <v>1120070131</v>
      </c>
      <c r="C5" s="1412"/>
      <c r="D5" s="1411" t="s">
        <v>938</v>
      </c>
    </row>
    <row r="6" spans="1:4" ht="17.399999999999999">
      <c r="A6" s="3241" t="s">
        <v>939</v>
      </c>
      <c r="B6" s="3241"/>
      <c r="C6" s="3241"/>
      <c r="D6" s="324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2" t="s">
        <v>942</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4" t="str">
        <f>IF(项目基本情况!B8="抵押","4.本次评估估价师所知悉的法定优先受偿款情况说明如下：","——")</f>
        <v>4.本次评估估价师所知悉的法定优先受偿款情况说明如下：</v>
      </c>
      <c r="B14" s="3239"/>
      <c r="C14" s="3239"/>
      <c r="D14" s="3239"/>
    </row>
    <row r="15" spans="1:4" ht="42" customHeight="1">
      <c r="A15" s="3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6" t="s">
        <v>943</v>
      </c>
      <c r="B16" s="3236"/>
      <c r="C16" s="3236"/>
      <c r="D16" s="3236"/>
    </row>
    <row r="17" spans="1:4" ht="144" customHeight="1">
      <c r="A17" s="3236" t="s">
        <v>944</v>
      </c>
      <c r="B17" s="3236"/>
      <c r="C17" s="3236"/>
      <c r="D17" s="3236"/>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7"/>
      <c r="C21" s="3237"/>
      <c r="D21" s="3237"/>
    </row>
    <row r="22" spans="1:4" ht="18.75" customHeight="1">
      <c r="A22" s="3238" t="s">
        <v>945</v>
      </c>
      <c r="B22" s="3238"/>
      <c r="C22" s="3238"/>
      <c r="D22" s="323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5">
        <v>42551</v>
      </c>
      <c r="D31" s="32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8" t="s">
        <v>956</v>
      </c>
      <c r="B15" s="3243" t="s">
        <v>109</v>
      </c>
      <c r="C15" s="3244"/>
    </row>
    <row r="16" spans="1:7" ht="14.4">
      <c r="A16" s="3249"/>
      <c r="B16" s="3243" t="s">
        <v>42</v>
      </c>
      <c r="C16" s="3244"/>
    </row>
    <row r="17" spans="1:3" ht="14.4">
      <c r="A17" s="3249"/>
      <c r="B17" s="3246" t="s">
        <v>957</v>
      </c>
      <c r="C17" s="1429" t="s">
        <v>956</v>
      </c>
    </row>
    <row r="18" spans="1:3" ht="14.4">
      <c r="A18" s="3249"/>
      <c r="B18" s="3246"/>
      <c r="C18" s="1429" t="s">
        <v>958</v>
      </c>
    </row>
    <row r="19" spans="1:3" ht="14.4">
      <c r="A19" s="3249"/>
      <c r="B19" s="3246"/>
      <c r="C19" s="1429" t="s">
        <v>959</v>
      </c>
    </row>
    <row r="20" spans="1:3" ht="14.4">
      <c r="A20" s="3250"/>
      <c r="B20" s="3245" t="s">
        <v>960</v>
      </c>
      <c r="C20" s="3244"/>
    </row>
    <row r="21" spans="1:3" ht="14.4">
      <c r="A21" s="1430" t="s">
        <v>961</v>
      </c>
      <c r="B21" s="1431"/>
      <c r="C21" s="1432"/>
    </row>
    <row r="22" spans="1:3" ht="14.4">
      <c r="A22" s="3247" t="s">
        <v>962</v>
      </c>
      <c r="B22" s="3245" t="s">
        <v>963</v>
      </c>
      <c r="C22" s="3244"/>
    </row>
    <row r="23" spans="1:3" ht="14.4">
      <c r="A23" s="3247"/>
      <c r="B23" s="3245" t="s">
        <v>964</v>
      </c>
      <c r="C23" s="3244"/>
    </row>
    <row r="24" spans="1:3" ht="14.4">
      <c r="A24" s="3247"/>
      <c r="B24" s="3245" t="s">
        <v>965</v>
      </c>
      <c r="C24" s="3244"/>
    </row>
    <row r="25" spans="1:3" ht="14.4">
      <c r="A25" s="3247"/>
      <c r="B25" s="3246" t="s">
        <v>966</v>
      </c>
      <c r="C25" s="1429" t="s">
        <v>967</v>
      </c>
    </row>
    <row r="26" spans="1:3" ht="14.4">
      <c r="A26" s="3247"/>
      <c r="B26" s="3246"/>
      <c r="C26" s="1429" t="s">
        <v>968</v>
      </c>
    </row>
    <row r="27" spans="1:3" ht="14.4">
      <c r="A27" s="3247"/>
      <c r="B27" s="3246"/>
      <c r="C27" s="1429" t="s">
        <v>969</v>
      </c>
    </row>
    <row r="28" spans="1:3" ht="14.4">
      <c r="A28" s="3247"/>
      <c r="B28" s="3246"/>
      <c r="C28" s="1429" t="s">
        <v>970</v>
      </c>
    </row>
    <row r="29" spans="1:3" ht="14.4">
      <c r="A29" s="3247"/>
      <c r="B29" s="3246"/>
      <c r="C29" s="1429" t="s">
        <v>971</v>
      </c>
    </row>
    <row r="30" spans="1:3" ht="14.4">
      <c r="A30" s="3247"/>
      <c r="B30" s="3246"/>
      <c r="C30" s="1429" t="s">
        <v>972</v>
      </c>
    </row>
    <row r="31" spans="1:3" ht="14.4">
      <c r="A31" s="3247"/>
      <c r="B31" s="3246"/>
      <c r="C31" s="1429" t="s">
        <v>973</v>
      </c>
    </row>
    <row r="32" spans="1:3" ht="14.4">
      <c r="A32" s="3247"/>
      <c r="B32" s="3246"/>
      <c r="C32" s="1429" t="s">
        <v>974</v>
      </c>
    </row>
    <row r="33" spans="1:3" ht="14.4">
      <c r="A33" s="3247"/>
      <c r="B33" s="324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1" t="s">
        <v>2160</v>
      </c>
      <c r="B17" s="3251"/>
      <c r="C17" s="3251"/>
      <c r="D17" s="3251"/>
      <c r="E17" s="3251"/>
      <c r="F17" s="3251"/>
      <c r="G17" s="3251"/>
      <c r="H17" s="3251"/>
    </row>
    <row r="18" spans="1:8" ht="24" customHeight="1">
      <c r="A18" s="3252" t="s">
        <v>2161</v>
      </c>
      <c r="B18" s="3252"/>
      <c r="C18" s="3252"/>
      <c r="D18" s="2160"/>
      <c r="E18" s="3253" t="s">
        <v>2162</v>
      </c>
      <c r="F18" s="3252"/>
      <c r="G18" s="325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2025-05-27T05:06:10Z</dcterms:modified>
</cp:coreProperties>
</file>