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吴姐中行复估\"/>
    </mc:Choice>
  </mc:AlternateContent>
  <xr:revisionPtr revIDLastSave="0" documentId="13_ncr:1_{11600465-DEBA-4AA7-AA2E-B2B267941791}"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信息"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3" i="80" l="1"/>
  <c r="R4" i="80"/>
  <c r="R5" i="80"/>
  <c r="R6" i="80"/>
  <c r="R7" i="80"/>
  <c r="R8" i="80"/>
  <c r="R9" i="80"/>
  <c r="R2" i="80"/>
  <c r="E14" i="74"/>
  <c r="D14" i="74"/>
  <c r="B14" i="74"/>
  <c r="G14" i="74"/>
  <c r="B19" i="80"/>
  <c r="G10" i="80"/>
  <c r="S3" i="80"/>
  <c r="S4" i="80"/>
  <c r="S5" i="80"/>
  <c r="S6" i="80"/>
  <c r="S7" i="80"/>
  <c r="S8" i="80"/>
  <c r="S9" i="80"/>
  <c r="S2" i="80"/>
  <c r="P3" i="80"/>
  <c r="P4" i="80"/>
  <c r="P5" i="80"/>
  <c r="P6" i="80"/>
  <c r="P7" i="80"/>
  <c r="P8" i="80"/>
  <c r="P9" i="80"/>
  <c r="P2" i="80"/>
  <c r="O3" i="80"/>
  <c r="O4" i="80"/>
  <c r="O5" i="80"/>
  <c r="O6" i="80"/>
  <c r="O7" i="80"/>
  <c r="O8" i="80"/>
  <c r="O9" i="80"/>
  <c r="O2" i="80"/>
  <c r="N10" i="80"/>
  <c r="B58" i="1"/>
  <c r="Y6" i="1"/>
  <c r="B21" i="1"/>
  <c r="N18" i="1"/>
  <c r="N19" i="1" s="1"/>
  <c r="N6" i="1" s="1"/>
  <c r="J49" i="67"/>
  <c r="E104" i="33"/>
  <c r="F104" i="33" s="1"/>
  <c r="G104" i="33" s="1"/>
  <c r="H104" i="33" s="1"/>
  <c r="I104" i="33" s="1"/>
  <c r="J104" i="33" s="1"/>
  <c r="D104" i="33"/>
  <c r="I36" i="33"/>
  <c r="G36" i="33"/>
  <c r="E36" i="33"/>
  <c r="I14" i="3"/>
  <c r="I15" i="3"/>
  <c r="I16" i="3"/>
  <c r="I17" i="3"/>
  <c r="I18" i="3"/>
  <c r="I19" i="3"/>
  <c r="I20" i="3"/>
  <c r="I13" i="3"/>
  <c r="C14" i="3"/>
  <c r="C15" i="3"/>
  <c r="C16" i="3"/>
  <c r="C17" i="3"/>
  <c r="C18" i="3"/>
  <c r="C19" i="3"/>
  <c r="C20" i="3"/>
  <c r="C13" i="3"/>
  <c r="C19" i="6" s="1"/>
  <c r="D13" i="4"/>
  <c r="D60" i="78" l="1"/>
  <c r="C60" i="78"/>
  <c r="D53" i="78"/>
  <c r="D52" i="78"/>
  <c r="B51" i="78"/>
  <c r="B56" i="78" s="1"/>
  <c r="B55" i="78" l="1"/>
  <c r="D55" i="78" s="1"/>
  <c r="D51" i="78"/>
  <c r="C51" i="78" s="1"/>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F38" i="71"/>
  <c r="F39" i="71" s="1"/>
  <c r="Q37" i="71"/>
  <c r="P37" i="71"/>
  <c r="O37" i="71"/>
  <c r="Y37" i="71" s="1"/>
  <c r="Z37" i="71" s="1"/>
  <c r="N37" i="71"/>
  <c r="B38" i="71" s="1"/>
  <c r="D37" i="71"/>
  <c r="Q36" i="71"/>
  <c r="P36" i="71"/>
  <c r="AA35" i="71" s="1"/>
  <c r="O36" i="71"/>
  <c r="N36" i="71"/>
  <c r="Q35" i="71"/>
  <c r="P35" i="71"/>
  <c r="O35" i="71"/>
  <c r="Y35" i="71"/>
  <c r="Z35" i="71" s="1"/>
  <c r="N35" i="71"/>
  <c r="Q34" i="71"/>
  <c r="AB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C34" i="71"/>
  <c r="D34" i="71" s="1"/>
  <c r="C35" i="71"/>
  <c r="C36" i="71" s="1"/>
  <c r="X36" i="71"/>
  <c r="C38" i="71"/>
  <c r="D38" i="71" s="1"/>
  <c r="AA38" i="71"/>
  <c r="Y26" i="71"/>
  <c r="Z26" i="71" s="1"/>
  <c r="B28" i="71"/>
  <c r="C31" i="71"/>
  <c r="C32" i="71" s="1"/>
  <c r="D30" i="71"/>
  <c r="C47" i="71"/>
  <c r="D47" i="71" s="1"/>
  <c r="D46" i="71"/>
  <c r="D50"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J29" i="39"/>
  <c r="AC29" i="39" s="1"/>
  <c r="J18" i="36"/>
  <c r="AC18" i="36" s="1"/>
  <c r="H18" i="35"/>
  <c r="AB18" i="35" s="1"/>
  <c r="J18" i="35"/>
  <c r="W18" i="35" s="1"/>
  <c r="H21" i="37"/>
  <c r="F21" i="37"/>
  <c r="F84" i="34"/>
  <c r="H21" i="34"/>
  <c r="AB21" i="34" s="1"/>
  <c r="H21" i="33"/>
  <c r="U21" i="33" s="1"/>
  <c r="F21" i="33"/>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s="1"/>
  <c r="AB13" i="21" s="1"/>
  <c r="B70" i="21"/>
  <c r="F12" i="21" s="1"/>
  <c r="C19" i="21"/>
  <c r="C17" i="21"/>
  <c r="C23" i="21"/>
  <c r="Q9" i="21"/>
  <c r="Z9" i="21" s="1"/>
  <c r="Q10" i="21"/>
  <c r="Z10" i="21" s="1"/>
  <c r="Q11" i="21"/>
  <c r="Z11" i="21" s="1"/>
  <c r="Q12" i="21"/>
  <c r="Z12" i="2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s="1"/>
  <c r="J39" i="21"/>
  <c r="AC39" i="21" s="1"/>
  <c r="Q39" i="21"/>
  <c r="Z39" i="2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J35" i="39"/>
  <c r="AC35" i="39" s="1"/>
  <c r="F35" i="39"/>
  <c r="AA35" i="39"/>
  <c r="J36" i="39"/>
  <c r="AC36" i="39" s="1"/>
  <c r="U9" i="39"/>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J35" i="34"/>
  <c r="U34" i="34"/>
  <c r="H39" i="33"/>
  <c r="AB39" i="33"/>
  <c r="F26" i="33"/>
  <c r="AA26" i="33" s="1"/>
  <c r="U35" i="33"/>
  <c r="S40" i="33"/>
  <c r="W39" i="33"/>
  <c r="H39" i="37"/>
  <c r="AB39" i="37"/>
  <c r="F11" i="40"/>
  <c r="AA11" i="40"/>
  <c r="H11" i="40"/>
  <c r="AB11" i="40" s="1"/>
  <c r="W8" i="40"/>
  <c r="AA9" i="40"/>
  <c r="U9" i="40"/>
  <c r="S34" i="40"/>
  <c r="U38" i="40"/>
  <c r="W31" i="40"/>
  <c r="F42" i="39"/>
  <c r="AA42" i="39" s="1"/>
  <c r="F41" i="39"/>
  <c r="H40" i="39"/>
  <c r="AB40" i="39" s="1"/>
  <c r="H39" i="39"/>
  <c r="U39" i="39" s="1"/>
  <c r="S38" i="39"/>
  <c r="S34" i="39"/>
  <c r="H34" i="39"/>
  <c r="U34" i="39" s="1"/>
  <c r="E108" i="39"/>
  <c r="F31" i="39"/>
  <c r="AA31" i="39" s="1"/>
  <c r="E100" i="39"/>
  <c r="H19" i="39"/>
  <c r="AB19" i="39" s="1"/>
  <c r="F19" i="39"/>
  <c r="AA19" i="39" s="1"/>
  <c r="H17" i="39"/>
  <c r="AB17" i="39" s="1"/>
  <c r="F17" i="39"/>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c r="AB8" i="39"/>
  <c r="AB12" i="35"/>
  <c r="AB12" i="36"/>
  <c r="W32" i="40"/>
  <c r="S44" i="39"/>
  <c r="J34" i="36"/>
  <c r="W34" i="36" s="1"/>
  <c r="U30" i="36"/>
  <c r="J30" i="35"/>
  <c r="W30" i="35" s="1"/>
  <c r="H30" i="35"/>
  <c r="AB30" i="35" s="1"/>
  <c r="F22" i="35"/>
  <c r="AA22" i="35"/>
  <c r="H10" i="35"/>
  <c r="U10" i="35" s="1"/>
  <c r="W30" i="36"/>
  <c r="H16" i="36"/>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S19" i="34" s="1"/>
  <c r="H17" i="34"/>
  <c r="F15" i="34"/>
  <c r="AA15" i="34" s="1"/>
  <c r="J15" i="34"/>
  <c r="W15" i="34" s="1"/>
  <c r="H15" i="34"/>
  <c r="J28" i="34"/>
  <c r="W28" i="34"/>
  <c r="F41" i="33"/>
  <c r="AA41" i="33" s="1"/>
  <c r="S38" i="33"/>
  <c r="E113" i="33"/>
  <c r="F32" i="33"/>
  <c r="AA32" i="33" s="1"/>
  <c r="J19" i="33"/>
  <c r="AC19" i="33"/>
  <c r="J15" i="33"/>
  <c r="AC15" i="33" s="1"/>
  <c r="F11" i="33"/>
  <c r="AA11" i="33" s="1"/>
  <c r="S26" i="33"/>
  <c r="U40" i="33"/>
  <c r="F37" i="40"/>
  <c r="AA37" i="40" s="1"/>
  <c r="F36" i="40"/>
  <c r="AA36" i="40" s="1"/>
  <c r="H28" i="40"/>
  <c r="F23" i="40"/>
  <c r="AA23" i="40" s="1"/>
  <c r="F17" i="40"/>
  <c r="AA17" i="40" s="1"/>
  <c r="J17" i="40"/>
  <c r="F15" i="40"/>
  <c r="S15" i="40" s="1"/>
  <c r="H15" i="40"/>
  <c r="AB15" i="40"/>
  <c r="AC11" i="40"/>
  <c r="AA12" i="36"/>
  <c r="AB30" i="36"/>
  <c r="F29" i="35"/>
  <c r="H29" i="35"/>
  <c r="AB29" i="35" s="1"/>
  <c r="H33" i="37"/>
  <c r="F33" i="37"/>
  <c r="AA33" i="37" s="1"/>
  <c r="U34" i="37"/>
  <c r="S34" i="37"/>
  <c r="AA34" i="37"/>
  <c r="J43" i="34"/>
  <c r="AB42" i="34"/>
  <c r="J40" i="34"/>
  <c r="H38" i="34"/>
  <c r="AB38" i="34" s="1"/>
  <c r="J36" i="34"/>
  <c r="H37" i="34"/>
  <c r="U37" i="34" s="1"/>
  <c r="H25" i="34"/>
  <c r="AB25" i="34" s="1"/>
  <c r="J25" i="34"/>
  <c r="AC25" i="34" s="1"/>
  <c r="AB23" i="34"/>
  <c r="F23" i="34"/>
  <c r="AA23" i="34" s="1"/>
  <c r="J19" i="34"/>
  <c r="AC19" i="34" s="1"/>
  <c r="F17" i="34"/>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c r="H28" i="21"/>
  <c r="AB28" i="21" s="1"/>
  <c r="F28" i="21"/>
  <c r="J28" i="21"/>
  <c r="W28" i="21" s="1"/>
  <c r="H30" i="21"/>
  <c r="AB30" i="21" s="1"/>
  <c r="U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J44" i="33"/>
  <c r="F44" i="33"/>
  <c r="S44" i="33" s="1"/>
  <c r="J46" i="33"/>
  <c r="AC46" i="33"/>
  <c r="F46" i="33"/>
  <c r="AA46" i="33" s="1"/>
  <c r="H46" i="33"/>
  <c r="AB46" i="33"/>
  <c r="H13" i="34"/>
  <c r="U13" i="34" s="1"/>
  <c r="J13" i="34"/>
  <c r="W13" i="34"/>
  <c r="F13" i="34"/>
  <c r="AA13" i="34" s="1"/>
  <c r="J29" i="34"/>
  <c r="W29" i="34" s="1"/>
  <c r="F29" i="34"/>
  <c r="S29" i="34"/>
  <c r="H29" i="34"/>
  <c r="AB29" i="34" s="1"/>
  <c r="J31" i="34"/>
  <c r="H31" i="34"/>
  <c r="F31" i="34"/>
  <c r="S31" i="34"/>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J28" i="37"/>
  <c r="AC28" i="37"/>
  <c r="H28" i="37"/>
  <c r="H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A44" i="33"/>
  <c r="U46" i="33"/>
  <c r="J36" i="37"/>
  <c r="AC36" i="37"/>
  <c r="J10" i="36"/>
  <c r="AC10" i="36" s="1"/>
  <c r="AB26" i="33"/>
  <c r="S11" i="36"/>
  <c r="AA14" i="34"/>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AZ554" i="3" s="1"/>
  <c r="BL546" i="3"/>
  <c r="BL542" i="3"/>
  <c r="BL538" i="3"/>
  <c r="BL534" i="3"/>
  <c r="AZ534" i="3" s="1"/>
  <c r="BL530" i="3"/>
  <c r="BL526" i="3"/>
  <c r="BL522"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4" i="3"/>
  <c r="BA582" i="3"/>
  <c r="AZ582" i="3" s="1"/>
  <c r="BA580" i="3"/>
  <c r="AZ580" i="3" s="1"/>
  <c r="BA578" i="3"/>
  <c r="BA576" i="3"/>
  <c r="BA574" i="3"/>
  <c r="BA572" i="3"/>
  <c r="AZ572" i="3" s="1"/>
  <c r="BA570" i="3"/>
  <c r="AZ570" i="3" s="1"/>
  <c r="BA568" i="3"/>
  <c r="AZ568" i="3" s="1"/>
  <c r="BA566" i="3"/>
  <c r="AZ566"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BA528" i="3"/>
  <c r="BA526" i="3"/>
  <c r="AZ526" i="3" s="1"/>
  <c r="BA524" i="3"/>
  <c r="BA522" i="3"/>
  <c r="BA520" i="3"/>
  <c r="BA518" i="3"/>
  <c r="AZ518" i="3" s="1"/>
  <c r="BA516" i="3"/>
  <c r="BA514" i="3"/>
  <c r="BA512" i="3"/>
  <c r="AZ512" i="3"/>
  <c r="BA510" i="3"/>
  <c r="AZ510" i="3"/>
  <c r="BA508" i="3"/>
  <c r="AZ508" i="3" s="1"/>
  <c r="BA506" i="3"/>
  <c r="AZ506" i="3" s="1"/>
  <c r="BA504" i="3"/>
  <c r="AZ504" i="3"/>
  <c r="BA502" i="3"/>
  <c r="BA500" i="3"/>
  <c r="AZ500" i="3" s="1"/>
  <c r="BA498" i="3"/>
  <c r="BA496" i="3"/>
  <c r="BA494" i="3"/>
  <c r="AZ494" i="3" s="1"/>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L575" i="3" s="1"/>
  <c r="BQ573" i="3"/>
  <c r="BL573" i="3" s="1"/>
  <c r="BQ571" i="3"/>
  <c r="BL571" i="3"/>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H28" i="34"/>
  <c r="AB28" i="34" s="1"/>
  <c r="F14" i="36"/>
  <c r="AA14" i="36"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s="1"/>
  <c r="F31" i="40"/>
  <c r="S31" i="40" s="1"/>
  <c r="AA31" i="40"/>
  <c r="H31" i="40"/>
  <c r="U31" i="40" s="1"/>
  <c r="F32" i="40"/>
  <c r="S32" i="40"/>
  <c r="H32" i="40"/>
  <c r="AB32" i="40" s="1"/>
  <c r="J36" i="40"/>
  <c r="AC36" i="40" s="1"/>
  <c r="W36" i="40"/>
  <c r="H19" i="37"/>
  <c r="AB19" i="37" s="1"/>
  <c r="H42" i="33"/>
  <c r="AB42" i="33" s="1"/>
  <c r="J43" i="33"/>
  <c r="S28" i="31"/>
  <c r="S27" i="31"/>
  <c r="S26" i="31"/>
  <c r="U14" i="40"/>
  <c r="W23" i="35"/>
  <c r="U39" i="37"/>
  <c r="AA13" i="33"/>
  <c r="AC31" i="33"/>
  <c r="AC45" i="33"/>
  <c r="U19" i="21"/>
  <c r="AB38" i="21"/>
  <c r="F43" i="33"/>
  <c r="S43" i="33" s="1"/>
  <c r="AA43" i="33"/>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J15" i="37"/>
  <c r="W15" i="37"/>
  <c r="AT6" i="3"/>
  <c r="AA25" i="21"/>
  <c r="H19" i="40"/>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AZ144" i="3" s="1"/>
  <c r="G145" i="3"/>
  <c r="BA147" i="3"/>
  <c r="BL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76" i="3"/>
  <c r="AZ18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AZ16" i="3" s="1"/>
  <c r="BL303" i="3"/>
  <c r="AZ303" i="3" s="1"/>
  <c r="G304" i="3"/>
  <c r="BA306" i="3"/>
  <c r="BL307" i="3"/>
  <c r="AZ307" i="3" s="1"/>
  <c r="G308" i="3"/>
  <c r="BA310" i="3"/>
  <c r="AZ310" i="3"/>
  <c r="BL311" i="3"/>
  <c r="AZ311" i="3" s="1"/>
  <c r="G312" i="3"/>
  <c r="BA314" i="3"/>
  <c r="AZ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BL392" i="3"/>
  <c r="G393" i="3"/>
  <c r="BO5" i="3"/>
  <c r="BM5" i="3"/>
  <c r="F29" i="6" s="1"/>
  <c r="BJ5" i="3"/>
  <c r="BH5" i="3"/>
  <c r="BF5" i="3"/>
  <c r="BD5" i="3"/>
  <c r="AZ325" i="3"/>
  <c r="G548" i="3"/>
  <c r="G538" i="3"/>
  <c r="G520" i="3"/>
  <c r="G502" i="3"/>
  <c r="BS5" i="3"/>
  <c r="BP5" i="3"/>
  <c r="BN5" i="3"/>
  <c r="G29" i="6" s="1"/>
  <c r="BK5" i="3"/>
  <c r="BI5" i="3"/>
  <c r="BG5" i="3"/>
  <c r="BE5" i="3"/>
  <c r="BC5" i="3"/>
  <c r="G17" i="3"/>
  <c r="BA17" i="3"/>
  <c r="BT5" i="3"/>
  <c r="AZ356" i="3"/>
  <c r="BA15" i="3"/>
  <c r="BB5" i="3"/>
  <c r="BR5" i="3"/>
  <c r="AZ392" i="3"/>
  <c r="AZ499" i="3"/>
  <c r="G509" i="3"/>
  <c r="BL493" i="3"/>
  <c r="U36" i="40"/>
  <c r="F83" i="43"/>
  <c r="H85" i="43" s="1"/>
  <c r="F50" i="43"/>
  <c r="H54" i="43" s="1"/>
  <c r="F72" i="43"/>
  <c r="H75" i="43" s="1"/>
  <c r="U17" i="39"/>
  <c r="S14" i="35"/>
  <c r="U43" i="21"/>
  <c r="U35" i="21"/>
  <c r="AC35" i="21"/>
  <c r="AC11" i="39"/>
  <c r="AZ563"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c r="J27" i="40"/>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86" i="3"/>
  <c r="C40" i="11"/>
  <c r="AZ227" i="3"/>
  <c r="AZ235" i="3"/>
  <c r="AZ251"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C12" i="39"/>
  <c r="W12" i="39"/>
  <c r="AC39" i="40"/>
  <c r="W39" i="40"/>
  <c r="W12" i="33"/>
  <c r="AC12" i="33"/>
  <c r="AA32" i="36"/>
  <c r="S32" i="36"/>
  <c r="BL14" i="3"/>
  <c r="U30" i="33"/>
  <c r="AC13" i="34"/>
  <c r="W28" i="37"/>
  <c r="S19" i="39"/>
  <c r="F12" i="33"/>
  <c r="H12" i="39"/>
  <c r="AB12" i="39"/>
  <c r="F39" i="40"/>
  <c r="AA39" i="40" s="1"/>
  <c r="BA14" i="3"/>
  <c r="AZ367" i="3"/>
  <c r="AZ297"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5" i="40"/>
  <c r="AB27" i="40"/>
  <c r="S30" i="40"/>
  <c r="AA19" i="40"/>
  <c r="S28" i="40"/>
  <c r="AA27" i="40"/>
  <c r="U37" i="39"/>
  <c r="S43"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5" i="39"/>
  <c r="AA12" i="39"/>
  <c r="S9" i="39"/>
  <c r="U14" i="39"/>
  <c r="AC13" i="39"/>
  <c r="U12" i="39"/>
  <c r="S23" i="36"/>
  <c r="U13" i="36"/>
  <c r="U26" i="36"/>
  <c r="AA34" i="36"/>
  <c r="AC26" i="36"/>
  <c r="AA22" i="36"/>
  <c r="W14" i="36"/>
  <c r="AB14" i="36"/>
  <c r="U22" i="36"/>
  <c r="S16" i="36"/>
  <c r="AA25" i="36"/>
  <c r="S24" i="36"/>
  <c r="U24" i="36"/>
  <c r="U23" i="36"/>
  <c r="AB20" i="36"/>
  <c r="S14" i="36"/>
  <c r="AA25" i="35"/>
  <c r="S23" i="35"/>
  <c r="W24" i="35"/>
  <c r="AB13" i="35"/>
  <c r="U29" i="35"/>
  <c r="U28" i="35"/>
  <c r="AB27" i="35"/>
  <c r="U36" i="35"/>
  <c r="U32" i="35"/>
  <c r="AA33" i="35"/>
  <c r="AC30" i="35"/>
  <c r="S32" i="35"/>
  <c r="AA36" i="35"/>
  <c r="S28" i="35"/>
  <c r="AB16" i="35"/>
  <c r="U22" i="35"/>
  <c r="AC20" i="35"/>
  <c r="S22" i="35"/>
  <c r="U14" i="35"/>
  <c r="AA11" i="35"/>
  <c r="AC12" i="35"/>
  <c r="W13" i="35"/>
  <c r="AB40" i="37"/>
  <c r="AC29" i="37"/>
  <c r="U29" i="37"/>
  <c r="S32" i="37"/>
  <c r="W30" i="37"/>
  <c r="S36" i="37"/>
  <c r="AA38" i="37"/>
  <c r="W38" i="37"/>
  <c r="AC35" i="37"/>
  <c r="W39" i="37"/>
  <c r="S30" i="37"/>
  <c r="S37" i="37"/>
  <c r="AC15" i="37"/>
  <c r="J17" i="37"/>
  <c r="W17" i="37" s="1"/>
  <c r="F17" i="37"/>
  <c r="AB17" i="37"/>
  <c r="F75" i="37"/>
  <c r="F19" i="37"/>
  <c r="S19" i="37" s="1"/>
  <c r="F79" i="37"/>
  <c r="F23" i="37"/>
  <c r="U15" i="37"/>
  <c r="AC13" i="37"/>
  <c r="AA13" i="37"/>
  <c r="H10" i="37"/>
  <c r="AB10" i="37" s="1"/>
  <c r="F63" i="37"/>
  <c r="F11" i="37"/>
  <c r="S11" i="37" s="1"/>
  <c r="W25" i="34"/>
  <c r="AB8" i="34"/>
  <c r="AA33" i="34"/>
  <c r="U43" i="34"/>
  <c r="AC39" i="34"/>
  <c r="W41" i="34"/>
  <c r="AC42" i="34"/>
  <c r="AB35" i="34"/>
  <c r="U39" i="34"/>
  <c r="AA45" i="34"/>
  <c r="AA25" i="34"/>
  <c r="U28" i="34"/>
  <c r="AA29" i="34"/>
  <c r="U27" i="34"/>
  <c r="S23"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J32" i="33"/>
  <c r="S46" i="33"/>
  <c r="F91" i="33"/>
  <c r="G91" i="33" s="1"/>
  <c r="H91" i="33" s="1"/>
  <c r="I91" i="33" s="1"/>
  <c r="J91" i="33" s="1"/>
  <c r="K91" i="33" s="1"/>
  <c r="L91" i="33" s="1"/>
  <c r="M91" i="33" s="1"/>
  <c r="H27" i="33"/>
  <c r="AB27" i="33" s="1"/>
  <c r="F87" i="33"/>
  <c r="H25" i="33"/>
  <c r="F25" i="33"/>
  <c r="S25" i="33" s="1"/>
  <c r="J23" i="33"/>
  <c r="AC23" i="33" s="1"/>
  <c r="H23" i="33"/>
  <c r="F81" i="33"/>
  <c r="G81" i="33" s="1"/>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F34" i="67"/>
  <c r="F62" i="67" s="1"/>
  <c r="M20" i="67"/>
  <c r="F34" i="15"/>
  <c r="F62" i="15" s="1"/>
  <c r="G13" i="3"/>
  <c r="BA13" i="3"/>
  <c r="BL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W28" i="40"/>
  <c r="W34" i="40"/>
  <c r="W19" i="40"/>
  <c r="S36" i="40"/>
  <c r="W37" i="40"/>
  <c r="AC14" i="40"/>
  <c r="S13" i="40"/>
  <c r="S33" i="40"/>
  <c r="AA15" i="40"/>
  <c r="U11" i="40"/>
  <c r="AB13" i="40"/>
  <c r="U15" i="40"/>
  <c r="AB17" i="40"/>
  <c r="U8" i="40"/>
  <c r="S8" i="40"/>
  <c r="AA39" i="39"/>
  <c r="AC41" i="39"/>
  <c r="U42" i="39"/>
  <c r="W25" i="39"/>
  <c r="AC25" i="39"/>
  <c r="U13" i="39"/>
  <c r="AB13" i="39"/>
  <c r="AA13" i="39"/>
  <c r="S13" i="39"/>
  <c r="U43" i="39"/>
  <c r="AB43" i="39"/>
  <c r="AB11" i="39"/>
  <c r="U11" i="39"/>
  <c r="AA27" i="39"/>
  <c r="S27" i="39"/>
  <c r="W17" i="39"/>
  <c r="AC17" i="39"/>
  <c r="AA45" i="39"/>
  <c r="AB39" i="39"/>
  <c r="W34" i="39"/>
  <c r="U38" i="39"/>
  <c r="S8" i="39"/>
  <c r="S20" i="36"/>
  <c r="AC25" i="36"/>
  <c r="U32" i="36"/>
  <c r="W29" i="36"/>
  <c r="AC20" i="36"/>
  <c r="U25" i="36"/>
  <c r="AB28" i="36"/>
  <c r="AA13" i="36"/>
  <c r="W9" i="36"/>
  <c r="W22" i="36"/>
  <c r="AB20" i="35"/>
  <c r="AC25" i="35"/>
  <c r="U25" i="35"/>
  <c r="U24" i="35"/>
  <c r="S35" i="35"/>
  <c r="W35" i="35"/>
  <c r="AA35" i="37"/>
  <c r="W36" i="37"/>
  <c r="S27" i="37"/>
  <c r="W32" i="37"/>
  <c r="U36" i="37"/>
  <c r="S40" i="37"/>
  <c r="AB37" i="37"/>
  <c r="AC34" i="37"/>
  <c r="AB35" i="37"/>
  <c r="AA31" i="37"/>
  <c r="U19" i="37"/>
  <c r="AA29" i="37"/>
  <c r="U8" i="37"/>
  <c r="AA40" i="34"/>
  <c r="AB40" i="34"/>
  <c r="U19" i="34"/>
  <c r="W19" i="34"/>
  <c r="AC45" i="34"/>
  <c r="AA31" i="34"/>
  <c r="AA30" i="34"/>
  <c r="AB45" i="34"/>
  <c r="AB47" i="34"/>
  <c r="U25" i="34"/>
  <c r="AB36" i="34"/>
  <c r="W33" i="34"/>
  <c r="AC32" i="34"/>
  <c r="AC29" i="34"/>
  <c r="W46" i="34"/>
  <c r="AC46" i="34"/>
  <c r="S32" i="34"/>
  <c r="AA32" i="34"/>
  <c r="AB30" i="34"/>
  <c r="S37" i="34"/>
  <c r="U38" i="34"/>
  <c r="AC40" i="34"/>
  <c r="W40" i="34"/>
  <c r="AA19" i="34"/>
  <c r="AA36" i="34"/>
  <c r="S36" i="34"/>
  <c r="AA8" i="34"/>
  <c r="S8" i="34"/>
  <c r="S46" i="34"/>
  <c r="AA46" i="34"/>
  <c r="AB32" i="34"/>
  <c r="U14" i="34"/>
  <c r="AB14" i="34"/>
  <c r="AC43" i="34"/>
  <c r="W43" i="34"/>
  <c r="W23" i="34"/>
  <c r="AC23" i="34"/>
  <c r="AC35" i="34"/>
  <c r="W35" i="34"/>
  <c r="AC37" i="33"/>
  <c r="W46" i="33"/>
  <c r="U39" i="33"/>
  <c r="U38" i="33"/>
  <c r="AB34" i="33"/>
  <c r="U44" i="33"/>
  <c r="AB44" i="33"/>
  <c r="S30" i="33"/>
  <c r="AA30" i="33"/>
  <c r="AC14" i="33"/>
  <c r="W14" i="33"/>
  <c r="AC30" i="33"/>
  <c r="W30" i="33"/>
  <c r="S31" i="33"/>
  <c r="AA31" i="33"/>
  <c r="W13" i="33"/>
  <c r="AC13" i="33"/>
  <c r="U15" i="33"/>
  <c r="S11" i="33"/>
  <c r="U37" i="33"/>
  <c r="AC28" i="33"/>
  <c r="S28" i="33"/>
  <c r="W9" i="33"/>
  <c r="U28" i="21"/>
  <c r="S45" i="21"/>
  <c r="F33" i="21"/>
  <c r="AA33" i="21" s="1"/>
  <c r="J33" i="21"/>
  <c r="AC33" i="21" s="1"/>
  <c r="H33" i="21"/>
  <c r="AB33" i="21" s="1"/>
  <c r="F37" i="21"/>
  <c r="AA37" i="21" s="1"/>
  <c r="AA26" i="21"/>
  <c r="AB14" i="21"/>
  <c r="AB46" i="21"/>
  <c r="U40" i="21"/>
  <c r="AB31" i="21"/>
  <c r="U31" i="21"/>
  <c r="AC15"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AB29" i="21"/>
  <c r="AC34" i="21"/>
  <c r="AB36" i="21"/>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12" i="33"/>
  <c r="AA12" i="33"/>
  <c r="D68" i="9"/>
  <c r="F54" i="9"/>
  <c r="J32" i="39"/>
  <c r="W32" i="39" s="1"/>
  <c r="H32" i="39"/>
  <c r="AB32" i="39" s="1"/>
  <c r="AB21" i="39"/>
  <c r="AA21" i="39"/>
  <c r="S21" i="39"/>
  <c r="AC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AC32" i="33"/>
  <c r="W32" i="33"/>
  <c r="U27" i="33"/>
  <c r="J27" i="33"/>
  <c r="W27" i="33" s="1"/>
  <c r="U25" i="33"/>
  <c r="AB25" i="33"/>
  <c r="AA25" i="33"/>
  <c r="G87" i="33"/>
  <c r="H87" i="33" s="1"/>
  <c r="I87" i="33" s="1"/>
  <c r="J87" i="33" s="1"/>
  <c r="K87" i="33" s="1"/>
  <c r="L87" i="33" s="1"/>
  <c r="M87" i="33" s="1"/>
  <c r="J25" i="33"/>
  <c r="AB23" i="33"/>
  <c r="U23" i="33"/>
  <c r="F23" i="33"/>
  <c r="G85" i="33"/>
  <c r="AA19" i="33"/>
  <c r="H19" i="33"/>
  <c r="AB19" i="33" s="1"/>
  <c r="H17" i="33"/>
  <c r="U17" i="33" s="1"/>
  <c r="F17" i="33"/>
  <c r="S17" i="33" s="1"/>
  <c r="W17" i="33"/>
  <c r="AC17" i="33"/>
  <c r="J23" i="21"/>
  <c r="F85" i="21"/>
  <c r="G85" i="21" s="1"/>
  <c r="H23" i="21"/>
  <c r="AB23" i="21" s="1"/>
  <c r="S13" i="21"/>
  <c r="AP7" i="1"/>
  <c r="AB45" i="21"/>
  <c r="AB9" i="21"/>
  <c r="U9" i="21"/>
  <c r="AA32" i="21"/>
  <c r="S32" i="21"/>
  <c r="W9" i="21"/>
  <c r="AB32" i="21"/>
  <c r="U32" i="21"/>
  <c r="U32" i="39"/>
  <c r="AC32" i="39"/>
  <c r="W23" i="37"/>
  <c r="AC23" i="37"/>
  <c r="J63" i="37"/>
  <c r="K63" i="37" s="1"/>
  <c r="L63" i="37" s="1"/>
  <c r="M63" i="37" s="1"/>
  <c r="J11" i="37"/>
  <c r="AC11" i="37" s="1"/>
  <c r="J11" i="34"/>
  <c r="W11" i="34" s="1"/>
  <c r="W25" i="33"/>
  <c r="AC25" i="33"/>
  <c r="AA17" i="33"/>
  <c r="U23" i="21"/>
  <c r="AC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15"/>
  <c r="E13" i="76"/>
  <c r="F38" i="67"/>
  <c r="F37" i="15"/>
  <c r="E9" i="76"/>
  <c r="E2" i="68"/>
  <c r="F42" i="15"/>
  <c r="B11" i="76"/>
  <c r="M23" i="15"/>
  <c r="F9" i="15"/>
  <c r="E2" i="69"/>
  <c r="L47" i="15"/>
  <c r="F40" i="67"/>
  <c r="F8" i="15"/>
  <c r="M6" i="15"/>
  <c r="F6" i="73"/>
  <c r="F36" i="67"/>
  <c r="J15" i="15"/>
  <c r="F26" i="15"/>
  <c r="B8" i="76"/>
  <c r="F3" i="73"/>
  <c r="F43" i="15"/>
  <c r="F7" i="15"/>
  <c r="F36" i="15"/>
  <c r="L47" i="67"/>
  <c r="C76" i="67"/>
  <c r="M28" i="67"/>
  <c r="M22" i="67"/>
  <c r="F38" i="15"/>
  <c r="B12" i="76"/>
  <c r="D34" i="9"/>
  <c r="B7" i="76"/>
  <c r="F16" i="15"/>
  <c r="J15" i="67"/>
  <c r="D6" i="73"/>
  <c r="E10" i="76"/>
  <c r="M29" i="15"/>
  <c r="L48" i="15"/>
  <c r="F4" i="73"/>
  <c r="D35" i="9"/>
  <c r="M28" i="15"/>
  <c r="F5" i="73"/>
  <c r="F16" i="67"/>
  <c r="M24" i="15"/>
  <c r="M23" i="67"/>
  <c r="E12" i="76"/>
  <c r="M9" i="67"/>
  <c r="F8" i="67"/>
  <c r="F37" i="67"/>
  <c r="F26" i="67"/>
  <c r="M26" i="15"/>
  <c r="E8" i="76"/>
  <c r="F40" i="15"/>
  <c r="F9" i="67"/>
  <c r="C76" i="15"/>
  <c r="F6" i="67"/>
  <c r="M22" i="15"/>
  <c r="B10" i="76"/>
  <c r="B13" i="76"/>
  <c r="M8" i="15"/>
  <c r="F7" i="73"/>
  <c r="M24" i="67"/>
  <c r="M9" i="15"/>
  <c r="AO13" i="1"/>
  <c r="B9" i="76"/>
  <c r="M26" i="67"/>
  <c r="F13" i="67"/>
  <c r="E7" i="76"/>
  <c r="F20" i="31"/>
  <c r="E11" i="76"/>
  <c r="M8" i="67"/>
  <c r="M6" i="67"/>
  <c r="F42" i="67"/>
  <c r="F6" i="15"/>
  <c r="E7" i="33" l="1"/>
  <c r="G7" i="33"/>
  <c r="I7" i="33"/>
  <c r="F6" i="1"/>
  <c r="F19" i="6"/>
  <c r="E19" i="6" s="1"/>
  <c r="K6" i="1" s="1"/>
  <c r="C33" i="33"/>
  <c r="C40" i="69"/>
  <c r="C21" i="68"/>
  <c r="AC11" i="33"/>
  <c r="U11" i="33"/>
  <c r="W8" i="33"/>
  <c r="AB36" i="33"/>
  <c r="S36" i="33"/>
  <c r="H5" i="3"/>
  <c r="AZ17" i="3"/>
  <c r="AB15" i="21"/>
  <c r="S26" i="36"/>
  <c r="AA26" i="36"/>
  <c r="AB38" i="37"/>
  <c r="U38" i="37"/>
  <c r="AB13" i="37"/>
  <c r="U13" i="37"/>
  <c r="W17" i="40"/>
  <c r="AC17" i="40"/>
  <c r="H44" i="21"/>
  <c r="F44" i="21"/>
  <c r="B94" i="43"/>
  <c r="B51" i="43"/>
  <c r="AA23" i="21"/>
  <c r="S32" i="39"/>
  <c r="S39" i="40"/>
  <c r="W29" i="21"/>
  <c r="D121" i="9"/>
  <c r="D7" i="52" s="1"/>
  <c r="D6" i="52"/>
  <c r="AZ364" i="3"/>
  <c r="U31" i="37"/>
  <c r="AB31" i="37"/>
  <c r="U26" i="37"/>
  <c r="AZ511" i="3"/>
  <c r="AZ536" i="3"/>
  <c r="AC27" i="37"/>
  <c r="W27" i="37"/>
  <c r="S14" i="39"/>
  <c r="AA14" i="39"/>
  <c r="AC31" i="34"/>
  <c r="W31" i="34"/>
  <c r="AA28" i="21"/>
  <c r="S28" i="21"/>
  <c r="S29" i="35"/>
  <c r="AA29" i="35"/>
  <c r="AA17" i="37"/>
  <c r="S17" i="37"/>
  <c r="AB41" i="39"/>
  <c r="U41" i="39"/>
  <c r="AC43" i="33"/>
  <c r="W43" i="33"/>
  <c r="U41" i="34"/>
  <c r="AB41" i="34"/>
  <c r="AA42" i="33"/>
  <c r="S42" i="33"/>
  <c r="AA28" i="37"/>
  <c r="S28" i="37"/>
  <c r="AC44" i="33"/>
  <c r="W44" i="33"/>
  <c r="U42" i="21"/>
  <c r="AB42" i="21"/>
  <c r="S16" i="35"/>
  <c r="AA16" i="35"/>
  <c r="U19" i="33"/>
  <c r="AC27" i="33"/>
  <c r="S37" i="21"/>
  <c r="S20" i="35"/>
  <c r="AA43" i="34"/>
  <c r="S43" i="34"/>
  <c r="AZ391" i="3"/>
  <c r="AZ362" i="3"/>
  <c r="S11" i="39"/>
  <c r="AA11" i="39"/>
  <c r="AC5" i="3"/>
  <c r="AZ493" i="3"/>
  <c r="AZ501" i="3"/>
  <c r="AZ565" i="3"/>
  <c r="AA14" i="33"/>
  <c r="AC47" i="34"/>
  <c r="W47" i="34"/>
  <c r="U28" i="33"/>
  <c r="AB28" i="33"/>
  <c r="J44" i="21"/>
  <c r="W36" i="34"/>
  <c r="AC36" i="34"/>
  <c r="AB15" i="34"/>
  <c r="U15" i="34"/>
  <c r="AA28" i="34"/>
  <c r="S28" i="34"/>
  <c r="J9" i="35"/>
  <c r="F9" i="35"/>
  <c r="S9" i="35" s="1"/>
  <c r="H9" i="35"/>
  <c r="U9" i="35" s="1"/>
  <c r="AB21" i="40"/>
  <c r="U21" i="40"/>
  <c r="W30" i="40"/>
  <c r="S23" i="37"/>
  <c r="AA23" i="37"/>
  <c r="U33" i="34"/>
  <c r="AA23" i="39"/>
  <c r="AC27" i="40"/>
  <c r="W27" i="40"/>
  <c r="AB32" i="37"/>
  <c r="U32" i="37"/>
  <c r="AZ306" i="3"/>
  <c r="U19" i="40"/>
  <c r="AB19" i="40"/>
  <c r="W11" i="35"/>
  <c r="AC11" i="35"/>
  <c r="W14" i="34"/>
  <c r="AC14" i="34"/>
  <c r="AA17" i="34"/>
  <c r="S17" i="34"/>
  <c r="U28" i="40"/>
  <c r="AB28" i="40"/>
  <c r="AB16" i="36"/>
  <c r="U16" i="36"/>
  <c r="AC27" i="39"/>
  <c r="W27" i="39"/>
  <c r="AA17" i="39"/>
  <c r="S17" i="39"/>
  <c r="S41" i="39"/>
  <c r="AA41" i="39"/>
  <c r="AB36" i="39"/>
  <c r="U36" i="39"/>
  <c r="AC8" i="34"/>
  <c r="W8" i="34"/>
  <c r="F9" i="34"/>
  <c r="AA9" i="34" s="1"/>
  <c r="J9" i="34"/>
  <c r="H9" i="34"/>
  <c r="AC25" i="37"/>
  <c r="W25" i="37"/>
  <c r="AZ513" i="3"/>
  <c r="AZ575" i="3"/>
  <c r="AZ528" i="3"/>
  <c r="AZ548" i="3"/>
  <c r="AZ574" i="3"/>
  <c r="AZ502" i="3"/>
  <c r="J33" i="36"/>
  <c r="AC33" i="36" s="1"/>
  <c r="F33" i="36"/>
  <c r="H33" i="36"/>
  <c r="AZ407" i="3"/>
  <c r="AA47" i="34"/>
  <c r="AZ357" i="3"/>
  <c r="AZ322" i="3"/>
  <c r="AZ313" i="3"/>
  <c r="AZ394" i="3"/>
  <c r="AC15" i="34"/>
  <c r="AZ519" i="3"/>
  <c r="AZ531" i="3"/>
  <c r="AZ573" i="3"/>
  <c r="AZ583" i="3"/>
  <c r="AZ576" i="3"/>
  <c r="BL585" i="3"/>
  <c r="AZ585" i="3" s="1"/>
  <c r="AC40" i="39"/>
  <c r="W40" i="39"/>
  <c r="S38" i="40"/>
  <c r="AA38" i="40"/>
  <c r="AZ14" i="3"/>
  <c r="AZ334" i="3"/>
  <c r="AZ347" i="3"/>
  <c r="AZ324" i="3"/>
  <c r="AZ515" i="3"/>
  <c r="AZ523" i="3"/>
  <c r="AZ547" i="3"/>
  <c r="AZ569" i="3"/>
  <c r="AZ571" i="3"/>
  <c r="AZ579" i="3"/>
  <c r="AZ516" i="3"/>
  <c r="AZ524" i="3"/>
  <c r="U17" i="34"/>
  <c r="AB17" i="34"/>
  <c r="U34" i="21"/>
  <c r="J12" i="34"/>
  <c r="H12" i="34"/>
  <c r="F12" i="34"/>
  <c r="S12" i="34" s="1"/>
  <c r="H25" i="37"/>
  <c r="F25" i="37"/>
  <c r="AZ419" i="3"/>
  <c r="AZ458" i="3"/>
  <c r="AZ462" i="3"/>
  <c r="AZ466" i="3"/>
  <c r="BA551" i="3"/>
  <c r="AZ551" i="3" s="1"/>
  <c r="BA550" i="3"/>
  <c r="AZ550" i="3" s="1"/>
  <c r="BL548" i="3"/>
  <c r="BL417" i="3"/>
  <c r="BL418" i="3"/>
  <c r="BL420" i="3"/>
  <c r="G423" i="3"/>
  <c r="BL424" i="3"/>
  <c r="G427" i="3"/>
  <c r="BL428" i="3"/>
  <c r="BL429" i="3"/>
  <c r="BL432" i="3"/>
  <c r="BL435" i="3"/>
  <c r="BL436" i="3"/>
  <c r="BA439" i="3"/>
  <c r="BA440" i="3"/>
  <c r="AZ440" i="3" s="1"/>
  <c r="BA443" i="3"/>
  <c r="AZ443" i="3" s="1"/>
  <c r="BL445" i="3"/>
  <c r="BL446" i="3"/>
  <c r="BA449" i="3"/>
  <c r="AZ460" i="3"/>
  <c r="BA464" i="3"/>
  <c r="AZ464" i="3" s="1"/>
  <c r="AZ487" i="3"/>
  <c r="BL398" i="3"/>
  <c r="G402" i="3"/>
  <c r="BL403" i="3"/>
  <c r="G405"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G441" i="3"/>
  <c r="BL441" i="3"/>
  <c r="BL442" i="3"/>
  <c r="BA445" i="3"/>
  <c r="BA447" i="3"/>
  <c r="AZ447" i="3" s="1"/>
  <c r="BL451" i="3"/>
  <c r="AZ451" i="3" s="1"/>
  <c r="BA454" i="3"/>
  <c r="BL456" i="3"/>
  <c r="BA465" i="3"/>
  <c r="AZ465" i="3" s="1"/>
  <c r="BL469" i="3"/>
  <c r="AZ469" i="3" s="1"/>
  <c r="BL470" i="3"/>
  <c r="BA486" i="3"/>
  <c r="G489" i="3"/>
  <c r="BL308" i="3"/>
  <c r="AZ308" i="3" s="1"/>
  <c r="W40" i="33"/>
  <c r="F37" i="39"/>
  <c r="J31" i="39"/>
  <c r="B79" i="43"/>
  <c r="H23" i="35"/>
  <c r="J23" i="36"/>
  <c r="H39" i="40"/>
  <c r="G551" i="3"/>
  <c r="BL550" i="3"/>
  <c r="G542" i="3"/>
  <c r="BL15" i="3"/>
  <c r="AZ15" i="3" s="1"/>
  <c r="BA398" i="3"/>
  <c r="AZ398" i="3" s="1"/>
  <c r="BA399" i="3"/>
  <c r="AZ399" i="3" s="1"/>
  <c r="BL401" i="3"/>
  <c r="BL404" i="3"/>
  <c r="BL405" i="3"/>
  <c r="BL407" i="3"/>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BA441" i="3"/>
  <c r="BL459" i="3"/>
  <c r="AZ459" i="3" s="1"/>
  <c r="G466" i="3"/>
  <c r="BL466" i="3"/>
  <c r="G468" i="3"/>
  <c r="AZ483" i="3"/>
  <c r="G323" i="3"/>
  <c r="U34" i="40"/>
  <c r="S27" i="35"/>
  <c r="G585" i="3"/>
  <c r="BL587" i="3"/>
  <c r="AZ587" i="3" s="1"/>
  <c r="BL586" i="3"/>
  <c r="AZ586" i="3" s="1"/>
  <c r="BA401" i="3"/>
  <c r="AZ401" i="3" s="1"/>
  <c r="BA403" i="3"/>
  <c r="AZ403" i="3" s="1"/>
  <c r="BA404" i="3"/>
  <c r="BA405" i="3"/>
  <c r="BL410" i="3"/>
  <c r="G412" i="3"/>
  <c r="AZ422" i="3"/>
  <c r="BL449" i="3"/>
  <c r="BL450" i="3"/>
  <c r="BL453" i="3"/>
  <c r="BL454" i="3"/>
  <c r="BA473" i="3"/>
  <c r="AZ473" i="3" s="1"/>
  <c r="BL476" i="3"/>
  <c r="AZ476" i="3" s="1"/>
  <c r="BA482" i="3"/>
  <c r="BA484" i="3"/>
  <c r="AZ484" i="3" s="1"/>
  <c r="BL487" i="3"/>
  <c r="BA319" i="3"/>
  <c r="AZ319" i="3" s="1"/>
  <c r="AZ201" i="3"/>
  <c r="T52" i="71"/>
  <c r="D52" i="71"/>
  <c r="S76" i="71"/>
  <c r="B75" i="71"/>
  <c r="B74" i="71" s="1"/>
  <c r="U80" i="71"/>
  <c r="E79" i="71"/>
  <c r="E78" i="71" s="1"/>
  <c r="BA467" i="3"/>
  <c r="BA468" i="3"/>
  <c r="BL471" i="3"/>
  <c r="BL475" i="3"/>
  <c r="BA477" i="3"/>
  <c r="BA478" i="3"/>
  <c r="BA481" i="3"/>
  <c r="BA488" i="3"/>
  <c r="AZ488" i="3" s="1"/>
  <c r="BA491" i="3"/>
  <c r="BL324" i="3"/>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L269" i="3"/>
  <c r="BA273" i="3"/>
  <c r="AZ273" i="3" s="1"/>
  <c r="BA278" i="3"/>
  <c r="AZ278" i="3" s="1"/>
  <c r="BA280" i="3"/>
  <c r="AZ280" i="3" s="1"/>
  <c r="BL283" i="3"/>
  <c r="AZ283" i="3" s="1"/>
  <c r="BL284" i="3"/>
  <c r="BL287" i="3"/>
  <c r="BA290" i="3"/>
  <c r="BL291" i="3"/>
  <c r="AZ65" i="3"/>
  <c r="X31" i="71"/>
  <c r="X25" i="71"/>
  <c r="B34" i="71"/>
  <c r="B35" i="71" s="1"/>
  <c r="B36" i="71" s="1"/>
  <c r="S36" i="71" s="1"/>
  <c r="X26" i="71"/>
  <c r="AB39" i="71"/>
  <c r="AB28" i="71"/>
  <c r="C44" i="71"/>
  <c r="D43" i="71"/>
  <c r="D54" i="71"/>
  <c r="C55" i="71"/>
  <c r="V68" i="71"/>
  <c r="Q68" i="71"/>
  <c r="F67" i="71"/>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L267" i="3"/>
  <c r="G269" i="3"/>
  <c r="BL270" i="3"/>
  <c r="BA272" i="3"/>
  <c r="AZ272" i="3" s="1"/>
  <c r="BL275" i="3"/>
  <c r="AZ275" i="3" s="1"/>
  <c r="G277" i="3"/>
  <c r="G280" i="3"/>
  <c r="G282" i="3"/>
  <c r="BL285" i="3"/>
  <c r="BL290" i="3"/>
  <c r="BA293" i="3"/>
  <c r="BL298" i="3"/>
  <c r="BL299" i="3"/>
  <c r="BA148" i="3"/>
  <c r="AZ148" i="3" s="1"/>
  <c r="BA162" i="3"/>
  <c r="BA194" i="3"/>
  <c r="G202" i="3"/>
  <c r="BA30" i="3"/>
  <c r="BA40" i="3"/>
  <c r="BA55" i="3"/>
  <c r="AZ55" i="3" s="1"/>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AZ270" i="3"/>
  <c r="AZ284" i="3"/>
  <c r="BA291" i="3"/>
  <c r="AZ291" i="3" s="1"/>
  <c r="G297" i="3"/>
  <c r="BA120" i="3"/>
  <c r="AZ120" i="3" s="1"/>
  <c r="G155" i="3"/>
  <c r="BL158" i="3"/>
  <c r="BA168" i="3"/>
  <c r="AZ168" i="3" s="1"/>
  <c r="G178" i="3"/>
  <c r="BA22" i="3"/>
  <c r="BA33" i="3"/>
  <c r="BA43" i="3"/>
  <c r="BL52" i="3"/>
  <c r="G66" i="3"/>
  <c r="AA25" i="40"/>
  <c r="S25" i="40"/>
  <c r="AB33" i="71"/>
  <c r="BL300" i="3"/>
  <c r="BA302" i="3"/>
  <c r="AZ302" i="3" s="1"/>
  <c r="BA117" i="3"/>
  <c r="BA130" i="3"/>
  <c r="AZ130" i="3" s="1"/>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L70" i="3"/>
  <c r="AZ70" i="3" s="1"/>
  <c r="BL72" i="3"/>
  <c r="AZ72" i="3" s="1"/>
  <c r="BA82" i="3"/>
  <c r="AZ82" i="3" s="1"/>
  <c r="BL83" i="3"/>
  <c r="BA94" i="3"/>
  <c r="AZ94" i="3" s="1"/>
  <c r="BL99" i="3"/>
  <c r="AA21" i="33"/>
  <c r="S21" i="33"/>
  <c r="AA21" i="37"/>
  <c r="S21" i="37"/>
  <c r="C26" i="71"/>
  <c r="D26" i="71" s="1"/>
  <c r="D27" i="71"/>
  <c r="X39" i="71"/>
  <c r="X34" i="71"/>
  <c r="S68" i="71"/>
  <c r="B67" i="71"/>
  <c r="N68" i="71"/>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BL64" i="3"/>
  <c r="AZ64" i="3" s="1"/>
  <c r="G65" i="3"/>
  <c r="BL65" i="3"/>
  <c r="BL66" i="3"/>
  <c r="BL67" i="3"/>
  <c r="AZ67" i="3" s="1"/>
  <c r="G69" i="3"/>
  <c r="G72" i="3"/>
  <c r="BA105" i="3"/>
  <c r="AZ105" i="3" s="1"/>
  <c r="AA21" i="34"/>
  <c r="S21" i="34"/>
  <c r="P27" i="6"/>
  <c r="T32" i="71"/>
  <c r="D32" i="71"/>
  <c r="F30" i="71"/>
  <c r="F31" i="71" s="1"/>
  <c r="F32" i="71" s="1"/>
  <c r="V32" i="71" s="1"/>
  <c r="AB26" i="71"/>
  <c r="AB27" i="71"/>
  <c r="AB31" i="71"/>
  <c r="AB35" i="71"/>
  <c r="AB36" i="71"/>
  <c r="AA36" i="71"/>
  <c r="AA37" i="71"/>
  <c r="E38" i="71"/>
  <c r="E39" i="71" s="1"/>
  <c r="E40" i="71" s="1"/>
  <c r="U40" i="71" s="1"/>
  <c r="Y38" i="71"/>
  <c r="Z38" i="71" s="1"/>
  <c r="Y27" i="71"/>
  <c r="Z27" i="71" s="1"/>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BA53" i="3"/>
  <c r="AZ53" i="3" s="1"/>
  <c r="BA54" i="3"/>
  <c r="BL57" i="3"/>
  <c r="G62" i="3"/>
  <c r="BL62" i="3"/>
  <c r="AZ62" i="3" s="1"/>
  <c r="BL63" i="3"/>
  <c r="BL68" i="3"/>
  <c r="BA69" i="3"/>
  <c r="AZ69" i="3" s="1"/>
  <c r="BA73" i="3"/>
  <c r="BA80" i="3"/>
  <c r="BA90" i="3"/>
  <c r="AZ100" i="3"/>
  <c r="AB29" i="39"/>
  <c r="U29" i="39"/>
  <c r="C25" i="40"/>
  <c r="B88" i="43"/>
  <c r="D67" i="71"/>
  <c r="C66" i="71"/>
  <c r="O67" i="71"/>
  <c r="B27" i="71"/>
  <c r="B26" i="71" s="1"/>
  <c r="S28" i="71"/>
  <c r="AA30" i="71"/>
  <c r="C60" i="71"/>
  <c r="D59" i="71"/>
  <c r="B63" i="71"/>
  <c r="B64" i="71" s="1"/>
  <c r="S64" i="71" s="1"/>
  <c r="V76" i="71"/>
  <c r="F75" i="71"/>
  <c r="F74" i="71" s="1"/>
  <c r="V24" i="71"/>
  <c r="E23" i="71"/>
  <c r="E22" i="71" s="1"/>
  <c r="E21" i="71" s="1"/>
  <c r="E20" i="71" s="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B77" i="43"/>
  <c r="AA28" i="71"/>
  <c r="E75" i="71"/>
  <c r="E74" i="71" s="1"/>
  <c r="AB25" i="71"/>
  <c r="Y25" i="71"/>
  <c r="Z25" i="71" s="1"/>
  <c r="X38" i="71"/>
  <c r="Y29" i="71"/>
  <c r="Z29" i="71" s="1"/>
  <c r="AB32" i="71"/>
  <c r="X33" i="71"/>
  <c r="AB37" i="71"/>
  <c r="BA103" i="3"/>
  <c r="AZ103" i="3" s="1"/>
  <c r="BA104" i="3"/>
  <c r="BA106" i="3"/>
  <c r="BL108" i="3"/>
  <c r="BL111" i="3"/>
  <c r="AZ111" i="3" s="1"/>
  <c r="P66" i="71"/>
  <c r="AA27" i="71"/>
  <c r="C83" i="71"/>
  <c r="C79" i="71"/>
  <c r="C71" i="71"/>
  <c r="C39" i="71"/>
  <c r="Y28" i="71"/>
  <c r="Z28" i="71" s="1"/>
  <c r="X28" i="71"/>
  <c r="X32" i="71"/>
  <c r="F40" i="71"/>
  <c r="V40" i="71" s="1"/>
  <c r="AB38" i="7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D36" i="71"/>
  <c r="T36" i="7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C27" i="15"/>
  <c r="F65" i="15"/>
  <c r="N59" i="67"/>
  <c r="L59" i="67"/>
  <c r="M59" i="67"/>
  <c r="B13" i="70"/>
  <c r="F68" i="67"/>
  <c r="F64" i="67"/>
  <c r="F68" i="15"/>
  <c r="C36" i="68"/>
  <c r="D9" i="69"/>
  <c r="D9" i="68"/>
  <c r="D7" i="73"/>
  <c r="L48" i="67"/>
  <c r="C16" i="15"/>
  <c r="M29" i="67"/>
  <c r="F43" i="67"/>
  <c r="D3" i="73"/>
  <c r="D4" i="73"/>
  <c r="F7" i="67"/>
  <c r="D5" i="73"/>
  <c r="J7" i="36" l="1"/>
  <c r="M7" i="67"/>
  <c r="J6" i="67" s="1"/>
  <c r="F50" i="67"/>
  <c r="C49" i="67" s="1"/>
  <c r="C6" i="67"/>
  <c r="C32" i="67" s="1"/>
  <c r="F71" i="67"/>
  <c r="L56" i="67"/>
  <c r="I54" i="67"/>
  <c r="J53" i="67"/>
  <c r="F1" i="67" s="1"/>
  <c r="L58" i="67"/>
  <c r="Q60" i="67" s="1"/>
  <c r="J57" i="67"/>
  <c r="J55" i="67" s="1"/>
  <c r="J58" i="67" s="1"/>
  <c r="Q50" i="67" s="1"/>
  <c r="N370" i="46"/>
  <c r="G26" i="43"/>
  <c r="J33" i="33"/>
  <c r="H33" i="33"/>
  <c r="F33" i="33"/>
  <c r="AP6" i="1"/>
  <c r="C36" i="69" s="1"/>
  <c r="P6" i="1"/>
  <c r="C13" i="12" s="1"/>
  <c r="K16" i="1"/>
  <c r="J26" i="43"/>
  <c r="N94" i="46"/>
  <c r="F26" i="43"/>
  <c r="D26" i="43" s="1"/>
  <c r="C25" i="43" s="1"/>
  <c r="E26" i="43"/>
  <c r="G5" i="3"/>
  <c r="B3" i="3" s="1"/>
  <c r="E170" i="3" s="1"/>
  <c r="D83" i="71"/>
  <c r="C82" i="71"/>
  <c r="D82" i="71" s="1"/>
  <c r="AZ108" i="3"/>
  <c r="O65" i="71"/>
  <c r="O66" i="71"/>
  <c r="D66" i="71"/>
  <c r="N67" i="71"/>
  <c r="B66" i="71"/>
  <c r="U39" i="40"/>
  <c r="AB39" i="40"/>
  <c r="AC31" i="39"/>
  <c r="W31" i="39"/>
  <c r="AZ432" i="3"/>
  <c r="AZ417" i="3"/>
  <c r="AB12" i="34"/>
  <c r="U12" i="34"/>
  <c r="U33" i="36"/>
  <c r="AB33" i="36"/>
  <c r="AC9" i="34"/>
  <c r="W9" i="34"/>
  <c r="AC44" i="21"/>
  <c r="W44" i="21"/>
  <c r="AA44" i="21"/>
  <c r="S44" i="21"/>
  <c r="G16" i="1"/>
  <c r="F10" i="39" s="1"/>
  <c r="S10" i="39" s="1"/>
  <c r="D39" i="71"/>
  <c r="C40" i="71"/>
  <c r="AZ39" i="3"/>
  <c r="AZ21" i="3"/>
  <c r="AZ121" i="3"/>
  <c r="AZ274" i="3"/>
  <c r="AZ182" i="3"/>
  <c r="AZ137" i="3"/>
  <c r="AZ453" i="3"/>
  <c r="T44" i="71"/>
  <c r="D44" i="71"/>
  <c r="AC23" i="36"/>
  <c r="W23" i="36"/>
  <c r="AA37" i="39"/>
  <c r="S37" i="39"/>
  <c r="AA25" i="37"/>
  <c r="S25" i="37"/>
  <c r="W12" i="34"/>
  <c r="AC12" i="34"/>
  <c r="AA33" i="36"/>
  <c r="S33" i="36"/>
  <c r="AC9" i="35"/>
  <c r="W9" i="35"/>
  <c r="AB44" i="21"/>
  <c r="U44" i="21"/>
  <c r="D71" i="71"/>
  <c r="C70" i="71"/>
  <c r="D70" i="71" s="1"/>
  <c r="AZ52" i="3"/>
  <c r="AZ150" i="3"/>
  <c r="AZ51" i="3"/>
  <c r="AZ194" i="3"/>
  <c r="AZ368" i="3"/>
  <c r="AZ471" i="3"/>
  <c r="D55" i="71"/>
  <c r="C56" i="71"/>
  <c r="AZ241" i="3"/>
  <c r="AZ210" i="3"/>
  <c r="AZ405" i="3"/>
  <c r="AZ435" i="3"/>
  <c r="AZ425" i="3"/>
  <c r="U23" i="35"/>
  <c r="AB23" i="35"/>
  <c r="U25" i="37"/>
  <c r="AB25" i="37"/>
  <c r="AZ66" i="3"/>
  <c r="D79" i="71"/>
  <c r="C78" i="71"/>
  <c r="D78" i="71" s="1"/>
  <c r="T60" i="71"/>
  <c r="D60" i="71"/>
  <c r="AZ58" i="3"/>
  <c r="AZ49" i="3"/>
  <c r="AZ162" i="3"/>
  <c r="F66" i="71"/>
  <c r="Q67" i="71"/>
  <c r="AZ491" i="3"/>
  <c r="AZ404" i="3"/>
  <c r="AZ441" i="3"/>
  <c r="AZ415" i="3"/>
  <c r="AZ454" i="3"/>
  <c r="AB9" i="34"/>
  <c r="U9" i="34"/>
  <c r="J7" i="37"/>
  <c r="AC7" i="37" s="1"/>
  <c r="K1" i="73"/>
  <c r="E376" i="3"/>
  <c r="E421" i="3"/>
  <c r="E98" i="3"/>
  <c r="E168" i="3"/>
  <c r="E547" i="3"/>
  <c r="E328" i="3"/>
  <c r="E418" i="3"/>
  <c r="E221" i="3"/>
  <c r="E344" i="3"/>
  <c r="E203" i="3"/>
  <c r="E32" i="3"/>
  <c r="E480" i="3"/>
  <c r="E151" i="3"/>
  <c r="E407" i="3"/>
  <c r="E117" i="3"/>
  <c r="E518" i="3"/>
  <c r="E583" i="3"/>
  <c r="E45" i="3"/>
  <c r="E193" i="3"/>
  <c r="E527" i="3"/>
  <c r="E433" i="3"/>
  <c r="E111" i="3"/>
  <c r="E318" i="3"/>
  <c r="E567" i="3"/>
  <c r="E107" i="3"/>
  <c r="E515" i="3"/>
  <c r="AS6" i="3"/>
  <c r="E27" i="3"/>
  <c r="E162" i="3"/>
  <c r="E44" i="3"/>
  <c r="E175" i="3"/>
  <c r="E508" i="3"/>
  <c r="E337" i="3"/>
  <c r="E270" i="3"/>
  <c r="E561" i="3"/>
  <c r="E216" i="3"/>
  <c r="E261" i="3"/>
  <c r="E528" i="3"/>
  <c r="E91" i="3"/>
  <c r="E350" i="3"/>
  <c r="E124" i="3"/>
  <c r="E568" i="3"/>
  <c r="E228" i="3"/>
  <c r="E277" i="3"/>
  <c r="E406" i="3"/>
  <c r="E587" i="3"/>
  <c r="E468" i="3"/>
  <c r="E315" i="3"/>
  <c r="E362" i="3"/>
  <c r="E368" i="3"/>
  <c r="E204" i="3"/>
  <c r="AO6" i="3"/>
  <c r="E485" i="3"/>
  <c r="E531" i="3"/>
  <c r="E28" i="3"/>
  <c r="E70" i="3"/>
  <c r="E377" i="3"/>
  <c r="E572" i="3"/>
  <c r="E526" i="3"/>
  <c r="AJ6" i="3"/>
  <c r="E579" i="3"/>
  <c r="E247" i="3"/>
  <c r="E570" i="3"/>
  <c r="M6" i="3"/>
  <c r="AB6" i="3"/>
  <c r="E189" i="3"/>
  <c r="E278" i="3"/>
  <c r="E172" i="3"/>
  <c r="E161" i="3"/>
  <c r="E263" i="3"/>
  <c r="E423" i="3"/>
  <c r="X6" i="3"/>
  <c r="E100" i="3"/>
  <c r="E148" i="3"/>
  <c r="E275" i="3"/>
  <c r="E242"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E94" i="3"/>
  <c r="E131" i="3"/>
  <c r="E24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G1" i="73"/>
  <c r="C16" i="67"/>
  <c r="AE6" i="1"/>
  <c r="F41" i="67"/>
  <c r="Q52" i="67" l="1"/>
  <c r="Q73" i="67"/>
  <c r="E378" i="3"/>
  <c r="E142" i="3"/>
  <c r="E132" i="3"/>
  <c r="AI6" i="3"/>
  <c r="E535" i="3"/>
  <c r="E215" i="3"/>
  <c r="E201" i="3"/>
  <c r="E268" i="3"/>
  <c r="E273" i="3"/>
  <c r="E345" i="3"/>
  <c r="E89" i="3"/>
  <c r="E146" i="3"/>
  <c r="E133" i="3"/>
  <c r="E347" i="3"/>
  <c r="E180" i="3"/>
  <c r="E538" i="3"/>
  <c r="E388" i="3"/>
  <c r="E384" i="3"/>
  <c r="E414" i="3"/>
  <c r="E31" i="3"/>
  <c r="E571" i="3"/>
  <c r="E253" i="3"/>
  <c r="E415" i="3"/>
  <c r="E166" i="3"/>
  <c r="AN6" i="3"/>
  <c r="E126" i="3"/>
  <c r="E341" i="3"/>
  <c r="E288" i="3"/>
  <c r="E297" i="3"/>
  <c r="E470" i="3"/>
  <c r="E139" i="3"/>
  <c r="E369" i="3"/>
  <c r="E240" i="3"/>
  <c r="E483" i="3"/>
  <c r="E119" i="3"/>
  <c r="E246" i="3"/>
  <c r="E135" i="3"/>
  <c r="E563" i="3"/>
  <c r="E335" i="3"/>
  <c r="E311" i="3"/>
  <c r="E509" i="3"/>
  <c r="E217" i="3"/>
  <c r="E182" i="3"/>
  <c r="E557" i="3"/>
  <c r="Z6" i="3"/>
  <c r="E74" i="3"/>
  <c r="E106" i="3"/>
  <c r="E472" i="3"/>
  <c r="E181" i="3"/>
  <c r="E586" i="3"/>
  <c r="E503" i="3"/>
  <c r="E380" i="3"/>
  <c r="E143" i="3"/>
  <c r="E343" i="3"/>
  <c r="E186" i="3"/>
  <c r="E505" i="3"/>
  <c r="E271" i="3"/>
  <c r="E150" i="3"/>
  <c r="E457" i="3"/>
  <c r="E511" i="3"/>
  <c r="E290" i="3"/>
  <c r="V6" i="3"/>
  <c r="E581" i="3"/>
  <c r="E434" i="3"/>
  <c r="E97" i="3"/>
  <c r="E379" i="3"/>
  <c r="E154" i="3"/>
  <c r="E155" i="3"/>
  <c r="AC33" i="33"/>
  <c r="W33" i="33"/>
  <c r="E313" i="3"/>
  <c r="AD6" i="3"/>
  <c r="E19" i="3"/>
  <c r="E176" i="3"/>
  <c r="AA33" i="33"/>
  <c r="S33" i="33"/>
  <c r="E118" i="3"/>
  <c r="E487" i="3"/>
  <c r="E296" i="3"/>
  <c r="E200" i="3"/>
  <c r="E385" i="3"/>
  <c r="E191" i="3"/>
  <c r="E445" i="3"/>
  <c r="E69" i="3"/>
  <c r="E387" i="3"/>
  <c r="E514" i="3"/>
  <c r="E431" i="3"/>
  <c r="E322" i="3"/>
  <c r="E109" i="3"/>
  <c r="E211" i="3"/>
  <c r="E489" i="3"/>
  <c r="E400" i="3"/>
  <c r="E327" i="3"/>
  <c r="E227" i="3"/>
  <c r="E171" i="3"/>
  <c r="E577" i="3"/>
  <c r="E560" i="3"/>
  <c r="E545" i="3"/>
  <c r="E399" i="3"/>
  <c r="E301" i="3"/>
  <c r="E183" i="3"/>
  <c r="E231" i="3"/>
  <c r="AR6" i="3"/>
  <c r="E555" i="3"/>
  <c r="E530" i="3"/>
  <c r="E331" i="3"/>
  <c r="E476" i="3"/>
  <c r="E478" i="3"/>
  <c r="E269" i="3"/>
  <c r="E279" i="3"/>
  <c r="E450" i="3"/>
  <c r="E458" i="3"/>
  <c r="E85" i="3"/>
  <c r="E578" i="3"/>
  <c r="E130" i="3"/>
  <c r="E239" i="3"/>
  <c r="E576" i="3"/>
  <c r="E330" i="3"/>
  <c r="E304" i="3"/>
  <c r="E29" i="3"/>
  <c r="E93" i="3"/>
  <c r="E136" i="3"/>
  <c r="E259" i="3"/>
  <c r="E138" i="3"/>
  <c r="AB33" i="33"/>
  <c r="U33" i="33"/>
  <c r="AA10" i="39"/>
  <c r="J10" i="39"/>
  <c r="W10" i="39" s="1"/>
  <c r="F10" i="40"/>
  <c r="S10" i="40" s="1"/>
  <c r="H10" i="39"/>
  <c r="U10" i="39" s="1"/>
  <c r="H10" i="40"/>
  <c r="AB10" i="40" s="1"/>
  <c r="J10" i="40"/>
  <c r="AC10" i="40" s="1"/>
  <c r="E510" i="3"/>
  <c r="E140" i="3"/>
  <c r="E35" i="3"/>
  <c r="E463" i="3"/>
  <c r="E15" i="3"/>
  <c r="E123" i="3"/>
  <c r="E552" i="3"/>
  <c r="E521" i="3"/>
  <c r="E312"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51" i="3"/>
  <c r="E90" i="3"/>
  <c r="E364" i="3"/>
  <c r="E60" i="3"/>
  <c r="E564" i="3"/>
  <c r="E512" i="3"/>
  <c r="E382" i="3"/>
  <c r="E260" i="3"/>
  <c r="E230" i="3"/>
  <c r="E551" i="3"/>
  <c r="E569" i="3"/>
  <c r="E553" i="3"/>
  <c r="E334" i="3"/>
  <c r="E404" i="3"/>
  <c r="P6" i="3"/>
  <c r="E252" i="3"/>
  <c r="E274" i="3"/>
  <c r="E496" i="3"/>
  <c r="E481" i="3"/>
  <c r="E262" i="3"/>
  <c r="AA6" i="3"/>
  <c r="E303" i="3"/>
  <c r="E213" i="3"/>
  <c r="E298" i="3"/>
  <c r="E523" i="3"/>
  <c r="E574" i="3"/>
  <c r="E501" i="3"/>
  <c r="E317" i="3"/>
  <c r="E546" i="3"/>
  <c r="E548" i="3"/>
  <c r="E207" i="3"/>
  <c r="E257" i="3"/>
  <c r="E471" i="3"/>
  <c r="E474" i="3"/>
  <c r="E306" i="3"/>
  <c r="E82" i="3"/>
  <c r="E187" i="3"/>
  <c r="E488" i="3"/>
  <c r="E66" i="3"/>
  <c r="E374" i="3"/>
  <c r="E47" i="3"/>
  <c r="E464" i="3"/>
  <c r="E48" i="3"/>
  <c r="E57" i="3"/>
  <c r="E250" i="3"/>
  <c r="E398" i="3"/>
  <c r="AQ6" i="3"/>
  <c r="E346" i="3"/>
  <c r="E329" i="3"/>
  <c r="E198" i="3"/>
  <c r="E519" i="3"/>
  <c r="E314" i="3"/>
  <c r="E336" i="3"/>
  <c r="E61" i="3"/>
  <c r="E395" i="3"/>
  <c r="E294" i="3"/>
  <c r="E358" i="3"/>
  <c r="E516" i="3"/>
  <c r="E366" i="3"/>
  <c r="E295" i="3"/>
  <c r="E444" i="3"/>
  <c r="E448" i="3"/>
  <c r="I6" i="3"/>
  <c r="E256" i="3"/>
  <c r="E429" i="3"/>
  <c r="Q6"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65" i="3"/>
  <c r="E524" i="3"/>
  <c r="E299" i="3"/>
  <c r="E178" i="3"/>
  <c r="E356" i="3"/>
  <c r="E409" i="3"/>
  <c r="E416" i="3"/>
  <c r="E222" i="3"/>
  <c r="E386" i="3"/>
  <c r="E348" i="3"/>
  <c r="E566" i="3"/>
  <c r="E165" i="3"/>
  <c r="E265" i="3"/>
  <c r="E20" i="3"/>
  <c r="E289" i="3"/>
  <c r="E36" i="3"/>
  <c r="E325" i="3"/>
  <c r="E194" i="3"/>
  <c r="E79" i="3"/>
  <c r="E540" i="3"/>
  <c r="E372" i="3"/>
  <c r="E226" i="3"/>
  <c r="E25" i="3"/>
  <c r="E419" i="3"/>
  <c r="E507" i="3"/>
  <c r="E116" i="3"/>
  <c r="E80" i="3"/>
  <c r="E190" i="3"/>
  <c r="E41" i="3"/>
  <c r="E556" i="3"/>
  <c r="T6" i="3"/>
  <c r="E34" i="3"/>
  <c r="E67" i="3"/>
  <c r="E417" i="3"/>
  <c r="E101" i="3"/>
  <c r="E218" i="3"/>
  <c r="E50" i="3"/>
  <c r="E147" i="3"/>
  <c r="E52" i="3"/>
  <c r="E339" i="3"/>
  <c r="E137" i="3"/>
  <c r="E455" i="3"/>
  <c r="E43" i="3"/>
  <c r="E333" i="3"/>
  <c r="E202" i="3"/>
  <c r="E40" i="3"/>
  <c r="E498" i="3"/>
  <c r="E486" i="3"/>
  <c r="E223" i="3"/>
  <c r="E370" i="3"/>
  <c r="E78" i="3"/>
  <c r="E104" i="3"/>
  <c r="E360" i="3"/>
  <c r="E534" i="3"/>
  <c r="E96" i="3"/>
  <c r="E249" i="3"/>
  <c r="E255" i="3"/>
  <c r="E500" i="3"/>
  <c r="E244" i="3"/>
  <c r="E24" i="3"/>
  <c r="E58" i="3"/>
  <c r="E460" i="3"/>
  <c r="E141" i="3"/>
  <c r="E365" i="3"/>
  <c r="E62" i="3"/>
  <c r="E340" i="3"/>
  <c r="E112" i="3"/>
  <c r="E392" i="3"/>
  <c r="E234" i="3"/>
  <c r="E38" i="3"/>
  <c r="E473" i="3"/>
  <c r="L6" i="3"/>
  <c r="E276" i="3"/>
  <c r="E108" i="3"/>
  <c r="E401" i="3"/>
  <c r="E490" i="3"/>
  <c r="E493" i="3"/>
  <c r="E83" i="3"/>
  <c r="E342" i="3"/>
  <c r="E243" i="3"/>
  <c r="E452" i="3"/>
  <c r="E469" i="3"/>
  <c r="E308" i="3"/>
  <c r="E81" i="3"/>
  <c r="E292" i="3"/>
  <c r="E287" i="3"/>
  <c r="E18" i="3"/>
  <c r="E63" i="3"/>
  <c r="E267" i="3"/>
  <c r="E241" i="3"/>
  <c r="E449" i="3"/>
  <c r="E197" i="3"/>
  <c r="E206" i="3"/>
  <c r="E281" i="3"/>
  <c r="E33" i="3"/>
  <c r="E484" i="3"/>
  <c r="E479" i="3"/>
  <c r="E499" i="3"/>
  <c r="E575" i="3"/>
  <c r="J6" i="3"/>
  <c r="E440" i="3"/>
  <c r="E427" i="3"/>
  <c r="E393" i="3"/>
  <c r="E188" i="3"/>
  <c r="E326" i="3"/>
  <c r="E232" i="3"/>
  <c r="E324" i="3"/>
  <c r="E412" i="3"/>
  <c r="E225" i="3"/>
  <c r="E26" i="3"/>
  <c r="E13" i="3"/>
  <c r="E451" i="3"/>
  <c r="E456" i="3"/>
  <c r="E525" i="3"/>
  <c r="E205" i="3"/>
  <c r="E113" i="3"/>
  <c r="E383" i="3"/>
  <c r="E42" i="3"/>
  <c r="E513" i="3"/>
  <c r="E355" i="3"/>
  <c r="E492" i="3"/>
  <c r="E46" i="3"/>
  <c r="E544" i="3"/>
  <c r="E152" i="3"/>
  <c r="E517" i="3"/>
  <c r="E466" i="3"/>
  <c r="E212" i="3"/>
  <c r="AH6" i="3"/>
  <c r="E422" i="3"/>
  <c r="E543" i="3"/>
  <c r="E105" i="3"/>
  <c r="E16" i="3"/>
  <c r="E158" i="3"/>
  <c r="E49" i="3"/>
  <c r="E220" i="3"/>
  <c r="E428" i="3"/>
  <c r="E115" i="3"/>
  <c r="E420" i="3"/>
  <c r="E497" i="3"/>
  <c r="E408" i="3"/>
  <c r="E405" i="3"/>
  <c r="E173" i="3"/>
  <c r="E22" i="3"/>
  <c r="E102" i="3"/>
  <c r="E235" i="3"/>
  <c r="AL6" i="3"/>
  <c r="E309" i="3"/>
  <c r="E233" i="3"/>
  <c r="E310" i="3"/>
  <c r="E64" i="3"/>
  <c r="E389" i="3"/>
  <c r="E95" i="3"/>
  <c r="E554" i="3"/>
  <c r="E442" i="3"/>
  <c r="E536" i="3"/>
  <c r="E3" i="6"/>
  <c r="D3" i="21" s="1"/>
  <c r="W7" i="37"/>
  <c r="T40" i="71"/>
  <c r="D40" i="71"/>
  <c r="AF6" i="3"/>
  <c r="E86" i="3"/>
  <c r="E174" i="3"/>
  <c r="E482" i="3"/>
  <c r="E391" i="3"/>
  <c r="E494" i="3"/>
  <c r="E283" i="3"/>
  <c r="E68" i="3"/>
  <c r="E184" i="3"/>
  <c r="E84" i="3"/>
  <c r="E371" i="3"/>
  <c r="E160" i="3"/>
  <c r="E467" i="3"/>
  <c r="E59" i="3"/>
  <c r="E349" i="3"/>
  <c r="E258" i="3"/>
  <c r="E37" i="3"/>
  <c r="E491" i="3"/>
  <c r="AP6" i="3"/>
  <c r="E430" i="3"/>
  <c r="E502" i="3"/>
  <c r="E286" i="3"/>
  <c r="E539" i="3"/>
  <c r="Q65" i="71"/>
  <c r="Q66" i="71"/>
  <c r="E251" i="3"/>
  <c r="E522" i="3"/>
  <c r="E129" i="3"/>
  <c r="E75" i="3"/>
  <c r="E332" i="3"/>
  <c r="E21" i="3"/>
  <c r="E264" i="3"/>
  <c r="E381" i="3"/>
  <c r="E144" i="3"/>
  <c r="E23" i="3"/>
  <c r="E300" i="3"/>
  <c r="E103" i="3"/>
  <c r="E425" i="3"/>
  <c r="E76" i="3"/>
  <c r="E363" i="3"/>
  <c r="E192" i="3"/>
  <c r="E56" i="3"/>
  <c r="E435" i="3"/>
  <c r="I3" i="6"/>
  <c r="E541" i="3"/>
  <c r="R6" i="3"/>
  <c r="E199" i="3"/>
  <c r="D56" i="71"/>
  <c r="T56" i="71"/>
  <c r="N65" i="71"/>
  <c r="N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15"/>
  <c r="M27" i="15"/>
  <c r="M27" i="67"/>
  <c r="AC10" i="39" l="1"/>
  <c r="AC6" i="3"/>
  <c r="W10" i="40"/>
  <c r="H6" i="3"/>
  <c r="E6" i="3" s="1"/>
  <c r="F25" i="12"/>
  <c r="C26" i="12" s="1"/>
  <c r="D25" i="12" s="1"/>
  <c r="AB10" i="39"/>
  <c r="D3" i="37"/>
  <c r="D19" i="11"/>
  <c r="C19" i="11" s="1"/>
  <c r="C20" i="11" s="1"/>
  <c r="C28" i="11" s="1"/>
  <c r="C27" i="11" s="1"/>
  <c r="D37" i="11"/>
  <c r="E6" i="6"/>
  <c r="D10" i="11" s="1"/>
  <c r="C10" i="11" s="1"/>
  <c r="D3" i="33"/>
  <c r="D3" i="34"/>
  <c r="C17" i="4"/>
  <c r="B4" i="52" s="1"/>
  <c r="B43" i="72" s="1"/>
  <c r="M18" i="9"/>
  <c r="B118" i="9" s="1"/>
  <c r="B1" i="74" s="1"/>
  <c r="D116" i="43"/>
  <c r="F22" i="69"/>
  <c r="F41" i="69" s="1"/>
  <c r="F24" i="15"/>
  <c r="C24" i="15" s="1"/>
  <c r="F22" i="68"/>
  <c r="F41" i="68" s="1"/>
  <c r="F22" i="11"/>
  <c r="C44" i="11" s="1"/>
  <c r="D41" i="11" s="1"/>
  <c r="F24" i="67"/>
  <c r="C24" i="67" s="1"/>
  <c r="I53" i="34"/>
  <c r="J53" i="34" s="1"/>
  <c r="I46" i="37"/>
  <c r="J46" i="3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M19" i="9"/>
  <c r="C118" i="9" s="1"/>
  <c r="B2" i="74" s="1"/>
  <c r="D26" i="6"/>
  <c r="D8" i="6"/>
  <c r="D14"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7" i="15"/>
  <c r="C14" i="67"/>
  <c r="H21" i="6" l="1"/>
  <c r="D30" i="6"/>
  <c r="C44" i="69"/>
  <c r="D41" i="69" s="1"/>
  <c r="C26" i="69"/>
  <c r="D22" i="69" s="1"/>
  <c r="H24" i="6"/>
  <c r="D20" i="12"/>
  <c r="C20" i="12" s="1"/>
  <c r="C18" i="12" s="1"/>
  <c r="D10" i="68"/>
  <c r="D19" i="68" s="1"/>
  <c r="D10" i="69"/>
  <c r="C10" i="69" s="1"/>
  <c r="C8" i="69" s="1"/>
  <c r="C5" i="69" s="1"/>
  <c r="D6" i="6"/>
  <c r="C23" i="68"/>
  <c r="C26" i="68"/>
  <c r="D22" i="68" s="1"/>
  <c r="C44" i="68"/>
  <c r="D41" i="68" s="1"/>
  <c r="C25" i="11"/>
  <c r="C23" i="11"/>
  <c r="C24" i="1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0" i="68" l="1"/>
  <c r="D19" i="69"/>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C19" i="9"/>
  <c r="D2" i="36"/>
  <c r="D2" i="37"/>
  <c r="L51" i="15"/>
  <c r="D2" i="34"/>
  <c r="D19" i="9"/>
  <c r="C102" i="9" l="1"/>
  <c r="C21" i="9"/>
  <c r="B3" i="33"/>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11" i="1"/>
  <c r="AO7" i="1"/>
  <c r="C20" i="9"/>
  <c r="D20" i="9"/>
  <c r="AO6"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4" i="9" l="1"/>
  <c r="L64" i="9"/>
  <c r="M67" i="9"/>
  <c r="L67" i="9"/>
  <c r="B53" i="72"/>
  <c r="F5" i="52"/>
  <c r="F119" i="9"/>
  <c r="M66" i="9"/>
  <c r="L66" i="9"/>
  <c r="H5" i="52"/>
  <c r="H119" i="9"/>
  <c r="C6" i="74"/>
  <c r="B47" i="72"/>
  <c r="D4" i="52"/>
  <c r="M65" i="9"/>
  <c r="L65" i="9"/>
  <c r="B51" i="72"/>
  <c r="F4" i="52"/>
  <c r="B48" i="72"/>
  <c r="E4" i="52"/>
  <c r="H108" i="9"/>
  <c r="D15" i="53"/>
  <c r="B31" i="72"/>
  <c r="C81" i="9"/>
  <c r="M54" i="9"/>
  <c r="D56" i="9"/>
  <c r="C97" i="9"/>
  <c r="D58" i="9"/>
  <c r="B32" i="72"/>
  <c r="D14" i="53"/>
  <c r="B21" i="72"/>
  <c r="D7" i="53"/>
  <c r="C73" i="9"/>
  <c r="C78" i="9"/>
  <c r="E81" i="9"/>
  <c r="C72" i="9"/>
  <c r="C79" i="9"/>
  <c r="C80" i="9"/>
  <c r="E80" i="9"/>
  <c r="B20" i="72"/>
  <c r="M68" i="9"/>
  <c r="L68" i="9"/>
  <c r="D8" i="52"/>
  <c r="C86" i="9"/>
  <c r="C93" i="9"/>
  <c r="F118" i="9"/>
  <c r="G118" i="9"/>
  <c r="G4" i="52"/>
  <c r="B52" i="72"/>
  <c r="L63" i="9"/>
  <c r="M63" i="9"/>
  <c r="M69" i="9"/>
  <c r="N69" i="9"/>
  <c r="B49" i="72"/>
  <c r="E118" i="9"/>
  <c r="D118" i="9"/>
  <c r="D119" i="9"/>
  <c r="D5" i="52"/>
  <c r="N61" i="9"/>
  <c r="M49" i="9"/>
  <c r="N59" i="9"/>
  <c r="N60" i="9"/>
  <c r="P57" i="9"/>
  <c r="D55" i="9"/>
  <c r="M53" i="9"/>
  <c r="N57" i="9"/>
  <c r="N58" i="9"/>
  <c r="D13" i="53"/>
  <c r="B30" i="72"/>
  <c r="H102" i="9"/>
  <c r="C5" i="74"/>
  <c r="D52" i="9"/>
  <c r="D53" i="9"/>
  <c r="C105" i="9"/>
  <c r="I4" i="52"/>
  <c r="D59" i="9"/>
  <c r="M55" i="9"/>
  <c r="H107" i="9"/>
  <c r="D122" i="9"/>
  <c r="D123" i="9"/>
  <c r="D9" i="52"/>
  <c r="D5" i="53"/>
  <c r="D6" i="53"/>
  <c r="B22" i="72"/>
  <c r="M48" i="9"/>
  <c r="C64" i="9"/>
  <c r="C63" i="9"/>
  <c r="C67" i="9"/>
  <c r="C68" i="9"/>
  <c r="D54" i="9"/>
  <c r="C104" i="9"/>
  <c r="H4" i="5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<sst xmlns="http://schemas.openxmlformats.org/spreadsheetml/2006/main" count="7871" uniqueCount="3477">
  <si>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</si>
  <si>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</si>
  <si>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</si>
  <si>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</si>
  <si>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</si>
  <si>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</si>
  <si>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</si>
  <si>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</si>
  <si>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</si>
  <si>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</si>
  <si>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</si>
  <si>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</si>
  <si>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</si>
  <si>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</si>
  <si>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</si>
  <si>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</si>
  <si>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</si>
  <si>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</si>
  <si>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</si>
  <si>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</si>
  <si>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</si>
  <si>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</si>
  <si>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</si>
  <si>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</si>
  <si>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</si>
  <si>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</si>
  <si>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</si>
  <si>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</si>
  <si>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</si>
  <si>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</si>
  <si>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</si>
  <si>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</si>
  <si>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</si>
  <si>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</si>
  <si>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</si>
  <si>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</si>
  <si>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</si>
  <si>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</si>
  <si>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</si>
  <si>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</si>
  <si>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</si>
  <si>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</si>
  <si>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</si>
  <si>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</si>
  <si>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</si>
  <si>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</si>
  <si>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</si>
  <si>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</si>
  <si>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</si>
  <si>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</si>
  <si>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</si>
  <si>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</si>
  <si>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</si>
  <si>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</si>
  <si>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</si>
  <si>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</si>
  <si>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</si>
  <si>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</si>
  <si>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</si>
  <si>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</si>
  <si>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</si>
  <si>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</si>
  <si>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</si>
  <si>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</si>
  <si>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</si>
  <si>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</si>
  <si>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</si>
  <si>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</si>
  <si>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</si>
  <si>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</si>
  <si>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</si>
  <si>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</si>
  <si>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</si>
  <si>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</si>
  <si>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</si>
  <si>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</si>
  <si>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</si>
  <si>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</si>
  <si>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</si>
  <si>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</si>
  <si>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</si>
  <si>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</si>
  <si>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</si>
  <si>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</si>
  <si>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</si>
  <si>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</si>
  <si>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</si>
  <si>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</si>
  <si>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</si>
  <si>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</si>
  <si>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</si>
  <si>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</si>
  <si>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</si>
  <si>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</si>
  <si>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</si>
  <si>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</si>
  <si>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</si>
  <si>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</si>
  <si>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</si>
  <si>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</si>
  <si>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</si>
  <si>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</si>
  <si>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</si>
  <si>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</si>
  <si>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</si>
  <si>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</si>
  <si>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</si>
  <si>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</si>
  <si>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</si>
  <si>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</si>
  <si>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</si>
  <si>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</si>
  <si>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</si>
  <si>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</si>
  <si>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</si>
  <si>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</si>
  <si>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</si>
  <si>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</si>
  <si>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</si>
  <si>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</si>
  <si>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</si>
  <si>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</si>
  <si>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</si>
  <si>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</si>
  <si>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</si>
  <si>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</si>
  <si>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</si>
  <si>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</si>
  <si>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</si>
  <si>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</si>
  <si>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</si>
  <si>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</si>
  <si>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</si>
  <si>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</si>
  <si>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</si>
  <si>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</si>
  <si>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</si>
  <si>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</si>
  <si>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</si>
  <si>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</si>
  <si>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</si>
  <si>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</si>
  <si>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</si>
  <si>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</si>
  <si>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</si>
  <si>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</si>
  <si>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</si>
  <si>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</si>
  <si>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</si>
  <si>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</si>
  <si>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</si>
  <si>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</si>
  <si>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</si>
  <si>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</si>
  <si>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</si>
  <si>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</si>
  <si>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</si>
  <si>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</si>
  <si>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</si>
  <si>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</si>
  <si>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</si>
  <si>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</si>
  <si>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</si>
  <si>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</si>
  <si>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</si>
  <si>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</si>
  <si>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</si>
  <si>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</si>
  <si>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</si>
  <si>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</si>
  <si>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</si>
  <si>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</si>
  <si>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</si>
  <si>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</si>
  <si>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</si>
  <si>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</si>
  <si>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</si>
  <si>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</si>
  <si>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</si>
  <si>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</si>
  <si>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</si>
  <si>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</si>
  <si>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</si>
  <si>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</si>
  <si>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</si>
  <si>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</si>
  <si>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</si>
  <si>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</si>
  <si>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</si>
  <si>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</si>
  <si>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</si>
  <si>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</si>
  <si>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</si>
  <si>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</si>
  <si>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</si>
  <si>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</si>
  <si>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</si>
  <si>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</si>
  <si>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</si>
  <si>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</si>
  <si>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</si>
  <si>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</si>
  <si>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</si>
  <si>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</si>
  <si>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</si>
  <si>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</si>
  <si>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</si>
  <si>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</si>
  <si>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</si>
  <si>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</si>
  <si>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</si>
  <si>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</si>
  <si>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</si>
  <si>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</si>
  <si>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</si>
  <si>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</si>
  <si>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</si>
  <si>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</si>
  <si>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</si>
  <si>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</si>
  <si>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</si>
  <si>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</si>
  <si>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</si>
  <si>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</si>
  <si>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</si>
  <si>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</si>
  <si>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</si>
  <si>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</si>
  <si>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</si>
  <si>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</si>
  <si>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</si>
  <si>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</si>
  <si>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</si>
  <si>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</si>
  <si>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</si>
  <si>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</si>
  <si>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</si>
  <si>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</si>
  <si>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</si>
  <si>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</si>
  <si>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</si>
  <si>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</si>
  <si>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</si>
  <si>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</si>
  <si>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</si>
  <si>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</si>
  <si>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</si>
  <si>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</si>
  <si>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</si>
  <si>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</si>
  <si>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</si>
  <si>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</si>
  <si>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</si>
  <si>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</si>
  <si>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</si>
  <si>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</si>
  <si>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</si>
  <si>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</si>
  <si>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</si>
  <si>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</si>
  <si>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</si>
  <si>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</si>
  <si>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</si>
  <si>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</si>
  <si>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</si>
  <si>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</si>
  <si>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</si>
  <si>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</si>
  <si>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</si>
  <si>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</si>
  <si>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</si>
  <si>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</si>
  <si>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</si>
  <si>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</si>
  <si>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</si>
  <si>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</si>
  <si>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</si>
  <si>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</si>
  <si>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</si>
  <si>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</si>
  <si>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</si>
  <si>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</si>
  <si>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</si>
  <si>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</si>
  <si>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</si>
  <si>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</si>
  <si>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</si>
  <si>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</si>
  <si>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</si>
  <si>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</si>
  <si>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</si>
  <si>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</si>
  <si>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</si>
  <si>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</si>
  <si>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</si>
  <si>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</si>
  <si>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</si>
  <si>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</si>
  <si>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</si>
  <si>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</si>
  <si>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</si>
  <si>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</si>
  <si>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</si>
  <si>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</si>
  <si>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</si>
  <si>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</si>
  <si>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</si>
  <si>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</si>
  <si>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</si>
  <si>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</si>
  <si>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</si>
  <si>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</si>
  <si>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</si>
  <si>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</si>
  <si>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</si>
  <si>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</si>
  <si>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</si>
  <si>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</si>
  <si>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</si>
  <si>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</si>
  <si>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</si>
  <si>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</si>
  <si>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</si>
  <si>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</si>
  <si>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</si>
  <si>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</si>
  <si>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</si>
  <si>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</si>
  <si>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</si>
  <si>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</si>
  <si>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</si>
  <si>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</si>
  <si>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</si>
  <si>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</si>
  <si>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</si>
  <si>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</si>
  <si>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</si>
  <si>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</si>
  <si>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</si>
  <si>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</si>
  <si>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</si>
  <si>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</si>
  <si>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</si>
  <si>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</si>
  <si>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</si>
  <si>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</si>
  <si>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</si>
  <si>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</si>
  <si>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</si>
  <si>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</si>
  <si>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</si>
  <si>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</si>
  <si>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</si>
  <si>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</si>
  <si>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</si>
  <si>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</si>
  <si>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</si>
  <si>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</si>
  <si>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</si>
  <si>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</si>
  <si>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</si>
  <si>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</si>
  <si>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</si>
  <si>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</si>
  <si>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</si>
  <si>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</si>
  <si>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</si>
  <si>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</si>
  <si>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</si>
  <si>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</si>
  <si>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</si>
  <si>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</si>
  <si>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</si>
  <si>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</si>
  <si>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</si>
  <si>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</si>
  <si>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</si>
  <si>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</si>
  <si>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</si>
  <si>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</si>
  <si>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</si>
  <si>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</si>
  <si>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</si>
  <si>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</si>
  <si>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</si>
  <si>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</si>
  <si>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</si>
  <si>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</si>
  <si>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</si>
  <si>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</si>
  <si>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</si>
  <si>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</si>
  <si>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</si>
  <si>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</si>
  <si>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</si>
  <si>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</si>
  <si>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</si>
  <si>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</si>
  <si>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</si>
  <si>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</si>
  <si>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</si>
  <si>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</si>
  <si>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</si>
  <si>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</si>
  <si>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</si>
  <si>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</si>
  <si>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</si>
  <si>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</si>
  <si>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</si>
  <si>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</si>
  <si>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</si>
  <si>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</si>
  <si>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</si>
  <si>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</si>
  <si>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</si>
  <si>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</si>
  <si>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</si>
  <si>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</si>
  <si>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</si>
  <si>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</si>
  <si>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</si>
  <si>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</si>
  <si>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</si>
  <si>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</si>
  <si>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</si>
  <si>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</si>
  <si>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</si>
  <si>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</si>
  <si>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</si>
  <si>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</si>
  <si>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</si>
  <si>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</si>
  <si>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</si>
  <si>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</si>
  <si>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</si>
  <si>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</si>
  <si>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</si>
  <si>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</si>
  <si>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</si>
  <si>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</si>
  <si>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</si>
  <si>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</si>
  <si>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</si>
  <si>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</si>
  <si>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</si>
  <si>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</si>
  <si>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</si>
  <si>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</si>
  <si>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</si>
  <si>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</si>
  <si>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</si>
  <si>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</si>
  <si>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</si>
  <si>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</si>
  <si>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</si>
  <si>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</si>
  <si>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</si>
  <si>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</si>
  <si>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</si>
  <si>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</si>
  <si>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</si>
  <si>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</si>
  <si>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</si>
  <si>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</si>
  <si>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</si>
  <si>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</si>
  <si>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</si>
  <si>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</si>
  <si>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</si>
  <si>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</si>
  <si>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</si>
  <si>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</si>
  <si>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</si>
  <si>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</si>
  <si>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</si>
  <si>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</si>
  <si>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</si>
  <si>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</si>
  <si>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</si>
  <si>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</si>
  <si>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</si>
  <si>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</si>
  <si>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</si>
  <si>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</si>
  <si>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</si>
  <si>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</si>
  <si>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</si>
  <si>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</si>
  <si>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</si>
  <si>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</si>
  <si>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</si>
  <si>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</si>
  <si>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</si>
  <si>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</si>
  <si>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</si>
  <si>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</si>
  <si>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</si>
  <si>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</si>
  <si>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</si>
  <si>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</si>
  <si>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</si>
  <si>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</si>
  <si>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</si>
  <si>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</si>
  <si>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</si>
  <si>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</si>
  <si>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</si>
  <si>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</si>
  <si>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</si>
  <si>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</si>
  <si>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</si>
  <si>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</si>
  <si>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</si>
  <si>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</si>
  <si>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</si>
  <si>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</si>
  <si>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</si>
  <si>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</si>
  <si>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</si>
  <si>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</si>
  <si>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</si>
  <si>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</si>
  <si>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</si>
  <si>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</si>
  <si>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</si>
  <si>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</si>
  <si>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</si>
  <si>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</si>
  <si>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</si>
  <si>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</si>
  <si>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</si>
  <si>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</si>
  <si>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</si>
  <si>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</si>
  <si>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</si>
  <si>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</si>
  <si>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</si>
  <si>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</si>
  <si>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</si>
  <si>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</si>
  <si>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</si>
  <si>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</si>
  <si>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</si>
  <si>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</si>
  <si>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</si>
  <si>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</si>
  <si>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</si>
  <si>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</si>
  <si>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</si>
  <si>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</si>
  <si>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</si>
  <si>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</si>
  <si>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</si>
  <si>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</si>
  <si>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</si>
  <si>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</si>
  <si>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</si>
  <si>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</si>
  <si>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</si>
  <si>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</si>
  <si>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</si>
  <si>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</si>
  <si>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</si>
  <si>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</si>
  <si>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</si>
  <si>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</si>
  <si>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</si>
  <si>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</si>
  <si>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</si>
  <si>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</si>
  <si>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</si>
  <si>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</si>
  <si>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</si>
  <si>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</si>
  <si>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</si>
  <si>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</si>
  <si>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</si>
  <si>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</si>
  <si>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</si>
  <si>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</si>
  <si>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</si>
  <si>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</si>
  <si>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</si>
  <si>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</si>
  <si>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</si>
  <si>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</si>
  <si>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</si>
  <si>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</si>
  <si>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</si>
  <si>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</si>
  <si>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</si>
  <si>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</si>
  <si>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</si>
  <si>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</si>
  <si>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</si>
  <si>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</si>
  <si>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</si>
  <si>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</si>
  <si>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</si>
  <si>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</si>
  <si>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</si>
  <si>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</si>
  <si>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</si>
  <si>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</si>
  <si>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</si>
  <si>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</si>
  <si>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</si>
  <si>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</si>
  <si>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</si>
  <si>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</si>
  <si>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</si>
  <si>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</si>
  <si>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</si>
  <si>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</si>
  <si>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</si>
  <si>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</si>
  <si>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</si>
  <si>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</si>
  <si>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</si>
  <si>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</si>
  <si>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</si>
  <si>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</si>
  <si>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</si>
  <si>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</si>
  <si>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</si>
  <si>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</si>
  <si>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</si>
  <si>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</si>
  <si>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</si>
  <si>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</si>
  <si>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</si>
  <si>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</si>
  <si>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</si>
  <si>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</si>
  <si>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</si>
  <si>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</si>
  <si>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</si>
  <si>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</si>
  <si>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</si>
  <si>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</si>
  <si>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</si>
  <si>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</si>
  <si>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</si>
  <si>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</si>
  <si>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</si>
  <si>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</si>
  <si>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</si>
  <si>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</si>
  <si>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</si>
  <si>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</si>
  <si>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</si>
  <si>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</si>
  <si>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</si>
  <si>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</si>
  <si>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</si>
  <si>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</si>
  <si>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</si>
  <si>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</si>
  <si>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</si>
  <si>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</si>
  <si>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</si>
  <si>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</si>
  <si>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</si>
  <si>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</si>
  <si>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</si>
  <si>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</si>
  <si>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</si>
  <si>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</si>
  <si>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</si>
  <si>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</si>
  <si>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</si>
  <si>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</si>
  <si>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</si>
  <si>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</si>
  <si>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</si>
  <si>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</si>
  <si>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</si>
  <si>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</si>
  <si>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</si>
  <si>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</si>
  <si>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</si>
  <si>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</si>
  <si>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</si>
  <si>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</si>
  <si>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</si>
  <si>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</si>
  <si>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</si>
  <si>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</si>
  <si>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</si>
  <si>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</si>
  <si>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</si>
  <si>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</si>
  <si>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</si>
  <si>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</si>
  <si>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</si>
  <si>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</si>
  <si>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</si>
  <si>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</si>
  <si>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</si>
  <si>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</si>
  <si>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</si>
  <si>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</si>
  <si>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</si>
  <si>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</si>
  <si>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</si>
  <si>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</si>
  <si>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</si>
  <si>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</si>
  <si>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</si>
  <si>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</si>
  <si>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</si>
  <si>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</si>
  <si>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</si>
  <si>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</si>
  <si>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</si>
  <si>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</si>
  <si>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</si>
  <si>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</si>
  <si>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</si>
  <si>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</si>
  <si>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</si>
  <si>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</si>
  <si>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</si>
  <si>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</si>
  <si>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</si>
  <si>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</si>
  <si>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</si>
  <si>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</si>
  <si>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</si>
  <si>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</si>
  <si>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</si>
  <si>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</si>
  <si>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</si>
  <si>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</si>
  <si>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</si>
  <si>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</si>
  <si>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</si>
  <si>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</si>
  <si>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</si>
  <si>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</si>
  <si>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</si>
  <si>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</si>
  <si>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</si>
  <si>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</si>
  <si>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</si>
  <si>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</si>
  <si>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</si>
  <si>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</si>
  <si>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</si>
  <si>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</si>
  <si>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</si>
  <si>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</si>
  <si>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</si>
  <si>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</si>
  <si>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</si>
  <si>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</si>
  <si>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</si>
  <si>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</si>
  <si>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</si>
  <si>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</si>
  <si>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</si>
  <si>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</si>
  <si>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</si>
  <si>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</si>
  <si>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</si>
  <si>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</si>
  <si>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</si>
  <si>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</si>
  <si>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</si>
  <si>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</si>
  <si>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</si>
  <si>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</si>
  <si>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</si>
  <si>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</si>
  <si>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</si>
  <si>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</si>
  <si>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</si>
  <si>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</si>
  <si>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</si>
  <si>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</si>
  <si>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</si>
  <si>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</si>
  <si>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</si>
  <si>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</si>
  <si>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</si>
  <si>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</si>
  <si>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</si>
  <si>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</si>
  <si>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</si>
  <si>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</si>
  <si>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</si>
  <si>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</si>
  <si>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</si>
  <si>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</si>
  <si>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</si>
  <si>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</si>
  <si>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</si>
  <si>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</si>
  <si>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</si>
  <si>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</si>
  <si>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</si>
  <si>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</si>
  <si>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</si>
  <si>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</si>
  <si>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</si>
  <si>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</si>
  <si>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</si>
  <si>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</si>
  <si>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</si>
  <si>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</si>
  <si>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</si>
  <si>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</si>
  <si>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</si>
  <si>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</si>
  <si>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</si>
  <si>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</si>
  <si>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</si>
  <si>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</si>
  <si>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</si>
  <si>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</si>
  <si>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</si>
  <si>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</si>
  <si>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</si>
  <si>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</si>
  <si>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</si>
  <si>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</si>
  <si>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</si>
  <si>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</si>
  <si>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</si>
  <si>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</si>
  <si>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</si>
  <si>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</si>
  <si>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</si>
  <si>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</si>
  <si>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</si>
  <si>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</si>
  <si>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</si>
  <si>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</si>
  <si>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</si>
  <si>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</si>
  <si>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</si>
  <si>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</si>
  <si>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</si>
  <si>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</si>
  <si>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</si>
  <si>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</si>
  <si>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</si>
  <si>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</si>
  <si>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</si>
  <si>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</si>
  <si>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</si>
  <si>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</si>
  <si>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</si>
  <si>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</si>
  <si>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</si>
  <si>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</si>
  <si>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</si>
  <si>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</si>
  <si>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</si>
  <si>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</si>
  <si>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</si>
  <si>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</si>
  <si>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</si>
  <si>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</si>
  <si>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</si>
  <si>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</si>
  <si>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</si>
  <si>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</si>
  <si>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</si>
  <si>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</si>
  <si>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</si>
  <si>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</si>
  <si>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</si>
  <si>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</si>
  <si>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</si>
  <si>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</si>
  <si>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</si>
  <si>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</si>
  <si>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</si>
  <si>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</si>
  <si>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</si>
  <si>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</si>
  <si>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</si>
  <si>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</si>
  <si>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</si>
  <si>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</si>
  <si>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</si>
  <si>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</si>
  <si>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</si>
  <si>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</si>
  <si>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</si>
  <si>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</si>
  <si>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</si>
  <si>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</si>
  <si>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</si>
  <si>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</si>
  <si>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</si>
  <si>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</si>
  <si>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</si>
  <si>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</si>
  <si>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</si>
  <si>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</si>
  <si>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</si>
  <si>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</si>
  <si>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</si>
  <si>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</si>
  <si>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</si>
  <si>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</si>
  <si>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</si>
  <si>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</si>
  <si>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</si>
  <si>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</si>
  <si>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</si>
  <si>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</si>
  <si>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</si>
  <si>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</si>
  <si>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</si>
  <si>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</si>
  <si>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</si>
  <si>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</si>
  <si>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</si>
  <si>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</si>
  <si>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</si>
  <si>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</si>
  <si>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</si>
  <si>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</si>
  <si>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</si>
  <si>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</si>
  <si>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</si>
  <si>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</si>
  <si>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</si>
  <si>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</si>
  <si>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</si>
  <si>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</si>
  <si>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</si>
  <si>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</si>
  <si>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</si>
  <si>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</si>
  <si>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</si>
  <si>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</si>
  <si>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</si>
  <si>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</si>
  <si>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</si>
  <si>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</si>
  <si>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</si>
  <si>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</si>
  <si>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</si>
  <si>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</si>
  <si>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</si>
  <si>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</si>
  <si>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</si>
  <si>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</si>
  <si>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</si>
  <si>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</si>
  <si>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</si>
  <si>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</si>
  <si>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</si>
  <si>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</si>
  <si>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</si>
  <si>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</si>
  <si>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</si>
  <si>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</si>
  <si>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</si>
  <si>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</si>
  <si>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</si>
  <si>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</si>
  <si>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</si>
  <si>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</si>
  <si>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</si>
  <si>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</si>
  <si>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</si>
  <si>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</si>
  <si>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</si>
  <si>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</si>
  <si>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</si>
  <si>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</si>
  <si>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</si>
  <si>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</si>
  <si>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</si>
  <si>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</si>
  <si>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</si>
  <si>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</si>
  <si>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</si>
  <si>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</si>
  <si>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</si>
  <si>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</si>
  <si>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</si>
  <si>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</si>
  <si>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</si>
  <si>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</si>
  <si>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</si>
  <si>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</si>
  <si>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</si>
  <si>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</si>
  <si>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</si>
  <si>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</si>
  <si>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</si>
  <si>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</si>
  <si>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</si>
  <si>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</si>
  <si>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</si>
  <si>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</si>
  <si>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</si>
  <si>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</si>
  <si>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</si>
  <si>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</si>
  <si>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</si>
  <si>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</si>
  <si>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</si>
  <si>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</si>
  <si>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</si>
  <si>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</si>
  <si>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</si>
  <si>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</si>
  <si>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</si>
  <si>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</si>
  <si>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</si>
  <si>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</si>
  <si>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</si>
  <si>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</si>
  <si>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</si>
  <si>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</si>
  <si>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</si>
  <si>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</si>
  <si>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</si>
  <si>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</si>
  <si>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</si>
  <si>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</si>
  <si>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</si>
  <si>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</si>
  <si>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</si>
  <si>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</si>
  <si>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</si>
  <si>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</si>
  <si>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</si>
  <si>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</si>
  <si>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</si>
  <si>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</si>
  <si>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</si>
  <si>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</si>
  <si>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</si>
  <si>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</si>
  <si>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</si>
  <si>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</si>
  <si>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</si>
  <si>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</si>
  <si>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</si>
  <si>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</si>
  <si>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</si>
  <si>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</si>
  <si>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</si>
  <si>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</si>
  <si>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</si>
  <si>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</si>
  <si>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</si>
  <si>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</si>
  <si>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</si>
  <si>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</si>
  <si>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</si>
  <si>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</si>
  <si>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</si>
  <si>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</si>
  <si>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</si>
  <si>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</si>
  <si>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</si>
  <si>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</si>
  <si>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</si>
  <si>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</si>
  <si>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</si>
  <si>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</si>
  <si>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</si>
  <si>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</si>
  <si>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</si>
  <si>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</si>
  <si>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</si>
  <si>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</si>
  <si>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</si>
  <si>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</si>
  <si>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</si>
  <si>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</si>
  <si>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</si>
  <si>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</si>
  <si>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</si>
  <si>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</si>
  <si>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</si>
  <si>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</si>
  <si>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</si>
  <si>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</si>
  <si>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</si>
  <si>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</si>
  <si>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</si>
  <si>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</si>
  <si>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</si>
  <si>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</si>
  <si>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</si>
  <si>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</si>
  <si>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</si>
  <si>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</si>
  <si>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</si>
  <si>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</si>
  <si>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</si>
  <si>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</si>
  <si>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</si>
  <si>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</si>
  <si>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</si>
  <si>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</si>
  <si>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</si>
  <si>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</si>
  <si>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</si>
  <si>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</si>
  <si>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</si>
  <si>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</si>
  <si>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</si>
  <si>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</si>
  <si>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</si>
  <si>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</si>
  <si>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</si>
  <si>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</si>
  <si>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</si>
  <si>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</si>
  <si>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</si>
  <si>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</si>
  <si>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</si>
  <si>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</si>
  <si>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</si>
  <si>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</si>
  <si>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</si>
  <si>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</si>
  <si>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</si>
  <si>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</si>
  <si>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</si>
  <si>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</si>
  <si>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</si>
  <si>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</si>
  <si>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</si>
  <si>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</si>
  <si>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</si>
  <si>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</si>
  <si>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</si>
  <si>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</si>
  <si>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</si>
  <si>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</si>
  <si>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</si>
  <si>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</si>
  <si>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</si>
  <si>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</si>
  <si>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</si>
  <si>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</si>
  <si>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</si>
  <si>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</si>
  <si>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</si>
  <si>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</si>
  <si>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</si>
  <si>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</si>
  <si>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</si>
  <si>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</si>
  <si>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</si>
  <si>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</si>
  <si>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</si>
  <si>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</si>
  <si>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</si>
  <si>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</si>
  <si>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</si>
  <si>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</si>
  <si>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</si>
  <si>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</si>
  <si>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</si>
  <si>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</si>
  <si>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</si>
  <si>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</si>
  <si>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</si>
  <si>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</si>
  <si>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</si>
  <si>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</si>
  <si>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</si>
  <si>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</si>
  <si>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</si>
  <si>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</si>
  <si>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</si>
  <si>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</si>
  <si>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</si>
  <si>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</si>
  <si>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</si>
  <si>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</si>
  <si>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</si>
  <si>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</si>
  <si>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</si>
  <si>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</si>
  <si>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</si>
  <si>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</si>
  <si>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</si>
  <si>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</si>
  <si>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</si>
  <si>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</si>
  <si>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</si>
  <si>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</si>
  <si>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</si>
  <si>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</si>
  <si>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</si>
  <si>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</si>
  <si>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</si>
  <si>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</si>
  <si>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</si>
  <si>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</si>
  <si>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</si>
  <si>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</si>
  <si>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</si>
  <si>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</si>
  <si>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</si>
  <si>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</si>
  <si>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</si>
  <si>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</si>
  <si>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</si>
  <si>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</si>
  <si>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</si>
  <si>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</si>
  <si>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</si>
  <si>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</si>
  <si>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</si>
  <si>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</si>
  <si>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</si>
  <si>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</si>
  <si>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</si>
  <si>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</si>
  <si>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</si>
  <si>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</si>
  <si>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</si>
  <si>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</si>
  <si>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</si>
  <si>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</si>
  <si>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</si>
  <si>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</si>
  <si>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</si>
  <si>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</si>
  <si>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</si>
  <si>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</si>
  <si>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</si>
  <si>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</si>
  <si>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</si>
  <si>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</si>
  <si>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</si>
  <si>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</si>
  <si>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</si>
  <si>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</si>
  <si>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</si>
  <si>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</si>
  <si>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</si>
  <si>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</si>
  <si>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</si>
  <si>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</si>
  <si>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</si>
  <si>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</si>
  <si>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</si>
  <si>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</si>
  <si>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</si>
  <si>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</si>
  <si>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</si>
  <si>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</si>
  <si>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</si>
  <si>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</si>
  <si>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</si>
  <si>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</si>
  <si>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</si>
  <si>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</si>
  <si>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</si>
  <si>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</si>
  <si>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</si>
  <si>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</si>
  <si>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</si>
  <si>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</si>
  <si>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</si>
  <si>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</si>
  <si>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</si>
  <si>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</si>
  <si>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</si>
  <si>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</si>
  <si>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</si>
  <si>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</si>
  <si>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</si>
  <si>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</si>
  <si>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</si>
  <si>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</si>
  <si>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</si>
  <si>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</si>
  <si>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</si>
  <si>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</si>
  <si>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</si>
  <si>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</si>
  <si>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</si>
  <si>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</si>
  <si>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</si>
  <si>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</si>
  <si>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</si>
  <si>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</si>
  <si>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</si>
  <si>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</si>
  <si>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</si>
  <si>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</si>
  <si>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</si>
  <si>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</si>
  <si>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</si>
  <si>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</si>
  <si>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</si>
  <si>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</si>
  <si>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</si>
  <si>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</si>
  <si>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</si>
  <si>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</si>
  <si>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</si>
  <si>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</si>
  <si>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</si>
  <si>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</si>
  <si>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</si>
  <si>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</si>
  <si>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</si>
  <si>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</si>
  <si>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</si>
  <si>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</si>
  <si>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</si>
  <si>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</si>
  <si>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</si>
  <si>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</si>
  <si>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</si>
  <si>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</si>
  <si>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</si>
  <si>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</si>
  <si>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</si>
  <si>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</si>
  <si>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</si>
  <si>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</si>
  <si>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</si>
  <si>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</si>
  <si>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</si>
  <si>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</si>
  <si>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</si>
  <si>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</si>
  <si>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</si>
  <si>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</si>
  <si>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</si>
  <si>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</si>
  <si>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</si>
  <si>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</si>
  <si>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</si>
  <si>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</si>
  <si>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</si>
  <si>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</si>
  <si>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</si>
  <si>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</si>
  <si>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</si>
  <si>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</si>
  <si>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</si>
  <si>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</si>
  <si>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</si>
  <si>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</si>
  <si>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</si>
  <si>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</si>
  <si>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</si>
  <si>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</si>
  <si>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</si>
  <si>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</si>
  <si>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</si>
  <si>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</si>
  <si>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</si>
  <si>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</si>
  <si>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</si>
  <si>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</si>
  <si>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</si>
  <si>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</si>
  <si>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</si>
  <si>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</si>
  <si>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</si>
  <si>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</si>
  <si>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</si>
  <si>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</si>
  <si>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</si>
  <si>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</si>
  <si>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</si>
  <si>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</si>
  <si>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</si>
  <si>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</si>
  <si>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</si>
  <si>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</si>
  <si>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</si>
  <si>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</si>
  <si>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</si>
  <si>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</si>
  <si>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</si>
  <si>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</si>
  <si>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</si>
  <si>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</si>
  <si>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</si>
  <si>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</si>
  <si>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</si>
  <si>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</si>
  <si>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</si>
  <si>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</si>
  <si>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</si>
  <si>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</si>
  <si>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</si>
  <si>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</si>
  <si>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</si>
  <si>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</si>
  <si>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</si>
  <si>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</si>
  <si>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</si>
  <si>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</si>
  <si>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</si>
  <si>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</si>
  <si>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</si>
  <si>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</si>
  <si>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</si>
  <si>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</si>
  <si>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</si>
  <si>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</si>
  <si>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</si>
  <si>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</si>
  <si>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</si>
  <si>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</si>
  <si>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</si>
  <si>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</si>
  <si>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</si>
  <si>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</si>
  <si>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</si>
  <si>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</si>
  <si>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</si>
  <si>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</si>
  <si>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</si>
  <si>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</si>
  <si>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</si>
  <si>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</si>
  <si>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</si>
  <si>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</si>
  <si>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</si>
  <si>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</si>
  <si>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</si>
  <si>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</si>
  <si>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</si>
  <si>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</si>
  <si>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</si>
  <si>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</si>
  <si>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</si>
  <si>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</si>
  <si>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</si>
  <si>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</si>
  <si>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</si>
  <si>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</si>
  <si>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</si>
  <si>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</si>
  <si>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</si>
  <si>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</si>
  <si>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</si>
  <si>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</si>
  <si>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</si>
  <si>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</si>
  <si>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</si>
  <si>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</si>
  <si>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</si>
  <si>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</si>
  <si>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</si>
  <si>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</si>
  <si>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</si>
  <si>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</si>
  <si>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</si>
  <si>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</si>
  <si>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</si>
  <si>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</si>
  <si>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</si>
  <si>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</si>
  <si>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</si>
  <si>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</si>
  <si>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</si>
  <si>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</si>
  <si>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</si>
  <si>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</si>
  <si>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</si>
  <si>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</si>
  <si>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</si>
  <si>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</si>
  <si>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</si>
  <si>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</si>
  <si>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</si>
  <si>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</si>
  <si>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</si>
  <si>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</si>
  <si>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</si>
  <si>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</si>
  <si>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</si>
  <si>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</si>
  <si>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</si>
  <si>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</si>
  <si>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</si>
  <si>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</si>
  <si>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</si>
  <si>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</si>
  <si>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</si>
  <si>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</si>
  <si>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</si>
  <si>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</si>
  <si>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</si>
  <si>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</si>
  <si>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</si>
  <si>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</si>
  <si>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</si>
  <si>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</si>
  <si>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</si>
  <si>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</si>
  <si>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</si>
  <si>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</si>
  <si>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</si>
  <si>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</si>
  <si>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</si>
  <si>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</si>
  <si>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</si>
  <si>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</si>
  <si>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</si>
  <si>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</si>
  <si>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</si>
  <si>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</si>
  <si>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</si>
  <si>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</si>
  <si>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</si>
  <si>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</si>
  <si>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</si>
  <si>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</si>
  <si>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</si>
  <si>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</si>
  <si>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</si>
  <si>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</si>
  <si>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</si>
  <si>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</si>
  <si>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</si>
  <si>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</si>
  <si>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</si>
  <si>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</si>
  <si>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</si>
  <si>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</si>
  <si>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</si>
  <si>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</si>
  <si>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</si>
  <si>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</si>
  <si>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</si>
  <si>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</si>
  <si>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</si>
  <si>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</si>
  <si>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</si>
  <si>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</si>
  <si>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</si>
  <si>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</si>
  <si>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</si>
  <si>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</si>
  <si>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</si>
  <si>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</si>
  <si>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</si>
  <si>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</si>
  <si>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</si>
  <si>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</si>
  <si>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</si>
  <si>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</si>
  <si>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</si>
  <si>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</si>
  <si>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</si>
  <si>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</si>
  <si>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</si>
  <si>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</si>
  <si>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</si>
  <si>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</si>
  <si>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</si>
  <si>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</si>
  <si>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</si>
  <si>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</si>
  <si>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</si>
  <si>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</si>
  <si>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</si>
  <si>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</si>
  <si>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</si>
  <si>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</si>
  <si>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</si>
  <si>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</si>
  <si>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</si>
  <si>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</si>
  <si>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</si>
  <si>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</si>
  <si>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</si>
  <si>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</si>
  <si>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</si>
  <si>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</si>
  <si>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</si>
  <si>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</si>
  <si>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</si>
  <si>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</si>
  <si>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</si>
  <si>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</si>
  <si>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</si>
  <si>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</si>
  <si>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</si>
  <si>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</si>
  <si>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</si>
  <si>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</si>
  <si>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</si>
  <si>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</si>
  <si>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</si>
  <si>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</si>
  <si>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</si>
  <si>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</si>
  <si>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</si>
  <si>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</si>
  <si>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</si>
  <si>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</si>
  <si>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</si>
  <si>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</si>
  <si>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</si>
  <si>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</si>
  <si>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</si>
  <si>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</si>
  <si>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</si>
  <si>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</si>
  <si>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</si>
  <si>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</si>
  <si>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</si>
  <si>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</si>
  <si>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</si>
  <si>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</si>
  <si>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</si>
  <si>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</si>
  <si>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</si>
  <si>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</si>
  <si>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</si>
  <si>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</si>
  <si>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</si>
  <si>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</si>
  <si>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</si>
  <si>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</si>
  <si>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</si>
  <si>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</si>
  <si>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</si>
  <si>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</si>
  <si>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</si>
  <si>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</si>
  <si>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</si>
  <si>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</si>
  <si>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</si>
  <si>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</si>
  <si>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</si>
  <si>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</si>
  <si>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</si>
  <si>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</si>
  <si>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</si>
  <si>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</si>
  <si>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</si>
  <si>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</si>
  <si>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</si>
  <si>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</si>
  <si>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</si>
  <si>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</si>
  <si>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</si>
  <si>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</si>
  <si>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</si>
  <si>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</si>
  <si>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</si>
  <si>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</si>
  <si>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</si>
  <si>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</si>
  <si>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</si>
  <si>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</si>
  <si>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</si>
  <si>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</si>
  <si>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</si>
  <si>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</si>
  <si>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</si>
  <si>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</si>
  <si>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</si>
  <si>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</si>
  <si>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</si>
  <si>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</si>
  <si>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</si>
  <si>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</si>
  <si>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</si>
  <si>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</si>
  <si>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</si>
  <si>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</si>
  <si>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</si>
  <si>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</si>
  <si>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</si>
  <si>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</si>
  <si>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</si>
  <si>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</si>
  <si>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</si>
  <si>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</si>
  <si>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</si>
  <si>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</si>
  <si>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</si>
  <si>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</si>
  <si>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</si>
  <si>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</si>
  <si>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</si>
  <si>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</si>
  <si>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</si>
  <si>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</si>
  <si>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</si>
  <si>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</si>
  <si>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</si>
  <si>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</si>
  <si>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</si>
  <si>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</si>
  <si>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</si>
  <si>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</si>
  <si>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</si>
  <si>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</si>
  <si>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</si>
  <si>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</si>
  <si>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</si>
  <si>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</si>
  <si>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</si>
  <si>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</si>
  <si>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</si>
  <si>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</si>
  <si>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</si>
  <si>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</si>
  <si>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</si>
  <si>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</si>
  <si>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</si>
  <si>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</si>
  <si>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</si>
  <si>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</si>
  <si>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</si>
  <si>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</si>
  <si>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</si>
  <si>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</si>
  <si>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</si>
  <si>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</si>
  <si>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</si>
  <si>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</si>
  <si>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</si>
  <si>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</si>
  <si>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</si>
  <si>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</si>
  <si>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</si>
  <si>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</si>
  <si>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</si>
  <si>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</si>
  <si>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</si>
  <si>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</si>
  <si>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</si>
  <si>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</si>
  <si>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</si>
  <si>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</si>
  <si>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</si>
  <si>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</si>
  <si>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</si>
  <si>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</si>
  <si>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</si>
  <si>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</si>
  <si>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</si>
  <si>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</si>
  <si>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</si>
  <si>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</si>
  <si>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</si>
  <si>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</si>
  <si>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</si>
  <si>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</si>
  <si>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</si>
  <si>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</si>
  <si>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</si>
  <si>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</si>
  <si>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</si>
  <si>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</si>
  <si>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</si>
  <si>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</si>
  <si>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</si>
  <si>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</si>
  <si>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</si>
  <si>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</si>
  <si>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</si>
  <si>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</si>
  <si>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</si>
  <si>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</si>
  <si>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</si>
  <si>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</si>
  <si>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</si>
  <si>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</si>
  <si>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</si>
  <si>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</si>
  <si>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</si>
  <si>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</si>
  <si>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</si>
  <si>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</si>
  <si>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</si>
  <si>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</si>
  <si>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</si>
  <si>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</si>
  <si>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</si>
  <si>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</si>
  <si>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</si>
  <si>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</si>
  <si>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</si>
  <si>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</si>
  <si>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</si>
  <si>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</si>
  <si>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</si>
  <si>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</si>
  <si>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</si>
  <si>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</si>
  <si>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</si>
  <si>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</si>
  <si>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</si>
  <si>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</si>
  <si>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</si>
  <si>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</si>
  <si>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</si>
  <si>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</si>
  <si>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</si>
  <si>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</si>
  <si>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</si>
  <si>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</si>
  <si>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</si>
  <si>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</si>
  <si>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</si>
  <si>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</si>
  <si>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</si>
  <si>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</si>
  <si>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</si>
  <si>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</si>
  <si>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</si>
  <si>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</si>
  <si>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</si>
  <si>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</si>
  <si>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</si>
  <si>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</si>
  <si>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</si>
  <si>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</si>
  <si>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</si>
  <si>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</si>
  <si>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</si>
  <si>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</si>
  <si>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</si>
  <si>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</si>
  <si>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</si>
  <si>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</si>
  <si>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</si>
  <si>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</si>
  <si>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</si>
  <si>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</si>
  <si>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</si>
  <si>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</si>
  <si>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</si>
  <si>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</si>
  <si>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</si>
  <si>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</si>
  <si>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</si>
  <si>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</si>
  <si>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</si>
  <si>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</si>
  <si>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</si>
  <si>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</si>
  <si>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</si>
  <si>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</si>
  <si>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</si>
  <si>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</si>
  <si>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</si>
  <si>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</si>
  <si>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</si>
  <si>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</si>
  <si>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</si>
  <si>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</si>
  <si>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</si>
  <si>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</si>
  <si>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</si>
  <si>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</si>
  <si>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</si>
  <si>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</si>
  <si>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</si>
  <si>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</si>
  <si>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</si>
  <si>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</si>
  <si>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</si>
  <si>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</si>
  <si>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</si>
  <si>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</si>
  <si>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</si>
  <si>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</si>
  <si>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</si>
  <si>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</si>
  <si>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</si>
  <si>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</si>
  <si>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</si>
  <si>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</si>
  <si>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</si>
  <si>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</si>
  <si>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</si>
  <si>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</si>
  <si>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</si>
  <si>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</si>
  <si>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</si>
  <si>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</si>
  <si>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</si>
  <si>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</si>
  <si>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</si>
  <si>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</si>
  <si>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</si>
  <si>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</si>
  <si>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</si>
  <si>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</si>
  <si>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</si>
  <si>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</si>
  <si>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</si>
  <si>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</si>
  <si>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</si>
  <si>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</si>
  <si>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</si>
  <si>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</si>
  <si>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</si>
  <si>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</si>
  <si>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</si>
  <si>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</si>
  <si>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</si>
  <si>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</si>
  <si>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</si>
  <si>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</si>
  <si>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</si>
  <si>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</si>
  <si>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</si>
  <si>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</si>
  <si>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</si>
  <si>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</si>
  <si>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</si>
  <si>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</si>
  <si>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</si>
  <si>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</si>
  <si>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</si>
  <si>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</si>
  <si>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</si>
  <si>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</si>
  <si>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</si>
  <si>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</si>
  <si>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</si>
  <si>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</si>
  <si>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</si>
  <si>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</si>
  <si>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</si>
  <si>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</si>
  <si>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</si>
  <si>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</si>
  <si>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</si>
  <si>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</si>
  <si>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</si>
  <si>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</si>
  <si>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</si>
  <si>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</si>
  <si>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</si>
  <si>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</si>
  <si>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</si>
  <si>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</si>
  <si>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</si>
  <si>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</si>
  <si>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</si>
  <si>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</si>
  <si>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</si>
  <si>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</si>
  <si>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</si>
  <si>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</si>
  <si>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</si>
  <si>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</si>
  <si>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</si>
  <si>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</si>
  <si>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</si>
  <si>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</si>
  <si>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</si>
  <si>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</si>
  <si>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</si>
  <si>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</si>
  <si>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</si>
  <si>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</si>
  <si>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</si>
  <si>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</si>
  <si>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</si>
  <si>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</si>
  <si>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</si>
  <si>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</si>
  <si>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</si>
  <si>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</si>
  <si>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</si>
  <si>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</si>
  <si>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</si>
  <si>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</si>
  <si>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</si>
  <si>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</si>
  <si>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</si>
  <si>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</si>
  <si>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</si>
  <si>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</si>
  <si>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</si>
  <si>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</si>
  <si>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</si>
  <si>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</si>
  <si>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</si>
  <si>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</si>
  <si>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</si>
  <si>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</si>
  <si>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</si>
  <si>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</si>
  <si>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</si>
  <si>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</si>
  <si>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</si>
  <si>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</si>
  <si>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</si>
  <si>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</si>
  <si>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</si>
  <si>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</si>
  <si>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</si>
  <si>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</si>
  <si>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</si>
  <si>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</si>
  <si>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</si>
  <si>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</si>
  <si>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</si>
  <si>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</si>
  <si>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</si>
  <si>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</si>
  <si>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</si>
  <si>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</si>
  <si>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</si>
  <si>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</si>
  <si>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</si>
  <si>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</si>
  <si>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</si>
  <si>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</si>
  <si>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</si>
  <si>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</si>
  <si>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</si>
  <si>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</si>
  <si>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</si>
  <si>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</si>
  <si>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</si>
  <si>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</si>
  <si>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</si>
  <si>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</si>
  <si>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</si>
  <si>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</si>
  <si>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</si>
  <si>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</si>
  <si>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</si>
  <si>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</si>
  <si>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</si>
  <si>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</si>
  <si>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</si>
  <si>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</si>
  <si>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</si>
  <si>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</si>
  <si>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</si>
  <si>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</si>
  <si>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</si>
  <si>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</si>
  <si>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</si>
  <si>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</si>
  <si>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</si>
  <si>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</si>
  <si>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</si>
  <si>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</si>
  <si>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</si>
  <si>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</si>
  <si>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</si>
  <si>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</si>
  <si>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</si>
  <si>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</si>
  <si>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</si>
  <si>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</si>
  <si>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</si>
  <si>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</si>
  <si>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</si>
  <si>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</si>
  <si>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</si>
  <si>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</si>
  <si>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</si>
  <si>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</si>
  <si>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</si>
  <si>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</si>
  <si>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</si>
  <si>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</si>
  <si>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</si>
  <si>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</si>
  <si>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</si>
  <si>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</si>
  <si>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</si>
  <si>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</si>
  <si>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</si>
  <si>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</si>
  <si>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</si>
  <si>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</si>
  <si>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</si>
  <si>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</si>
  <si>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</si>
  <si>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</si>
  <si>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</si>
  <si>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</si>
  <si>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</si>
  <si>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</si>
  <si>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</si>
  <si>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</si>
  <si>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</si>
  <si>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</si>
  <si>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</si>
  <si>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</si>
  <si>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</si>
  <si>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</si>
  <si>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</si>
  <si>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</si>
  <si>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</si>
  <si>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</si>
  <si>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</si>
  <si>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</si>
  <si>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</si>
  <si>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</si>
  <si>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</si>
  <si>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</si>
  <si>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</si>
  <si>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</si>
  <si>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</si>
  <si>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</si>
  <si>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</si>
  <si>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</si>
  <si>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</si>
  <si>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</si>
  <si>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</si>
  <si>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</si>
  <si>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</si>
  <si>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</si>
  <si>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</si>
  <si>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</si>
  <si>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</si>
  <si>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</si>
  <si>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</si>
  <si>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</si>
  <si>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</si>
  <si>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</si>
  <si>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</si>
  <si>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</si>
  <si>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</si>
  <si>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</si>
  <si>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</si>
  <si>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</si>
  <si>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</si>
  <si>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</si>
  <si>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</si>
  <si>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</si>
  <si>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</si>
  <si>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</si>
  <si>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</si>
  <si>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</si>
  <si>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</si>
  <si>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</si>
  <si>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</si>
  <si>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</si>
  <si>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</si>
  <si>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</si>
  <si>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</si>
  <si>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</si>
  <si>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</si>
  <si>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</si>
  <si>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</si>
  <si>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</si>
  <si>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</si>
  <si>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</si>
  <si>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</si>
  <si>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</si>
  <si>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</si>
  <si>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</si>
  <si>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</si>
  <si>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</si>
  <si>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</si>
  <si>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</si>
  <si>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</si>
  <si>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</si>
  <si>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</si>
  <si>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</si>
  <si>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</si>
  <si>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</si>
  <si>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</si>
  <si>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</si>
  <si>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</si>
  <si>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</si>
  <si>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</si>
  <si>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</si>
  <si>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</si>
  <si>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</si>
  <si>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</si>
  <si>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</si>
  <si>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</si>
  <si>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</si>
  <si>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</si>
  <si>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</si>
  <si>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</si>
  <si>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</si>
  <si>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</si>
  <si>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</si>
  <si>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</si>
  <si>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</si>
  <si>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</si>
  <si>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</si>
  <si>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</si>
  <si>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</si>
  <si>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</si>
  <si>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</si>
  <si>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</si>
  <si>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</si>
  <si>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</si>
  <si>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</si>
  <si>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</si>
  <si>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</si>
  <si>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</si>
  <si>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</si>
  <si>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</si>
  <si>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</si>
  <si>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</si>
  <si>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</si>
  <si>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</si>
  <si>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</si>
  <si>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</si>
  <si>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</si>
  <si>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</si>
  <si>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</si>
  <si>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</si>
  <si>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</si>
  <si>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</si>
  <si>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</si>
  <si>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</si>
  <si>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</si>
  <si>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</si>
  <si>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</si>
  <si>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</si>
  <si>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</si>
  <si>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</si>
  <si>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</si>
  <si>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</si>
  <si>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</si>
  <si>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</si>
  <si>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</si>
  <si>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</si>
  <si>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</si>
  <si>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</si>
  <si>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</si>
  <si>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</si>
  <si>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</si>
  <si>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</si>
  <si>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</si>
  <si>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</si>
  <si>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</si>
  <si>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</si>
  <si>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</si>
  <si>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</si>
  <si>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</si>
  <si>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</si>
  <si>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</si>
  <si>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</si>
  <si>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</si>
  <si>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</si>
  <si>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</si>
  <si>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</si>
  <si>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</si>
  <si>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</si>
  <si>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</si>
  <si>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</si>
  <si>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</si>
  <si>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</si>
  <si>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</si>
  <si>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</si>
  <si>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</si>
  <si>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</si>
  <si>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</si>
  <si>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</si>
  <si>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</si>
  <si>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</si>
  <si>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</si>
  <si>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</si>
  <si>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</si>
  <si>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</si>
  <si>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</si>
  <si>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</si>
  <si>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</si>
  <si>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</si>
  <si>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</si>
  <si>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</si>
  <si>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</si>
  <si>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</si>
  <si>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</si>
  <si>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</si>
  <si>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</si>
  <si>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</si>
  <si>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</si>
  <si>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</si>
  <si>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</si>
  <si>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</si>
  <si>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</si>
  <si>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</si>
  <si>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</si>
  <si>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</si>
  <si>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</si>
  <si>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</si>
  <si>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</si>
  <si>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</si>
  <si>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</si>
  <si>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</si>
  <si>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</si>
  <si>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</si>
  <si>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</si>
  <si>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</si>
  <si>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</si>
  <si>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</si>
  <si>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</si>
  <si>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</si>
  <si>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</si>
  <si>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</si>
  <si>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</si>
  <si>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</si>
  <si>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</si>
  <si>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</si>
  <si>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</si>
  <si>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</si>
  <si>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</si>
  <si>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</si>
  <si>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</si>
  <si>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</si>
  <si>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</si>
  <si>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</si>
  <si>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</si>
  <si>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</si>
  <si>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</si>
  <si>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</si>
  <si>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</si>
  <si>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</si>
  <si>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</si>
  <si>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</si>
  <si>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</si>
  <si>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</si>
  <si>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</si>
  <si>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</si>
  <si>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</si>
  <si>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</si>
  <si>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</si>
  <si>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</si>
  <si>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</si>
  <si>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</si>
  <si>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</si>
  <si>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</si>
  <si>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</si>
  <si>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</si>
  <si>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</si>
  <si>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</si>
  <si>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</si>
  <si>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</si>
  <si>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</si>
  <si>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</si>
  <si>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</si>
  <si>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</si>
  <si>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</si>
  <si>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</si>
  <si>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</si>
  <si>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</si>
  <si>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</si>
  <si>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</si>
  <si>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</si>
  <si>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</si>
  <si>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</si>
  <si>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</si>
  <si>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</si>
  <si>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</si>
  <si>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</si>
  <si>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</si>
  <si>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</si>
  <si>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</si>
  <si>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</si>
  <si>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</si>
  <si>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</si>
  <si>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</si>
  <si>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</si>
  <si>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</si>
  <si>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</si>
  <si>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</si>
  <si>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</si>
  <si>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</si>
  <si>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</si>
  <si>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</si>
  <si>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</si>
  <si>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</si>
  <si>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</si>
  <si>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</si>
  <si>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</si>
  <si>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</si>
  <si>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</si>
  <si>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</si>
  <si>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</si>
  <si>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</si>
  <si>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</si>
  <si>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</si>
  <si>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</si>
  <si>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</si>
  <si>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</si>
  <si>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</si>
  <si>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</si>
  <si>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</si>
  <si>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</si>
  <si>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</si>
  <si>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</si>
  <si>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</si>
  <si>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</si>
  <si>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</si>
  <si>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</si>
  <si>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</si>
  <si>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</si>
  <si>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</si>
  <si>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</si>
  <si>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</si>
  <si>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</si>
  <si>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</si>
  <si>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</si>
  <si>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</si>
  <si>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</si>
  <si>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</si>
  <si>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</si>
  <si>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</si>
  <si>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</si>
  <si>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</si>
  <si>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</si>
  <si>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</si>
  <si>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</si>
  <si>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</si>
  <si>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</si>
  <si>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</si>
  <si>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</si>
  <si>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</si>
  <si>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</si>
  <si>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</si>
  <si>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</si>
  <si>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</si>
  <si>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</si>
  <si>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</si>
  <si>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</si>
  <si>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</si>
  <si>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</si>
  <si>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</si>
  <si>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</si>
  <si>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</si>
  <si>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</si>
  <si>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</si>
  <si>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</si>
  <si>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</si>
  <si>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</si>
  <si>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</si>
  <si>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</si>
  <si>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</si>
  <si>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</si>
  <si>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</si>
  <si>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</si>
  <si>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</si>
  <si>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</si>
  <si>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</si>
  <si>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</si>
  <si>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</si>
  <si>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</si>
  <si>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</si>
  <si>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</si>
  <si>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</si>
  <si>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</si>
  <si>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</si>
  <si>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</si>
  <si>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</si>
  <si>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</si>
  <si>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</si>
  <si>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</si>
  <si>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</si>
  <si>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</si>
  <si>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</si>
  <si>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</si>
  <si>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</si>
  <si>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</si>
  <si>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</si>
  <si>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</si>
  <si>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</si>
  <si>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</si>
  <si>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</si>
  <si>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</si>
  <si>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</si>
  <si>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</si>
  <si>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</si>
  <si>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</si>
  <si>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</si>
  <si>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</si>
  <si>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</si>
  <si>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</si>
  <si>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</si>
  <si>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</si>
  <si>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</si>
  <si>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</si>
  <si>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</si>
  <si>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</si>
  <si>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</si>
  <si>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</si>
  <si>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</si>
  <si>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</si>
  <si>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</si>
  <si>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</si>
  <si>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</si>
  <si>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</si>
  <si>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</si>
  <si>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</si>
  <si>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</si>
  <si>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</si>
  <si>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</si>
  <si>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</si>
  <si>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</si>
  <si>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</si>
  <si>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</si>
  <si>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</si>
  <si>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</si>
  <si>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</si>
  <si>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</si>
  <si>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</si>
  <si>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</si>
  <si>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</si>
  <si>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</si>
  <si>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</si>
  <si>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</si>
  <si>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</si>
  <si>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</si>
  <si>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</si>
  <si>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</si>
  <si>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</si>
  <si>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</si>
  <si>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</si>
  <si>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</si>
  <si>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</si>
  <si>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</si>
  <si>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</si>
  <si>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</si>
  <si>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</si>
  <si>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</si>
  <si>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</si>
  <si>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</si>
  <si>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</si>
  <si>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</si>
  <si>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</si>
  <si>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</si>
  <si>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</si>
  <si>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</si>
  <si>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</si>
  <si>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</si>
  <si>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</si>
  <si>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</si>
  <si>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</si>
  <si>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</si>
  <si>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</si>
  <si>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</si>
  <si>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</si>
  <si>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</si>
  <si>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</si>
  <si>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</si>
  <si>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</si>
  <si>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</si>
  <si>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</si>
  <si>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</si>
  <si>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</si>
  <si>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</si>
  <si>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</si>
  <si>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</si>
  <si>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</si>
  <si>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</si>
  <si>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</si>
  <si>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</si>
  <si>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</si>
  <si>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</si>
  <si>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</si>
  <si>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</si>
  <si>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</si>
  <si>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</si>
  <si>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</si>
  <si>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</si>
  <si>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</si>
  <si>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</si>
  <si>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</si>
  <si>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</si>
  <si>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</si>
  <si>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</si>
  <si>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</si>
  <si>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</si>
  <si>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</si>
  <si>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</si>
  <si>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</si>
  <si>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</si>
  <si>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</si>
  <si>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</si>
  <si>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</si>
  <si>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</si>
  <si>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</si>
  <si>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</si>
  <si>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</si>
  <si>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</si>
  <si>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</si>
  <si>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</si>
  <si>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</si>
  <si>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</si>
  <si>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</si>
  <si>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</si>
  <si>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</si>
  <si>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</si>
  <si>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</si>
  <si>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</si>
  <si>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</si>
  <si>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</si>
  <si>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</si>
  <si>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</si>
  <si>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</si>
  <si>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</si>
  <si>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</si>
  <si>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</si>
  <si>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</si>
  <si>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</si>
  <si>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</si>
  <si>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</si>
  <si>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</si>
  <si>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</si>
  <si>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</si>
  <si>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</si>
  <si>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</si>
  <si>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</si>
  <si>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</si>
  <si>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</si>
  <si>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</si>
  <si>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</si>
  <si>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</si>
  <si>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</si>
  <si>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</si>
  <si>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</si>
  <si>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</si>
  <si>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</si>
  <si>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</si>
  <si>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</si>
  <si>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</si>
  <si>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</si>
  <si>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</si>
  <si>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</si>
  <si>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</si>
  <si>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</si>
  <si>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</si>
  <si>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</si>
  <si>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</si>
  <si>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</si>
  <si>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</si>
  <si>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</si>
  <si>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</si>
  <si>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</si>
  <si>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</si>
  <si>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</si>
  <si>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</si>
  <si>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</si>
  <si>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</si>
  <si>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</si>
  <si>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</si>
  <si>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</si>
  <si>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</si>
  <si>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</si>
  <si>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</si>
  <si>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</si>
  <si>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</si>
  <si>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</si>
  <si>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</si>
  <si>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</si>
  <si>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</si>
  <si>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</si>
  <si>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</si>
  <si>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</si>
  <si>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</si>
  <si>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</si>
  <si>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</si>
  <si>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</si>
  <si>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</si>
  <si>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</si>
  <si>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</si>
  <si>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</si>
  <si>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</si>
  <si>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</si>
  <si>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</si>
  <si>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</si>
  <si>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</si>
  <si>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</si>
  <si>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</si>
  <si>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</si>
  <si>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</si>
  <si>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</si>
  <si>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</si>
  <si>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</si>
  <si>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</si>
  <si>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</si>
  <si>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</si>
  <si>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</si>
  <si>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</si>
  <si>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</si>
  <si>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</si>
  <si>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</si>
  <si>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</si>
  <si>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</si>
  <si>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</si>
  <si>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</si>
  <si>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</si>
  <si>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</si>
  <si>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</si>
  <si>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</si>
  <si>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</si>
  <si>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</si>
  <si>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</si>
  <si>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</si>
  <si>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</si>
  <si>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</si>
  <si>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</si>
  <si>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</si>
  <si>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</si>
  <si>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</si>
  <si>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</si>
  <si>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</si>
  <si>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</si>
  <si>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</si>
  <si>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</si>
  <si>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</si>
  <si>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</si>
  <si>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</si>
  <si>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</si>
  <si>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</si>
  <si>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</si>
  <si>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</si>
  <si>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</si>
  <si>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</si>
  <si>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</si>
  <si>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</si>
  <si>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</si>
  <si>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</si>
  <si>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</si>
  <si>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</si>
  <si>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</si>
  <si>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</si>
  <si>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</si>
  <si>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</si>
  <si>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</si>
  <si>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</si>
  <si>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</si>
  <si>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</si>
  <si>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</si>
  <si>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</si>
  <si>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</si>
  <si>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</si>
  <si>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</si>
  <si>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</si>
  <si>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</si>
  <si>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</si>
  <si>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</si>
  <si>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</si>
  <si>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</si>
  <si>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</si>
  <si>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</si>
  <si>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</si>
  <si>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</si>
  <si>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</si>
  <si>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</si>
  <si>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</si>
  <si>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</si>
  <si>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</si>
  <si>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</si>
  <si>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</si>
  <si>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</si>
  <si>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</si>
  <si>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</si>
  <si>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</si>
  <si>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</si>
  <si>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</si>
  <si>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</si>
  <si>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</si>
  <si>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</si>
  <si>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</si>
  <si>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</si>
  <si>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</si>
  <si>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</si>
  <si>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</si>
  <si>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</si>
  <si>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</si>
  <si>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</si>
  <si>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</si>
  <si>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</si>
  <si>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</si>
  <si>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</si>
  <si>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</si>
  <si>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</si>
  <si>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</si>
  <si>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</si>
  <si>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</si>
  <si>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</si>
  <si>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</si>
  <si>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</si>
  <si>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</si>
  <si>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</si>
  <si>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</si>
  <si>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</si>
  <si>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</si>
  <si>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</si>
  <si>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</si>
  <si>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</si>
  <si>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</si>
  <si>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</si>
  <si>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</si>
  <si>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</si>
  <si>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</si>
  <si>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</si>
  <si>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</si>
  <si>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</si>
  <si>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</si>
  <si>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</si>
  <si>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</si>
  <si>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</si>
  <si>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</si>
  <si>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</si>
  <si>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</si>
  <si>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</si>
  <si>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</si>
  <si>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</si>
  <si>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</si>
  <si>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</si>
  <si>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</si>
  <si>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</si>
  <si>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</si>
  <si>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</si>
  <si>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</si>
  <si>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</si>
  <si>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</si>
  <si>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</si>
  <si>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</si>
  <si>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</si>
  <si>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</si>
  <si>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</si>
  <si>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</si>
  <si>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</si>
  <si>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</si>
  <si>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</si>
  <si>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</si>
  <si>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</si>
  <si>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</si>
  <si>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</si>
  <si>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</si>
  <si>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</si>
  <si>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</si>
  <si>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</si>
  <si>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</si>
  <si>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</si>
  <si>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</si>
  <si>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</si>
  <si>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</si>
  <si>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</si>
  <si>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</si>
  <si>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</si>
  <si>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</si>
  <si>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</si>
  <si>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</si>
  <si>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</si>
  <si>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</si>
  <si>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</si>
  <si>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</si>
  <si>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</si>
  <si>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</si>
  <si>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</si>
  <si>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</si>
  <si>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</si>
  <si>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</si>
  <si>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</si>
  <si>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</si>
  <si>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</si>
  <si>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</si>
  <si>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</si>
  <si>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</si>
  <si>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</si>
  <si>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</si>
  <si>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</si>
  <si>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</si>
  <si>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</si>
  <si>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</si>
  <si>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</si>
  <si>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</si>
  <si>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</si>
  <si>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</si>
  <si>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</si>
  <si>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</si>
  <si>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</si>
  <si>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</si>
  <si>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</si>
  <si>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</si>
  <si>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</si>
  <si>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</si>
  <si>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</si>
  <si>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</si>
  <si>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</si>
  <si>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</si>
  <si>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</si>
  <si>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</si>
  <si>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</si>
  <si>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</si>
  <si>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</si>
  <si>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</si>
  <si>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</si>
  <si>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</si>
  <si>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</si>
  <si>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</si>
  <si>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</si>
  <si>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</si>
  <si>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</si>
  <si>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</si>
  <si>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</si>
  <si>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</si>
  <si>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</si>
  <si>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</si>
  <si>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</si>
  <si>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</si>
  <si>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</si>
  <si>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</si>
  <si>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</si>
  <si>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</si>
  <si>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</si>
  <si>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</si>
  <si>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</si>
  <si>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</si>
  <si>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</si>
  <si>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</si>
  <si>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</si>
  <si>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</si>
  <si>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</si>
  <si>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</si>
  <si>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</si>
  <si>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</si>
  <si>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</si>
  <si>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</si>
  <si>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</si>
  <si>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</si>
  <si>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</si>
  <si>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</si>
  <si>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</si>
  <si>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</si>
  <si>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</si>
  <si>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</si>
  <si>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</si>
  <si>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</si>
  <si>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</si>
  <si>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</si>
  <si>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</si>
  <si>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</si>
  <si>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</si>
  <si>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</si>
  <si>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</si>
  <si>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</si>
  <si>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</si>
  <si>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</si>
  <si>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</si>
  <si>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</si>
  <si>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</si>
  <si>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</si>
  <si>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</si>
  <si>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</si>
  <si>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</si>
  <si>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</si>
  <si>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</si>
  <si>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</si>
  <si>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</si>
  <si>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</si>
  <si>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</si>
  <si>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</si>
  <si>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</si>
  <si>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</si>
  <si>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</si>
  <si>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</si>
  <si>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</si>
  <si>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</si>
  <si>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</si>
  <si>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</si>
  <si>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</si>
  <si>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</si>
  <si>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</si>
  <si>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</si>
  <si>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</si>
  <si>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</si>
  <si>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</si>
  <si>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</si>
  <si>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</si>
  <si>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</si>
  <si>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</si>
  <si>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</si>
  <si>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</si>
  <si>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</si>
  <si>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</si>
  <si>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</si>
  <si>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</si>
  <si>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</si>
  <si>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</si>
  <si>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</si>
  <si>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</si>
  <si>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</si>
  <si>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</si>
  <si>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</si>
  <si>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</si>
  <si>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</si>
  <si>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</si>
  <si>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</si>
  <si>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</si>
  <si>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</si>
  <si>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</si>
  <si>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</si>
  <si>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</si>
  <si>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</si>
  <si>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</si>
  <si>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</si>
  <si>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</si>
  <si>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</si>
  <si>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</si>
  <si>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</si>
  <si>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</si>
  <si>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</si>
  <si>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</si>
  <si>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</si>
  <si>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</si>
  <si>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</si>
  <si>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</si>
  <si>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</si>
  <si>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</si>
  <si>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</si>
  <si>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</si>
  <si>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</si>
  <si>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</si>
  <si>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</si>
  <si>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</si>
  <si>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</si>
  <si>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</si>
  <si>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</si>
  <si>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</si>
  <si>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</si>
  <si>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</si>
  <si>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</si>
  <si>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</si>
  <si>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</si>
  <si>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</si>
  <si>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</si>
  <si>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</si>
  <si>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</si>
  <si>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</si>
  <si>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</si>
  <si>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</si>
  <si>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</si>
  <si>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</si>
  <si>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</si>
  <si>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</si>
  <si>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</si>
  <si>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</si>
  <si>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</si>
  <si>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</si>
  <si>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</si>
  <si>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</si>
  <si>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</si>
  <si>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</si>
  <si>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</si>
  <si>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</si>
  <si>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</si>
  <si>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</si>
  <si>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</si>
  <si>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</si>
  <si>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</si>
  <si>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</si>
  <si>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</si>
  <si>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</si>
  <si>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</si>
  <si>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</si>
  <si>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</si>
  <si>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</si>
  <si>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</si>
  <si>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</si>
  <si>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</si>
  <si>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</si>
  <si>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</si>
  <si>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</si>
  <si>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</si>
  <si>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</si>
  <si>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</si>
  <si>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</si>
  <si>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</si>
  <si>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</si>
  <si>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</si>
  <si>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</si>
  <si>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</si>
  <si>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</si>
  <si>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</si>
  <si>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</si>
  <si>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</si>
  <si>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</si>
  <si>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</si>
  <si>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</si>
  <si>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</si>
  <si>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</si>
  <si>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</si>
  <si>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</si>
  <si>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</si>
  <si>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</si>
  <si>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</si>
  <si>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</si>
  <si>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</si>
  <si>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</si>
  <si>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</si>
  <si>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</si>
  <si>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</si>
  <si>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</si>
  <si>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</si>
  <si>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</si>
  <si>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</si>
  <si>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</si>
  <si>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</si>
  <si>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</si>
  <si>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</si>
  <si>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</si>
  <si>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</si>
  <si>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</si>
  <si>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</si>
  <si>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</si>
  <si>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</si>
  <si>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</si>
  <si>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</si>
  <si>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</si>
  <si>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</si>
  <si>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</si>
  <si>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</si>
  <si>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</si>
  <si>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</si>
  <si>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</si>
  <si>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</si>
  <si>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</si>
  <si>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</si>
  <si>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</si>
  <si>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</si>
  <si>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</si>
  <si>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</si>
  <si>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</si>
  <si>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</si>
  <si>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</si>
  <si>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</si>
  <si>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</si>
  <si>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</si>
  <si>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</si>
  <si>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</si>
  <si>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</si>
  <si>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</si>
  <si>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</si>
  <si>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</si>
  <si>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</si>
  <si>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</si>
  <si>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</si>
  <si>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</si>
  <si>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</si>
  <si>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</si>
  <si>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</si>
  <si>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</si>
  <si>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</si>
  <si>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</si>
  <si>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</si>
  <si>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</si>
  <si>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</si>
  <si>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</si>
  <si>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</si>
  <si>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</si>
  <si>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</si>
  <si>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</si>
  <si>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</si>
  <si>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</si>
  <si>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</si>
  <si>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</si>
  <si>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</si>
  <si>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</si>
  <si>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</si>
  <si>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</si>
  <si>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</si>
  <si>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</si>
  <si>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</si>
  <si>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</si>
  <si>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</si>
  <si>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</si>
  <si>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</si>
  <si>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</si>
  <si>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</si>
  <si>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</si>
  <si>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</si>
  <si>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</si>
  <si>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</si>
  <si>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</si>
  <si>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</si>
  <si>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</si>
  <si>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</si>
  <si>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</si>
  <si>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</si>
  <si>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</si>
  <si>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</si>
  <si>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</si>
  <si>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</si>
  <si>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</si>
  <si>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</si>
  <si>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</si>
  <si>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</si>
  <si>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</si>
  <si>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</si>
  <si>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</si>
  <si>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</si>
  <si>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</si>
  <si>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</si>
  <si>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</si>
  <si>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</si>
  <si>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</si>
  <si>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</si>
  <si>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</si>
  <si>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</si>
  <si>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</si>
  <si>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</si>
  <si>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</si>
  <si>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</si>
  <si>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</si>
  <si>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</si>
  <si>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</si>
  <si>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</si>
  <si>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</si>
  <si>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</si>
  <si>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</si>
  <si>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</si>
  <si>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</si>
  <si>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</si>
  <si>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</si>
  <si>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</si>
  <si>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</si>
  <si>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</si>
  <si>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</si>
  <si>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</si>
  <si>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</si>
  <si>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</si>
  <si>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</si>
  <si>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</si>
  <si>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</si>
  <si>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</si>
  <si>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</si>
  <si>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</si>
  <si>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</si>
  <si>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</si>
  <si>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</si>
  <si>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</si>
  <si>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</si>
  <si>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</si>
  <si>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</si>
  <si>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</si>
  <si>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</si>
  <si>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</si>
  <si>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</si>
  <si>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</si>
  <si>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</si>
  <si>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</si>
  <si>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</si>
  <si>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</si>
  <si>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</si>
  <si>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</si>
  <si>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</si>
  <si>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</si>
  <si>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</si>
  <si>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</si>
  <si>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</si>
  <si>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</si>
  <si>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</si>
  <si>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</si>
  <si>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</si>
  <si>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</si>
  <si>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</si>
  <si>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</si>
  <si>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</si>
  <si>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</si>
  <si>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</si>
  <si>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</si>
  <si>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</si>
  <si>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</si>
  <si>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</si>
  <si>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</si>
  <si>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</si>
  <si>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</si>
  <si>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</si>
  <si>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</si>
  <si>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</si>
  <si>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</si>
  <si>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</si>
  <si>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</si>
  <si>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</si>
  <si>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</si>
  <si>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</si>
  <si>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</si>
  <si>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</si>
  <si>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</si>
  <si>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</si>
  <si>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</si>
  <si>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</si>
  <si>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</si>
  <si>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</si>
  <si>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</si>
  <si>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</si>
  <si>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</si>
  <si>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</si>
  <si>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</si>
  <si>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</si>
  <si>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</si>
  <si>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</si>
  <si>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</si>
  <si>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</si>
  <si>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</si>
  <si>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</si>
  <si>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</si>
  <si>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</si>
  <si>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</si>
  <si>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</si>
  <si>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</si>
  <si>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</si>
  <si>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</si>
  <si>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</si>
  <si>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</si>
  <si>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</si>
  <si>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</si>
  <si>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</si>
  <si>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</si>
  <si>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</si>
  <si>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</si>
  <si>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</si>
  <si>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</si>
  <si>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</si>
  <si>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</si>
  <si>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</si>
  <si>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</si>
  <si>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</si>
  <si>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</si>
  <si>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</si>
  <si>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</si>
  <si>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</si>
  <si>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</si>
  <si>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</si>
  <si>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</si>
  <si>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</si>
  <si>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</si>
  <si>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</si>
  <si>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</si>
  <si>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</si>
  <si>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</si>
  <si>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</si>
  <si>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</si>
  <si>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</si>
  <si>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</si>
  <si>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</si>
  <si>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</si>
  <si>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</si>
  <si>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</si>
  <si>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</si>
  <si>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</si>
  <si>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</si>
  <si>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</si>
  <si>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</si>
  <si>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</si>
  <si>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</si>
  <si>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</si>
  <si>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</si>
  <si>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</si>
  <si>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</si>
  <si>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</si>
  <si>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</si>
  <si>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</si>
  <si>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</si>
  <si>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</si>
  <si>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</si>
  <si>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</si>
  <si>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</si>
  <si>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</si>
  <si>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</si>
  <si>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</si>
  <si>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</si>
  <si>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</si>
  <si>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</si>
  <si>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</si>
  <si>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</si>
  <si>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</si>
  <si>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</si>
  <si>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</si>
  <si>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</si>
  <si>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</si>
  <si>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</si>
  <si>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</si>
  <si>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</si>
  <si>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</si>
  <si>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</si>
  <si>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</si>
  <si>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</si>
  <si>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</si>
  <si>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</si>
  <si>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</si>
  <si>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</si>
  <si>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</si>
  <si>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</si>
  <si>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</si>
  <si>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</si>
  <si>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</si>
  <si>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</si>
  <si>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</si>
  <si>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</si>
  <si>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房地产抵押价值</t>
  </si>
  <si>
    <t>抵押</t>
  </si>
  <si>
    <t>中行复估</t>
    <phoneticPr fontId="6" type="noConversion"/>
  </si>
  <si>
    <t>北京市</t>
  </si>
  <si>
    <t>企业</t>
  </si>
  <si>
    <t>不动产权号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</si>
  <si>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</si>
  <si>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</si>
  <si>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</si>
  <si>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</si>
  <si>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</si>
  <si>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</si>
  <si>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</si>
  <si>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</si>
  <si>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</si>
  <si>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</si>
  <si>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</si>
  <si>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钢混</t>
  </si>
  <si>
    <t>钢混</t>
    <phoneticPr fontId="134" type="noConversion"/>
  </si>
  <si>
    <r>
      <t>2（</t>
    </r>
    <r>
      <rPr>
        <sz val="11"/>
        <color theme="1"/>
        <rFont val="宋体"/>
        <family val="3"/>
        <charset val="134"/>
        <scheme val="minor"/>
      </rPr>
      <t>-02）</t>
    </r>
    <phoneticPr fontId="134" type="noConversion"/>
  </si>
  <si>
    <t>楼号或幢号</t>
    <phoneticPr fontId="134" type="noConversion"/>
  </si>
  <si>
    <t>20号楼</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</si>
  <si>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</si>
  <si>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</si>
  <si>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房号</t>
    <phoneticPr fontId="134" type="noConversion"/>
  </si>
  <si>
    <t>商业3</t>
  </si>
  <si>
    <t>商业3</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</si>
  <si>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</si>
  <si>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</si>
  <si>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</si>
  <si>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</si>
  <si>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</si>
  <si>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</si>
  <si>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</si>
  <si>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</si>
  <si>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</si>
  <si>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</si>
  <si>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商业42</t>
    <phoneticPr fontId="134" type="noConversion"/>
  </si>
  <si>
    <t>商业45</t>
    <phoneticPr fontId="134" type="noConversion"/>
  </si>
  <si>
    <t>朝阳区天溪园20号楼2层商业35</t>
    <phoneticPr fontId="134" type="noConversion"/>
  </si>
  <si>
    <t>朝阳区天溪园20号楼2层商业42</t>
    <phoneticPr fontId="134" type="noConversion"/>
  </si>
  <si>
    <t>朝阳区天溪园20号楼2层商业45</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</si>
  <si>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</si>
  <si>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</si>
  <si>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</si>
  <si>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</si>
  <si>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建设用地使用权</t>
    <phoneticPr fontId="134" type="noConversion"/>
  </si>
  <si>
    <t>是</t>
  </si>
  <si>
    <t>现房</t>
  </si>
  <si>
    <t>地上</t>
  </si>
  <si>
    <t>挂牌价</t>
  </si>
  <si>
    <t>挂牌价</t>
    <phoneticPr fontId="30" type="noConversion"/>
  </si>
  <si>
    <t>正常</t>
  </si>
  <si>
    <t>单套模式</t>
  </si>
  <si>
    <t>售价</t>
  </si>
  <si>
    <t>押一</t>
  </si>
  <si>
    <t>非生产用房</t>
  </si>
  <si>
    <t>成新度</t>
  </si>
  <si>
    <t>竣工时间</t>
    <phoneticPr fontId="3" type="noConversion"/>
  </si>
  <si>
    <t>收益法 (元)</t>
  </si>
  <si>
    <t>年租金</t>
    <phoneticPr fontId="134" type="noConversion"/>
  </si>
  <si>
    <t>左右</t>
    <phoneticPr fontId="134" type="noConversion"/>
  </si>
  <si>
    <t>售价</t>
    <phoneticPr fontId="134" type="noConversion"/>
  </si>
  <si>
    <t>否</t>
  </si>
  <si>
    <t>比较法-商业</t>
  </si>
  <si>
    <t>总价</t>
    <phoneticPr fontId="134" type="noConversion"/>
  </si>
  <si>
    <t>复估单价</t>
    <phoneticPr fontId="134" type="noConversion"/>
  </si>
  <si>
    <t>仁达单价</t>
    <phoneticPr fontId="134" type="noConversion"/>
  </si>
  <si>
    <t>仁达总价</t>
    <phoneticPr fontId="134" type="noConversion"/>
  </si>
  <si>
    <t>下浮5%单价</t>
    <phoneticPr fontId="134" type="noConversion"/>
  </si>
  <si>
    <t>链家中介王东东</t>
    <phoneticPr fontId="134" type="noConversion"/>
  </si>
  <si>
    <t>不含物业取暖等费用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</si>
</sst>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 xfId="0" applyFont="1" applyFill="1" applyBorder="1" applyAlignment="1" applyProtection="1">
      <alignment vertical="center" wrapText="1"/>
      <protection locked="0"/>
    </xf>
    <xf numFmtId="14" fontId="0" fillId="0" borderId="0" xfId="0" applyNumberFormat="1">
      <alignment vertical="center"/>
    </xf>
    <xf numFmtId="0" fontId="95" fillId="0" borderId="0" xfId="0" applyFont="1" applyAlignment="1">
      <alignment vertical="center" wrapText="1"/>
    </xf>
    <xf numFmtId="0" fontId="128" fillId="0" borderId="2"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95" fillId="0" borderId="1" xfId="0" applyFont="1" applyBorder="1" applyAlignment="1">
      <alignment vertical="center" wrapText="1"/>
    </xf>
    <xf numFmtId="0" fontId="95" fillId="0" borderId="1" xfId="0" applyFont="1" applyBorder="1">
      <alignment vertical="center"/>
    </xf>
    <xf numFmtId="0" fontId="0" fillId="0" borderId="1" xfId="0" applyBorder="1" applyAlignment="1">
      <alignment vertical="center" wrapText="1"/>
    </xf>
    <xf numFmtId="0" fontId="0" fillId="0" borderId="1" xfId="0" applyBorder="1">
      <alignment vertical="center"/>
    </xf>
    <xf numFmtId="14" fontId="0" fillId="0" borderId="1" xfId="0" applyNumberFormat="1" applyBorder="1">
      <alignment vertical="center"/>
    </xf>
    <xf numFmtId="0" fontId="95" fillId="5" borderId="1" xfId="0" applyFont="1" applyFill="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419100</xdr:colOff>
      <xdr:row>18</xdr:row>
      <xdr:rowOff>22860</xdr:rowOff>
    </xdr:from>
    <xdr:to>
      <xdr:col>20</xdr:col>
      <xdr:colOff>471316</xdr:colOff>
      <xdr:row>41</xdr:row>
      <xdr:rowOff>159477</xdr:rowOff>
    </xdr:to>
    <xdr:pic>
      <xdr:nvPicPr>
        <xdr:cNvPr id="3" name="图片 2">
          <a:extLst>
            <a:ext uri="{FF2B5EF4-FFF2-40B4-BE49-F238E27FC236}">
              <a16:creationId xmlns:a16="http://schemas.microsoft.com/office/drawing/2014/main" id="{E51F6C50-150F-8858-9B4B-8B72943A7E1B}"/>
            </a:ext>
          </a:extLst>
        </xdr:cNvPr>
        <xdr:cNvPicPr>
          <a:picLocks noChangeAspect="1"/>
        </xdr:cNvPicPr>
      </xdr:nvPicPr>
      <xdr:blipFill>
        <a:blip xmlns:r="http://schemas.openxmlformats.org/officeDocument/2006/relationships" r:embed="rId1"/>
        <a:stretch>
          <a:fillRect/>
        </a:stretch>
      </xdr:blipFill>
      <xdr:spPr>
        <a:xfrm>
          <a:off x="6111240" y="4960620"/>
          <a:ext cx="8990476" cy="4342857"/>
        </a:xfrm>
        <a:prstGeom prst="rect">
          <a:avLst/>
        </a:prstGeom>
      </xdr:spPr>
    </xdr:pic>
    <xdr:clientData/>
  </xdr:twoCellAnchor>
  <xdr:twoCellAnchor editAs="oneCell">
    <xdr:from>
      <xdr:col>0</xdr:col>
      <xdr:colOff>152400</xdr:colOff>
      <xdr:row>19</xdr:row>
      <xdr:rowOff>106680</xdr:rowOff>
    </xdr:from>
    <xdr:to>
      <xdr:col>3</xdr:col>
      <xdr:colOff>129069</xdr:colOff>
      <xdr:row>49</xdr:row>
      <xdr:rowOff>39328</xdr:rowOff>
    </xdr:to>
    <xdr:pic>
      <xdr:nvPicPr>
        <xdr:cNvPr id="4" name="图片 3">
          <a:extLst>
            <a:ext uri="{FF2B5EF4-FFF2-40B4-BE49-F238E27FC236}">
              <a16:creationId xmlns:a16="http://schemas.microsoft.com/office/drawing/2014/main" id="{5291BE90-DE47-D309-C373-3ECC340CDA61}"/>
            </a:ext>
          </a:extLst>
        </xdr:cNvPr>
        <xdr:cNvPicPr>
          <a:picLocks noChangeAspect="1"/>
        </xdr:cNvPicPr>
      </xdr:nvPicPr>
      <xdr:blipFill>
        <a:blip xmlns:r="http://schemas.openxmlformats.org/officeDocument/2006/relationships" r:embed="rId2"/>
        <a:stretch>
          <a:fillRect/>
        </a:stretch>
      </xdr:blipFill>
      <xdr:spPr>
        <a:xfrm>
          <a:off x="152400" y="5227320"/>
          <a:ext cx="3771429" cy="5419048"/>
        </a:xfrm>
        <a:prstGeom prst="rect">
          <a:avLst/>
        </a:prstGeom>
      </xdr:spPr>
    </xdr:pic>
    <xdr:clientData/>
  </xdr:twoCellAnchor>
  <xdr:twoCellAnchor editAs="oneCell">
    <xdr:from>
      <xdr:col>0</xdr:col>
      <xdr:colOff>0</xdr:colOff>
      <xdr:row>51</xdr:row>
      <xdr:rowOff>0</xdr:rowOff>
    </xdr:from>
    <xdr:to>
      <xdr:col>6</xdr:col>
      <xdr:colOff>365003</xdr:colOff>
      <xdr:row>90</xdr:row>
      <xdr:rowOff>105775</xdr:rowOff>
    </xdr:to>
    <xdr:pic>
      <xdr:nvPicPr>
        <xdr:cNvPr id="5" name="图片 4">
          <a:extLst>
            <a:ext uri="{FF2B5EF4-FFF2-40B4-BE49-F238E27FC236}">
              <a16:creationId xmlns:a16="http://schemas.microsoft.com/office/drawing/2014/main" id="{781BE477-1115-85EE-E58A-DE8404E6A7E3}"/>
            </a:ext>
          </a:extLst>
        </xdr:cNvPr>
        <xdr:cNvPicPr>
          <a:picLocks noChangeAspect="1"/>
        </xdr:cNvPicPr>
      </xdr:nvPicPr>
      <xdr:blipFill>
        <a:blip xmlns:r="http://schemas.openxmlformats.org/officeDocument/2006/relationships" r:embed="rId3"/>
        <a:stretch>
          <a:fillRect/>
        </a:stretch>
      </xdr:blipFill>
      <xdr:spPr>
        <a:xfrm>
          <a:off x="0" y="10972800"/>
          <a:ext cx="6057143" cy="7238095"/>
        </a:xfrm>
        <a:prstGeom prst="rect">
          <a:avLst/>
        </a:prstGeom>
      </xdr:spPr>
    </xdr:pic>
    <xdr:clientData/>
  </xdr:twoCellAnchor>
  <xdr:twoCellAnchor editAs="oneCell">
    <xdr:from>
      <xdr:col>6</xdr:col>
      <xdr:colOff>30480</xdr:colOff>
      <xdr:row>50</xdr:row>
      <xdr:rowOff>60960</xdr:rowOff>
    </xdr:from>
    <xdr:to>
      <xdr:col>17</xdr:col>
      <xdr:colOff>349591</xdr:colOff>
      <xdr:row>92</xdr:row>
      <xdr:rowOff>8571</xdr:rowOff>
    </xdr:to>
    <xdr:pic>
      <xdr:nvPicPr>
        <xdr:cNvPr id="6" name="图片 5">
          <a:extLst>
            <a:ext uri="{FF2B5EF4-FFF2-40B4-BE49-F238E27FC236}">
              <a16:creationId xmlns:a16="http://schemas.microsoft.com/office/drawing/2014/main" id="{DAD81C2B-9F4E-14F9-4B0D-545D09A85F42}"/>
            </a:ext>
          </a:extLst>
        </xdr:cNvPr>
        <xdr:cNvPicPr>
          <a:picLocks noChangeAspect="1"/>
        </xdr:cNvPicPr>
      </xdr:nvPicPr>
      <xdr:blipFill>
        <a:blip xmlns:r="http://schemas.openxmlformats.org/officeDocument/2006/relationships" r:embed="rId4"/>
        <a:stretch>
          <a:fillRect/>
        </a:stretch>
      </xdr:blipFill>
      <xdr:spPr>
        <a:xfrm>
          <a:off x="5722620" y="10850880"/>
          <a:ext cx="7428571" cy="7628571"/>
        </a:xfrm>
        <a:prstGeom prst="rect">
          <a:avLst/>
        </a:prstGeom>
      </xdr:spPr>
    </xdr:pic>
    <xdr:clientData/>
  </xdr:twoCellAnchor>
  <xdr:twoCellAnchor editAs="oneCell">
    <xdr:from>
      <xdr:col>17</xdr:col>
      <xdr:colOff>434340</xdr:colOff>
      <xdr:row>50</xdr:row>
      <xdr:rowOff>137160</xdr:rowOff>
    </xdr:from>
    <xdr:to>
      <xdr:col>29</xdr:col>
      <xdr:colOff>319140</xdr:colOff>
      <xdr:row>93</xdr:row>
      <xdr:rowOff>149510</xdr:rowOff>
    </xdr:to>
    <xdr:pic>
      <xdr:nvPicPr>
        <xdr:cNvPr id="7" name="图片 6">
          <a:extLst>
            <a:ext uri="{FF2B5EF4-FFF2-40B4-BE49-F238E27FC236}">
              <a16:creationId xmlns:a16="http://schemas.microsoft.com/office/drawing/2014/main" id="{E859CB18-B792-5EEA-0D78-12F64BDEAD1E}"/>
            </a:ext>
          </a:extLst>
        </xdr:cNvPr>
        <xdr:cNvPicPr>
          <a:picLocks noChangeAspect="1"/>
        </xdr:cNvPicPr>
      </xdr:nvPicPr>
      <xdr:blipFill>
        <a:blip xmlns:r="http://schemas.openxmlformats.org/officeDocument/2006/relationships" r:embed="rId5"/>
        <a:stretch>
          <a:fillRect/>
        </a:stretch>
      </xdr:blipFill>
      <xdr:spPr>
        <a:xfrm>
          <a:off x="13235940" y="10927080"/>
          <a:ext cx="7200000" cy="7876190"/>
        </a:xfrm>
        <a:prstGeom prst="rect">
          <a:avLst/>
        </a:prstGeom>
      </xdr:spPr>
    </xdr:pic>
    <xdr:clientData/>
  </xdr:twoCellAnchor>
  <xdr:twoCellAnchor editAs="oneCell">
    <xdr:from>
      <xdr:col>28</xdr:col>
      <xdr:colOff>411480</xdr:colOff>
      <xdr:row>50</xdr:row>
      <xdr:rowOff>137160</xdr:rowOff>
    </xdr:from>
    <xdr:to>
      <xdr:col>40</xdr:col>
      <xdr:colOff>67708</xdr:colOff>
      <xdr:row>92</xdr:row>
      <xdr:rowOff>122867</xdr:rowOff>
    </xdr:to>
    <xdr:pic>
      <xdr:nvPicPr>
        <xdr:cNvPr id="8" name="图片 7">
          <a:extLst>
            <a:ext uri="{FF2B5EF4-FFF2-40B4-BE49-F238E27FC236}">
              <a16:creationId xmlns:a16="http://schemas.microsoft.com/office/drawing/2014/main" id="{DBA9992C-550A-4A99-6A39-02EEEEF2F789}"/>
            </a:ext>
          </a:extLst>
        </xdr:cNvPr>
        <xdr:cNvPicPr>
          <a:picLocks noChangeAspect="1"/>
        </xdr:cNvPicPr>
      </xdr:nvPicPr>
      <xdr:blipFill>
        <a:blip xmlns:r="http://schemas.openxmlformats.org/officeDocument/2006/relationships" r:embed="rId6"/>
        <a:stretch>
          <a:fillRect/>
        </a:stretch>
      </xdr:blipFill>
      <xdr:spPr>
        <a:xfrm>
          <a:off x="19918680" y="10927080"/>
          <a:ext cx="6971428" cy="7666667"/>
        </a:xfrm>
        <a:prstGeom prst="rect">
          <a:avLst/>
        </a:prstGeom>
      </xdr:spPr>
    </xdr:pic>
    <xdr:clientData/>
  </xdr:twoCellAnchor>
  <xdr:twoCellAnchor editAs="oneCell">
    <xdr:from>
      <xdr:col>3</xdr:col>
      <xdr:colOff>297180</xdr:colOff>
      <xdr:row>36</xdr:row>
      <xdr:rowOff>22860</xdr:rowOff>
    </xdr:from>
    <xdr:to>
      <xdr:col>5</xdr:col>
      <xdr:colOff>552257</xdr:colOff>
      <xdr:row>48</xdr:row>
      <xdr:rowOff>75919</xdr:rowOff>
    </xdr:to>
    <xdr:pic>
      <xdr:nvPicPr>
        <xdr:cNvPr id="9" name="图片 8">
          <a:extLst>
            <a:ext uri="{FF2B5EF4-FFF2-40B4-BE49-F238E27FC236}">
              <a16:creationId xmlns:a16="http://schemas.microsoft.com/office/drawing/2014/main" id="{799E2B20-111D-F966-7F75-81CB8F8FE548}"/>
            </a:ext>
          </a:extLst>
        </xdr:cNvPr>
        <xdr:cNvPicPr>
          <a:picLocks noChangeAspect="1"/>
        </xdr:cNvPicPr>
      </xdr:nvPicPr>
      <xdr:blipFill>
        <a:blip xmlns:r="http://schemas.openxmlformats.org/officeDocument/2006/relationships" r:embed="rId7"/>
        <a:stretch>
          <a:fillRect/>
        </a:stretch>
      </xdr:blipFill>
      <xdr:spPr>
        <a:xfrm>
          <a:off x="4091940" y="8252460"/>
          <a:ext cx="1542857"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估价对象为北京市房地产，为所有。根据《国有土地使用证》[]，估价对象（分摊）出让国有建设用地使用权面积为0平方米，建筑面积为166.53平方米。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估价对象为北京市房地产,属开发建设的，该项目尚在开发建设中。根据《国有土地使用证》[]，估价对象（分摊）出让国有建设用地使用权面积为0平方米，规划建筑面积为166.53平方米。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中行复估拟使用北京市房地产作为抵押担保物，向办理贷款手续。特委托北京康正宏基房地产评估有限公司对上述抵押物进行评估。本次评估为确定房地产抵押贷款额度提供参考依据而评估房地产抵押价值。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2025年3月18日</v>
      </c>
    </row>
    <row r="13" spans="1:2">
      <c r="A13" s="1119" t="s">
        <v>529</v>
      </c>
      <c r="B13" s="1120"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166.53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中行复估拟使用北京市房地产作为抵押担保物，向办理贷款手续。特委托北京康正宏基房地产评估有限公司对上述抵押物进行评估。本次评估为确定房地产抵押贷款额度提供参考依据而评估房地产抵押价值。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6" t="s">
        <v>2580</v>
      </c>
      <c r="J2" s="3206"/>
      <c r="K2" s="3206"/>
      <c r="L2" s="3206"/>
      <c r="M2" s="3206"/>
      <c r="N2" s="3206"/>
      <c r="O2" s="3206"/>
      <c r="P2" s="3206"/>
      <c r="Q2" s="3206"/>
      <c r="R2" s="3206"/>
    </row>
    <row r="3" spans="1:18">
      <c r="A3" s="2762" t="s">
        <v>2501</v>
      </c>
      <c r="B3" s="2763">
        <f>项目基本情况!D3</f>
        <v>45734</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1.75</v>
      </c>
      <c r="D5" s="2767">
        <f>IF(ISERROR(ROUND(POWER(1+E5,A5-C5)*(POWER(1+E5,C5)-1)/(POWER(1+E5,A5)-1),3)),0,ROUND(POWER(1+E5,A5-C5)*(POWER(1+E5,C5)-1)/(POWER(1+E5,A5)-1),4))</f>
        <v>8.3799999999999999E-2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11.76</v>
      </c>
      <c r="D6" s="2767">
        <f>IF(ISERROR(ROUND(POWER(1+E6,A6-C6)*(POWER(1+E6,C6)-1)/(POWER(1+E6,A6)-1),3)),0,ROUND(POWER(1+E6,A6-C6)*(POWER(1+E6,C6)-1)/(POWER(1+E6,A6)-1),4))</f>
        <v>0.43</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31.77</v>
      </c>
      <c r="D7" s="2767">
        <f>IF(ISERROR(ROUND(POWER(1+E7,A7-C7)*(POWER(1+E7,C7)-1)/(POWER(1+E7,A7)-1),3)),0,ROUND(POWER(1+E7,A7-C7)*(POWER(1+E7,C7)-1)/(POWER(1+E7,A7)-1),4))</f>
        <v>0.76119999999999999</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3390</v>
      </c>
    </row>
    <row r="50" spans="1:4">
      <c r="A50" s="3144" t="s">
        <v>3391</v>
      </c>
      <c r="B50" s="3144" t="s">
        <v>3392</v>
      </c>
      <c r="C50" s="3144" t="s">
        <v>3393</v>
      </c>
      <c r="D50" s="3144" t="s">
        <v>3394</v>
      </c>
    </row>
    <row r="51" spans="1:4">
      <c r="A51" s="3144" t="s">
        <v>3395</v>
      </c>
      <c r="B51" s="2764">
        <f>B52+B53</f>
        <v>15000</v>
      </c>
      <c r="C51" s="3145">
        <f>D51/B51</f>
        <v>2666.6666666666665</v>
      </c>
      <c r="D51" s="2764">
        <f>D52+D53</f>
        <v>40000000</v>
      </c>
    </row>
    <row r="52" spans="1:4">
      <c r="A52" s="3146" t="s">
        <v>3396</v>
      </c>
      <c r="B52" s="3147">
        <v>10000</v>
      </c>
      <c r="C52" s="3147">
        <v>1500</v>
      </c>
      <c r="D52" s="3148">
        <f>C52*B52</f>
        <v>15000000</v>
      </c>
    </row>
    <row r="53" spans="1:4">
      <c r="A53" s="3146" t="s">
        <v>3397</v>
      </c>
      <c r="B53" s="3147">
        <v>5000</v>
      </c>
      <c r="C53" s="3147">
        <v>5000</v>
      </c>
      <c r="D53" s="3148">
        <f>C53*B53</f>
        <v>25000000</v>
      </c>
    </row>
    <row r="54" spans="1:4">
      <c r="A54" s="3144" t="s">
        <v>3398</v>
      </c>
      <c r="B54" s="2764">
        <f>B51</f>
        <v>15000</v>
      </c>
      <c r="C54" s="2770">
        <v>700</v>
      </c>
      <c r="D54" s="2764">
        <f t="shared" ref="D54:D55" si="5">C54*B54</f>
        <v>10500000</v>
      </c>
    </row>
    <row r="55" spans="1:4">
      <c r="A55" s="3144" t="s">
        <v>3399</v>
      </c>
      <c r="B55" s="2764">
        <f>B51</f>
        <v>15000</v>
      </c>
      <c r="C55" s="2770">
        <v>1500</v>
      </c>
      <c r="D55" s="2764">
        <f t="shared" si="5"/>
        <v>22500000</v>
      </c>
    </row>
    <row r="56" spans="1:4">
      <c r="A56" s="3144" t="s">
        <v>3400</v>
      </c>
      <c r="B56" s="2764">
        <f>B51</f>
        <v>15000</v>
      </c>
      <c r="C56" s="3149">
        <f>C51+C54+C55</f>
        <v>4866.6666666666661</v>
      </c>
      <c r="D56" s="2764">
        <f>D51+D54+D55</f>
        <v>73000000</v>
      </c>
    </row>
    <row r="58" spans="1:4">
      <c r="A58" s="3144" t="s">
        <v>3401</v>
      </c>
      <c r="B58" s="3150">
        <v>0.05</v>
      </c>
      <c r="C58" s="2764">
        <f>C56*(1+B58)</f>
        <v>5110</v>
      </c>
      <c r="D58" s="2764">
        <f>D56*B58</f>
        <v>3650000</v>
      </c>
    </row>
    <row r="60" spans="1:4">
      <c r="A60" s="3144" t="s">
        <v>3402</v>
      </c>
      <c r="B60" s="2770">
        <v>3500</v>
      </c>
      <c r="C60" s="2770">
        <f>C53</f>
        <v>5000</v>
      </c>
      <c r="D60" s="2764">
        <f>C60*B60</f>
        <v>17500000</v>
      </c>
    </row>
    <row r="62" spans="1:4">
      <c r="A62" s="3144" t="s">
        <v>3403</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45734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3153" t="s">
        <v>3407</v>
      </c>
      <c r="C7" s="2196"/>
      <c r="D7" s="2197"/>
      <c r="E7" s="2440"/>
      <c r="F7" s="2441"/>
      <c r="G7" s="2441"/>
      <c r="H7" s="2441"/>
      <c r="I7" s="2441"/>
      <c r="J7" s="2244"/>
      <c r="K7" s="2401"/>
      <c r="L7" s="2398"/>
      <c r="M7" s="2398"/>
      <c r="N7" s="2244"/>
      <c r="O7" s="1670"/>
      <c r="P7" s="2244"/>
      <c r="Q7" s="2244"/>
      <c r="R7" s="2244"/>
    </row>
    <row r="8" spans="1:30">
      <c r="A8" s="2198" t="s">
        <v>2176</v>
      </c>
      <c r="B8" s="2199" t="s">
        <v>3406</v>
      </c>
      <c r="C8" s="2200"/>
      <c r="D8" s="3217" t="s">
        <v>2177</v>
      </c>
      <c r="E8" s="2201" t="s">
        <v>3405</v>
      </c>
      <c r="F8" s="2202"/>
      <c r="G8" s="2441"/>
      <c r="H8" s="2441"/>
      <c r="I8" s="2441"/>
      <c r="J8" s="2244"/>
      <c r="K8" s="2399"/>
      <c r="L8" s="2398"/>
      <c r="M8" s="2398"/>
      <c r="N8" s="2244"/>
      <c r="O8" s="1670"/>
      <c r="P8" s="2244"/>
      <c r="Q8" s="2244"/>
      <c r="R8" s="2244"/>
    </row>
    <row r="9" spans="1:30" ht="13.8" thickBot="1">
      <c r="A9" s="2203" t="s">
        <v>2178</v>
      </c>
      <c r="B9" s="2204" t="s">
        <v>3405</v>
      </c>
      <c r="C9" s="2205"/>
      <c r="D9" s="3218"/>
      <c r="E9" s="2204"/>
      <c r="F9" s="2206"/>
      <c r="G9" s="2442"/>
      <c r="H9" s="2442"/>
      <c r="I9" s="2442"/>
      <c r="J9" s="2244"/>
      <c r="K9" s="2401"/>
      <c r="L9" s="2398"/>
      <c r="M9" s="2398"/>
      <c r="N9" s="2244"/>
      <c r="O9" s="1670"/>
      <c r="P9" s="2244"/>
      <c r="Q9" s="2244"/>
      <c r="R9" s="2244"/>
    </row>
    <row r="10" spans="1:30" ht="13.8" thickTop="1">
      <c r="A10" s="2207" t="s">
        <v>2179</v>
      </c>
      <c r="B10" s="2208" t="s">
        <v>3408</v>
      </c>
      <c r="C10" s="2209"/>
      <c r="D10" s="2193"/>
      <c r="E10" s="2210" t="s">
        <v>2180</v>
      </c>
      <c r="F10" s="2443"/>
      <c r="G10" s="2444"/>
      <c r="H10" s="2445"/>
      <c r="I10" s="2446"/>
      <c r="J10" s="2244"/>
      <c r="K10" s="2401"/>
      <c r="L10" s="2398"/>
      <c r="M10" s="2398"/>
      <c r="N10" s="2244"/>
      <c r="O10" s="1670"/>
      <c r="P10" s="2244"/>
      <c r="Q10" s="2244"/>
      <c r="R10" s="2244"/>
    </row>
    <row r="11" spans="1:30">
      <c r="A11" s="2211" t="s">
        <v>2181</v>
      </c>
      <c r="B11" s="2212" t="s">
        <v>3409</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c r="D13" s="803">
        <f>信息!$L$9</f>
        <v>52298</v>
      </c>
      <c r="E13" s="803"/>
      <c r="F13" s="803"/>
      <c r="G13" s="803"/>
      <c r="H13" s="803"/>
      <c r="I13" s="803"/>
      <c r="J13" s="2802"/>
      <c r="K13" s="2398"/>
      <c r="L13" s="2398"/>
      <c r="M13" s="2244"/>
      <c r="N13" s="1670"/>
      <c r="O13" s="2244"/>
      <c r="P13" s="2244"/>
      <c r="Q13" s="2244"/>
      <c r="AD13" s="1618"/>
    </row>
    <row r="14" spans="1:30">
      <c r="A14" s="1018"/>
      <c r="B14" s="2217" t="s">
        <v>2191</v>
      </c>
      <c r="C14" s="2218"/>
      <c r="D14" s="2218"/>
      <c r="E14" s="2218"/>
      <c r="F14" s="2218"/>
      <c r="G14" s="2218"/>
      <c r="H14" s="2218"/>
      <c r="I14" s="2218"/>
      <c r="J14" s="2803"/>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17.98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4"/>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166.53</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3453</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1583.73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1583.73</v>
      </c>
      <c r="H5" s="13">
        <f t="shared" ref="H5:AT5" si="0">SUM(H13:H656)</f>
        <v>1583.73</v>
      </c>
      <c r="I5" s="13">
        <f t="shared" si="0"/>
        <v>1583.73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166.53</v>
      </c>
      <c r="BA5" s="15">
        <f t="shared" si="1"/>
        <v>166.53</v>
      </c>
      <c r="BB5" s="15">
        <f t="shared" si="1"/>
        <v>166.53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3454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信息!F2</f>
        <v>商业3</v>
      </c>
      <c r="D13" s="1513" t="s">
        <v>3452</v>
      </c>
      <c r="E13" s="13">
        <f>IF($C$3="是",ROUND($A$3*G13/$B$3,2),ROUND($A$3*(G13-AT13)/$B$3,2))</f>
        <v>0</v>
      </c>
      <c r="F13" s="29"/>
      <c r="G13" s="30">
        <f>H13+AC13+AT13</f>
        <v>166.53</v>
      </c>
      <c r="H13" s="17">
        <f>SUMIF(I$12:AB$12,"总值",I13:AB13)</f>
        <v>166.53</v>
      </c>
      <c r="I13" s="1514">
        <f>信息!G2</f>
        <v>166.53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商业3</v>
      </c>
      <c r="AY13" s="1260">
        <f>ROUND($AY$6*AZ13/$AZ$5,2)</f>
        <v>0</v>
      </c>
      <c r="AZ13" s="13">
        <f>BA13+BL13</f>
        <v>166.53</v>
      </c>
      <c r="BA13" s="13">
        <f>SUM(BB13:BK13)</f>
        <v>166.53</v>
      </c>
      <c r="BB13" s="13">
        <f>IF($D13="是",I13-J13,0)</f>
        <v>166.53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tr">
        <f>信息!F3</f>
        <v>商业4</v>
      </c>
      <c r="D14" s="1513"/>
      <c r="E14" s="13">
        <f>IF($C$3="是",ROUND($A$3*G14/$B$3,2),ROUND($A$3*(G14-AT14)/$B$3,2))</f>
        <v>0</v>
      </c>
      <c r="F14" s="29"/>
      <c r="G14" s="30">
        <f>H14+AC14+AT14</f>
        <v>189.43</v>
      </c>
      <c r="H14" s="17">
        <f>SUMIF(I$12:AB$12,"总值",I14:AB14)</f>
        <v>189.43</v>
      </c>
      <c r="I14" s="1514">
        <f>信息!G3</f>
        <v>189.43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商业4</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tr">
        <f>信息!F4</f>
        <v>商业5</v>
      </c>
      <c r="D15" s="1513"/>
      <c r="E15" s="13">
        <f>IF($C$3="是",ROUND($A$3*G15/$B$3,2),ROUND($A$3*(G15-AT15)/$B$3,2))</f>
        <v>0</v>
      </c>
      <c r="F15" s="29"/>
      <c r="G15" s="30">
        <f>H15+AC15+AT15</f>
        <v>230.28</v>
      </c>
      <c r="H15" s="17">
        <f>SUMIF(I$12:AB$12,"总值",I15:AB15)</f>
        <v>230.28</v>
      </c>
      <c r="I15" s="1514">
        <f>信息!G4</f>
        <v>230.28</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商业5</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tr">
        <f>信息!F5</f>
        <v>商业6</v>
      </c>
      <c r="D16" s="1513"/>
      <c r="E16" s="13">
        <f>IF($C$3="是",ROUND($A$3*G16/$B$3,2),ROUND($A$3*(G16-AT16)/$B$3,2))</f>
        <v>0</v>
      </c>
      <c r="F16" s="29"/>
      <c r="G16" s="30">
        <f>H16+AC16+AT16</f>
        <v>140.07</v>
      </c>
      <c r="H16" s="17">
        <f>SUMIF(I$12:AB$12,"总值",I16:AB16)</f>
        <v>140.07</v>
      </c>
      <c r="I16" s="1514">
        <f>信息!G5</f>
        <v>140.07</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商业6</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tr">
        <f>信息!F6</f>
        <v>商业35</v>
      </c>
      <c r="D17" s="1513"/>
      <c r="E17" s="13">
        <f>IF($C$3="是",ROUND($A$3*G17/$B$3,2),ROUND($A$3*(G17-AT17)/$B$3,2))</f>
        <v>0</v>
      </c>
      <c r="F17" s="29"/>
      <c r="G17" s="30">
        <f>H17+AC17+AT17</f>
        <v>185.68</v>
      </c>
      <c r="H17" s="17">
        <f>SUMIF(I$12:AB$12,"总值",I17:AB17)</f>
        <v>185.68</v>
      </c>
      <c r="I17" s="1514">
        <f>信息!G6</f>
        <v>185.68</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商业35</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信息!F7</f>
        <v>商业42</v>
      </c>
      <c r="D18" s="1516"/>
      <c r="E18" s="32">
        <f t="shared" ref="E18:E112" si="7">IF($C$3="是",ROUND($A$3*G18/$B$3,2),ROUND($A$3*(G18-AT18)/$B$3,2))</f>
        <v>0</v>
      </c>
      <c r="F18" s="33"/>
      <c r="G18" s="34">
        <f t="shared" ref="G18:G109" si="8">H18+AC18+AT18</f>
        <v>228.8</v>
      </c>
      <c r="H18" s="35">
        <f t="shared" ref="H18:H109" si="9">SUMIF(I$12:AB$12,"总值",I18:AB18)</f>
        <v>228.8</v>
      </c>
      <c r="I18" s="1514">
        <f>信息!G7</f>
        <v>228.8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商业42</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信息!F8</f>
        <v>商业45</v>
      </c>
      <c r="D19" s="1516"/>
      <c r="E19" s="32">
        <f t="shared" si="7"/>
        <v>0</v>
      </c>
      <c r="F19" s="33"/>
      <c r="G19" s="34">
        <f t="shared" si="8"/>
        <v>200.67</v>
      </c>
      <c r="H19" s="35">
        <f t="shared" si="9"/>
        <v>200.67</v>
      </c>
      <c r="I19" s="1514">
        <f>信息!G8</f>
        <v>200.67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商业45</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信息!F9</f>
        <v>商业46</v>
      </c>
      <c r="D20" s="1516"/>
      <c r="E20" s="32">
        <f t="shared" si="7"/>
        <v>0</v>
      </c>
      <c r="F20" s="33"/>
      <c r="G20" s="34">
        <f t="shared" si="8"/>
        <v>242.27</v>
      </c>
      <c r="H20" s="35">
        <f t="shared" si="9"/>
        <v>242.27</v>
      </c>
      <c r="I20" s="1514">
        <f>信息!G9</f>
        <v>242.27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商业46</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166.53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166.53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166.53</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166.53</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tr">
        <f>'数据-基础表'!C13</f>
        <v>商业3</v>
      </c>
      <c r="D19" s="43">
        <f>ROUND($D$3*E19/$E$3,2)</f>
        <v>0</v>
      </c>
      <c r="E19" s="51">
        <f t="shared" ref="E19:E26" si="1">SUM(F19:G19)</f>
        <v>166.53</v>
      </c>
      <c r="F19" s="2557">
        <f>'数据-基础表'!G13</f>
        <v>166.53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166.53</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166.53</v>
      </c>
      <c r="F27" s="1072">
        <f>IF(SUM(F19:F26)=E8,SUM(F19:F26),"地上面积有误")</f>
        <v>166.53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166.53</v>
      </c>
      <c r="F31" s="644">
        <f>F27+F30</f>
        <v>166.53</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45734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3462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商业3</v>
      </c>
      <c r="B6" s="1587" t="str">
        <f>IF(A6=0,"","经营性")</f>
        <v>经营性</v>
      </c>
      <c r="C6" s="1588" t="s">
        <v>673</v>
      </c>
      <c r="D6" s="805">
        <f>SUMIF(项目基本情况!C$12:I$12,C6,项目基本情况!C$14:I$14)</f>
        <v>0</v>
      </c>
      <c r="E6" s="804">
        <f>IF(B6="","",SUMIF(项目基本情况!C$12:I$12,C6,项目基本情况!C$13:I$13))</f>
        <v>52298</v>
      </c>
      <c r="F6" s="61">
        <f>SUMIF(项目基本情况!C$12:I$12,C6,项目基本情况!C$15:I$15)</f>
        <v>17.98</v>
      </c>
      <c r="G6" s="62">
        <f>IF(ISERROR(ROUND(POWER(1+H6,D6-F6)*(POWER(1+H6,F6)-1)/(POWER(1+H6,D6)-1),3)),0,ROUND(POWER(1+H6,D6-F6)*(POWER(1+H6,F6)-1)/(POWER(1+H6,D6)-1),3))</f>
        <v>0</v>
      </c>
      <c r="H6" s="691">
        <v>0.05</v>
      </c>
      <c r="I6" s="691">
        <v>5.5E-2</v>
      </c>
      <c r="J6" s="63">
        <v>7.0000000000000007E-2</v>
      </c>
      <c r="K6" s="970">
        <f>SUMIF('数据-汇总表'!C$19:C$33,A6,'数据-汇总表'!E$19:E$33)</f>
        <v>166.53</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v>4.8</v>
      </c>
      <c r="V6" s="67">
        <v>0.02</v>
      </c>
      <c r="W6" s="67">
        <v>0.1</v>
      </c>
      <c r="X6" s="979"/>
      <c r="Y6" s="68">
        <f>Q6</f>
        <v>0.1</v>
      </c>
      <c r="Z6" s="69"/>
      <c r="AA6" s="63"/>
      <c r="AB6" s="63"/>
      <c r="AC6" s="979"/>
      <c r="AD6" s="70"/>
      <c r="AE6" s="980">
        <f ca="1">IF(AN6="",0,SUMIF(INDIRECT("'"&amp;AN6&amp;"'"&amp;"!E:E"),$AE$5,INDIRECT("'"&amp;AN6&amp;"'"&amp;"!F:F")))</f>
        <v>17.98</v>
      </c>
      <c r="AF6" s="74"/>
      <c r="AG6" s="130">
        <f>IF(AF6="",0,AE6-AF6)</f>
        <v>0</v>
      </c>
      <c r="AH6" s="71"/>
      <c r="AI6" s="73">
        <v>365</v>
      </c>
      <c r="AJ6" s="74"/>
      <c r="AK6" s="75">
        <v>0.01</v>
      </c>
      <c r="AL6" s="76">
        <v>1E-3</v>
      </c>
      <c r="AM6" s="77">
        <v>0.01</v>
      </c>
      <c r="AN6" s="1589" t="s">
        <v>3464</v>
      </c>
      <c r="AO6" s="50">
        <f ca="1">SUMIF(INDIRECT("'"&amp;AN6&amp;"'"&amp;"!A:A"),"总价",INDIRECT("'"&amp;AN6&amp;"'"&amp;"!B:B"))</f>
        <v>299.81380000000001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166.53</v>
      </c>
      <c r="L16" s="87">
        <f>ROUND(M16*10000/SUM(K6:K14),0)</f>
        <v>3002</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3157" t="s">
        <v>3463</v>
      </c>
      <c r="N18" s="2448">
        <f>信息!$K$2</f>
        <v>2007</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v>0</v>
      </c>
      <c r="C19" s="2560" t="s">
        <v>2302</v>
      </c>
      <c r="D19" s="2451"/>
      <c r="E19" s="2438"/>
      <c r="F19" s="2438"/>
      <c r="G19" s="2438"/>
      <c r="H19" s="2438"/>
      <c r="I19" s="2438"/>
      <c r="J19" s="2438"/>
      <c r="K19" s="2449"/>
      <c r="L19" s="2449"/>
      <c r="M19" s="2448"/>
      <c r="N19" s="2448">
        <f>ROUND(1-(1-0)*(2025-N18)/60,2)</f>
        <v>0.7</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v>1</v>
      </c>
      <c r="C20" s="2561" t="s">
        <v>2300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f>B20</f>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v>0.05</v>
      </c>
      <c r="C33" s="2564" t="s">
        <v>3386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v>0</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v>0.02</v>
      </c>
      <c r="C37" s="2564" t="s">
        <v>3387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v>0.02</v>
      </c>
      <c r="C38" s="2564" t="s">
        <v>3388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v>7.0000000000000007E-2</v>
      </c>
      <c r="C44" s="2564" t="s">
        <v>3389</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3</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t="s">
        <v>303</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f>C58</f>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200.67</v>
      </c>
      <c r="C1" s="2461"/>
      <c r="D1" s="2461"/>
      <c r="E1" s="2461"/>
      <c r="F1" s="2461"/>
      <c r="G1" s="2462"/>
      <c r="H1" s="2462"/>
      <c r="I1" s="2462"/>
      <c r="J1" s="2462"/>
      <c r="K1" s="2462"/>
    </row>
    <row r="2" spans="1:11" ht="16.2">
      <c r="A2" s="2299" t="s">
        <v>653</v>
      </c>
      <c r="B2" s="2299">
        <f>SUM(C14:C23)</f>
        <v>0</v>
      </c>
      <c r="C2" s="2461"/>
      <c r="D2" s="2461"/>
      <c r="E2" s="2461"/>
      <c r="F2" s="2461"/>
      <c r="G2" s="2462"/>
      <c r="H2" s="2462"/>
      <c r="I2" s="2462"/>
      <c r="J2" s="2462"/>
      <c r="K2" s="2462"/>
    </row>
    <row r="3" spans="1:11" ht="15.6">
      <c r="A3" s="2299" t="s">
        <v>662</v>
      </c>
      <c r="B3" s="2301">
        <f>项目基本情况!D3</f>
        <v>45734</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SUM(D14:D23)</f>
        <v>445</v>
      </c>
      <c r="C5" s="2299">
        <f ca="1">IF(B5=D14,结果表!H102,ROUND(B5*10000/$B$1,0))</f>
        <v>0</v>
      </c>
      <c r="D5" s="2299" t="e">
        <f>ROUND(B5*10000/$B$2,0)</f>
        <v>#DIV/0!</v>
      </c>
      <c r="E5" s="2461"/>
      <c r="F5" s="2462"/>
      <c r="G5" s="2462"/>
      <c r="H5" s="2462"/>
      <c r="I5" s="2462"/>
      <c r="J5" s="2462"/>
      <c r="K5" s="2462"/>
    </row>
    <row r="6" spans="1:11" ht="15.6">
      <c r="A6" s="2299" t="s">
        <v>656</v>
      </c>
      <c r="B6" s="2299">
        <f>SUM(G14:G23)</f>
        <v>445</v>
      </c>
      <c r="C6" s="2299">
        <f ca="1">IF(B6=G14,结果表!H108,ROUND(B6*10000/$B$1,0))</f>
        <v>0</v>
      </c>
      <c r="D6" s="2299" t="e">
        <f>ROUND(B6*10000/$B$2,0)</f>
        <v>#DIV/0!</v>
      </c>
      <c r="E6" s="2461"/>
      <c r="F6" s="2462"/>
      <c r="G6" s="2462"/>
      <c r="H6" s="2462"/>
      <c r="I6" s="2462"/>
      <c r="J6" s="2462"/>
      <c r="K6" s="2462"/>
    </row>
    <row r="7" spans="1:11" ht="15.6">
      <c r="A7" s="2299" t="s">
        <v>664</v>
      </c>
      <c r="B7" s="2299">
        <f>SUM(H14:H23)</f>
        <v>0</v>
      </c>
      <c r="C7" s="2299" t="str">
        <f>IF(B7=H14,结果表!H110,ROUND(B7*10000/$B$1,0))</f>
        <v>——</v>
      </c>
      <c r="D7" s="2299" t="e">
        <f>ROUND(B7*10000/$B$2,0)</f>
        <v>#DIV/0!</v>
      </c>
      <c r="E7" s="2461"/>
      <c r="F7" s="2462"/>
      <c r="G7" s="2462"/>
      <c r="H7" s="2462"/>
      <c r="I7" s="2462"/>
      <c r="J7" s="2462"/>
      <c r="K7" s="2462"/>
    </row>
    <row r="8" spans="1:11" ht="15.6">
      <c r="A8" s="2299" t="s">
        <v>587</v>
      </c>
      <c r="B8" s="2299">
        <f>SUM(I14:I23)</f>
        <v>0</v>
      </c>
      <c r="C8" s="2299" t="str">
        <f>IF(B8=I14,结果表!H112,ROUND(B8*10000/$B$1,0))</f>
        <v>——</v>
      </c>
      <c r="D8" s="2299" t="e">
        <f>ROUND(B8*10000/$B$2,0)</f>
        <v>#DIV/0!</v>
      </c>
      <c r="E8" s="2461"/>
      <c r="F8" s="2462"/>
      <c r="G8" s="2462"/>
      <c r="H8" s="2462"/>
      <c r="I8" s="2462"/>
      <c r="J8" s="2462"/>
      <c r="K8" s="2462"/>
    </row>
    <row r="9" spans="1:11" ht="15.6">
      <c r="A9" s="2299" t="s">
        <v>655</v>
      </c>
      <c r="B9" s="1244"/>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信息!$G$8</f>
        <v>200.67</v>
      </c>
      <c r="C14" s="2305"/>
      <c r="D14" s="2305">
        <f>信息!$R$8</f>
        <v>445</v>
      </c>
      <c r="E14" s="2305">
        <f>信息!$Q$8</f>
        <v>22200</v>
      </c>
      <c r="F14" s="2305" t="e">
        <f>ROUND(D14*10000/C14,0)</f>
        <v>#DIV/0!</v>
      </c>
      <c r="G14" s="2305">
        <f>D14</f>
        <v>445</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5.6">
      <c r="A16" s="2304" t="s">
        <v>648</v>
      </c>
      <c r="B16" s="2306"/>
      <c r="C16" s="2306"/>
      <c r="D16" s="2306"/>
      <c r="E16" s="2305" t="e">
        <f t="shared" si="0"/>
        <v>#DIV/0!</v>
      </c>
      <c r="F16" s="2305" t="e">
        <f t="shared" si="1"/>
        <v>#DIV/0!</v>
      </c>
      <c r="G16" s="1244"/>
      <c r="H16" s="1244"/>
      <c r="I16" s="2306"/>
      <c r="J16" s="2462"/>
      <c r="K16" s="2462"/>
    </row>
    <row r="17" spans="1:11" ht="15.6">
      <c r="A17" s="2304" t="s">
        <v>647</v>
      </c>
      <c r="B17" s="2306"/>
      <c r="C17" s="2306"/>
      <c r="D17" s="2306"/>
      <c r="E17" s="2305" t="e">
        <f t="shared" si="0"/>
        <v>#DIV/0!</v>
      </c>
      <c r="F17" s="2305" t="e">
        <f t="shared" si="1"/>
        <v>#DIV/0!</v>
      </c>
      <c r="G17" s="1244"/>
      <c r="H17" s="1244"/>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F6F0D-25D4-4EB4-9BBF-6C3E56B7BD6F}">
  <sheetPr>
    <tabColor rgb="FF7030A0"/>
  </sheetPr>
  <dimension ref="A1:S19"/>
  <sheetViews>
    <sheetView tabSelected="1" topLeftCell="D1" workbookViewId="0">
      <selection activeCell="R2" sqref="R2:R9"/>
    </sheetView>
  </sheetViews>
  <sheetFormatPr defaultRowHeight="14.4"/>
  <cols>
    <col min="1" max="1" width="21.77734375" customWidth="1"/>
    <col min="2" max="2" width="14.109375" customWidth="1"/>
    <col min="3" max="3" width="19.44140625" customWidth="1"/>
    <col min="4" max="4" width="9.88671875" customWidth="1"/>
    <col min="12" max="12" width="9.5546875" bestFit="1" customWidth="1"/>
    <col min="16" max="16" width="14.109375" customWidth="1"/>
  </cols>
  <sheetData>
    <row r="1" spans="1:19" ht="28.8">
      <c r="A1" s="3158" t="s">
        <v>3410</v>
      </c>
      <c r="B1" s="3158" t="s">
        <v>3411</v>
      </c>
      <c r="C1" s="3158" t="s">
        <v>3412</v>
      </c>
      <c r="D1" s="3158" t="s">
        <v>2543</v>
      </c>
      <c r="E1" s="3158" t="s">
        <v>3425</v>
      </c>
      <c r="F1" s="3158" t="s">
        <v>3429</v>
      </c>
      <c r="G1" s="3158" t="s">
        <v>3413</v>
      </c>
      <c r="H1" s="3158" t="s">
        <v>3414</v>
      </c>
      <c r="I1" s="3158" t="s">
        <v>3415</v>
      </c>
      <c r="J1" s="3158" t="s">
        <v>3416</v>
      </c>
      <c r="K1" s="3158" t="s">
        <v>3417</v>
      </c>
      <c r="L1" s="3159" t="s">
        <v>3451</v>
      </c>
      <c r="M1" s="3155" t="s">
        <v>3472</v>
      </c>
      <c r="N1" s="3155" t="s">
        <v>3473</v>
      </c>
      <c r="P1" s="1405" t="s">
        <v>3474</v>
      </c>
      <c r="Q1" s="3163" t="s">
        <v>3471</v>
      </c>
      <c r="R1" s="3163" t="s">
        <v>3470</v>
      </c>
    </row>
    <row r="2" spans="1:19" ht="28.8">
      <c r="A2" s="3158" t="s">
        <v>3418</v>
      </c>
      <c r="B2" s="3253" t="s">
        <v>3419</v>
      </c>
      <c r="C2" s="3158" t="s">
        <v>3420</v>
      </c>
      <c r="D2" s="3253" t="s">
        <v>3421</v>
      </c>
      <c r="E2" s="3253" t="s">
        <v>3426</v>
      </c>
      <c r="F2" s="3158" t="s">
        <v>3431</v>
      </c>
      <c r="G2" s="3158">
        <v>166.53</v>
      </c>
      <c r="H2" s="3253" t="s">
        <v>3423</v>
      </c>
      <c r="I2" s="3253" t="s">
        <v>3424</v>
      </c>
      <c r="J2" s="3160">
        <v>1</v>
      </c>
      <c r="K2" s="3254">
        <v>2007</v>
      </c>
      <c r="L2" s="3161"/>
      <c r="M2">
        <v>27670</v>
      </c>
      <c r="N2">
        <v>460.79</v>
      </c>
      <c r="O2">
        <f t="shared" ref="O2:O9" si="0">ROUND(M2*G2/10000,2)</f>
        <v>460.79</v>
      </c>
      <c r="P2">
        <f>ROUND(M2*(1-0.05),0)</f>
        <v>26287</v>
      </c>
      <c r="Q2" s="3164">
        <v>26200</v>
      </c>
      <c r="R2" s="3164">
        <f>ROUND(Q2*G2/10000,0)</f>
        <v>436</v>
      </c>
      <c r="S2">
        <f>(Q2-M2)/M2</f>
        <v>-5.3126129382002167E-2</v>
      </c>
    </row>
    <row r="3" spans="1:19" ht="28.8">
      <c r="A3" s="3158" t="s">
        <v>3433</v>
      </c>
      <c r="B3" s="3253"/>
      <c r="C3" s="3158" t="s">
        <v>3434</v>
      </c>
      <c r="D3" s="3253"/>
      <c r="E3" s="3253"/>
      <c r="F3" s="3158" t="s">
        <v>3435</v>
      </c>
      <c r="G3" s="3160">
        <v>189.43</v>
      </c>
      <c r="H3" s="3253"/>
      <c r="I3" s="3253"/>
      <c r="J3" s="3160">
        <v>1</v>
      </c>
      <c r="K3" s="3254"/>
      <c r="L3" s="3161"/>
      <c r="M3">
        <v>32880</v>
      </c>
      <c r="N3">
        <v>622.85</v>
      </c>
      <c r="O3">
        <f t="shared" si="0"/>
        <v>622.85</v>
      </c>
      <c r="P3">
        <f t="shared" ref="P3:P9" si="1">ROUND(M3*(1-0.05),0)</f>
        <v>31236</v>
      </c>
      <c r="Q3" s="3164">
        <v>31200</v>
      </c>
      <c r="R3" s="3164">
        <f t="shared" ref="R3:R9" si="2">ROUND(Q3*G3/10000,0)</f>
        <v>591</v>
      </c>
      <c r="S3">
        <f t="shared" ref="S3:S9" si="3">(Q3-M3)/M3</f>
        <v>-5.1094890510948905E-2</v>
      </c>
    </row>
    <row r="4" spans="1:19" ht="28.8">
      <c r="A4" s="3158" t="s">
        <v>3427</v>
      </c>
      <c r="B4" s="3253"/>
      <c r="C4" s="3158" t="s">
        <v>3428</v>
      </c>
      <c r="D4" s="3253"/>
      <c r="E4" s="3253"/>
      <c r="F4" s="3158" t="s">
        <v>3432</v>
      </c>
      <c r="G4" s="3160">
        <v>230.28</v>
      </c>
      <c r="H4" s="3253"/>
      <c r="I4" s="3253"/>
      <c r="J4" s="3160">
        <v>1</v>
      </c>
      <c r="K4" s="3254"/>
      <c r="L4" s="3161"/>
      <c r="M4">
        <v>31736</v>
      </c>
      <c r="N4">
        <v>730.81</v>
      </c>
      <c r="O4">
        <f t="shared" si="0"/>
        <v>730.82</v>
      </c>
      <c r="P4">
        <f t="shared" si="1"/>
        <v>30149</v>
      </c>
      <c r="Q4" s="3164">
        <v>30100</v>
      </c>
      <c r="R4" s="3164">
        <f t="shared" si="2"/>
        <v>693</v>
      </c>
      <c r="S4">
        <f t="shared" si="3"/>
        <v>-5.1550289891605747E-2</v>
      </c>
    </row>
    <row r="5" spans="1:19" ht="28.8">
      <c r="A5" s="3158" t="s">
        <v>3436</v>
      </c>
      <c r="B5" s="3253"/>
      <c r="C5" s="3158" t="s">
        <v>3437</v>
      </c>
      <c r="D5" s="3253"/>
      <c r="E5" s="3253"/>
      <c r="F5" s="3158" t="s">
        <v>3438</v>
      </c>
      <c r="G5" s="3160">
        <v>140.07</v>
      </c>
      <c r="H5" s="3253"/>
      <c r="I5" s="3253"/>
      <c r="J5" s="3160">
        <v>1</v>
      </c>
      <c r="K5" s="3254"/>
      <c r="L5" s="3161"/>
      <c r="M5">
        <v>27753</v>
      </c>
      <c r="N5">
        <v>388.74</v>
      </c>
      <c r="O5">
        <f t="shared" si="0"/>
        <v>388.74</v>
      </c>
      <c r="P5">
        <f t="shared" si="1"/>
        <v>26365</v>
      </c>
      <c r="Q5" s="3164">
        <v>26300</v>
      </c>
      <c r="R5" s="3164">
        <f t="shared" si="2"/>
        <v>368</v>
      </c>
      <c r="S5">
        <f t="shared" si="3"/>
        <v>-5.2354700392750336E-2</v>
      </c>
    </row>
    <row r="6" spans="1:19" ht="28.8">
      <c r="A6" s="3158" t="s">
        <v>3439</v>
      </c>
      <c r="B6" s="3253"/>
      <c r="C6" s="3158" t="s">
        <v>3444</v>
      </c>
      <c r="D6" s="3253"/>
      <c r="E6" s="3253"/>
      <c r="F6" s="3158" t="s">
        <v>3440</v>
      </c>
      <c r="G6" s="3160">
        <v>185.68</v>
      </c>
      <c r="H6" s="3253"/>
      <c r="I6" s="3253"/>
      <c r="J6" s="3160">
        <v>2</v>
      </c>
      <c r="K6" s="3254"/>
      <c r="L6" s="3161"/>
      <c r="M6">
        <v>23423</v>
      </c>
      <c r="N6">
        <v>434.92</v>
      </c>
      <c r="O6">
        <f t="shared" si="0"/>
        <v>434.92</v>
      </c>
      <c r="P6">
        <f t="shared" si="1"/>
        <v>22252</v>
      </c>
      <c r="Q6" s="3164">
        <v>22200</v>
      </c>
      <c r="R6" s="3164">
        <f t="shared" si="2"/>
        <v>412</v>
      </c>
      <c r="S6">
        <f t="shared" si="3"/>
        <v>-5.2213636169576909E-2</v>
      </c>
    </row>
    <row r="7" spans="1:19" ht="28.8">
      <c r="A7" s="3158" t="s">
        <v>3441</v>
      </c>
      <c r="B7" s="3253"/>
      <c r="C7" s="3158" t="s">
        <v>3445</v>
      </c>
      <c r="D7" s="3253"/>
      <c r="E7" s="3253"/>
      <c r="F7" s="3158" t="s">
        <v>3442</v>
      </c>
      <c r="G7" s="3160">
        <v>228.8</v>
      </c>
      <c r="H7" s="3253"/>
      <c r="I7" s="3253"/>
      <c r="J7" s="3160">
        <v>2</v>
      </c>
      <c r="K7" s="3254"/>
      <c r="L7" s="3161"/>
      <c r="M7">
        <v>23125</v>
      </c>
      <c r="N7">
        <v>529.11</v>
      </c>
      <c r="O7">
        <f t="shared" si="0"/>
        <v>529.1</v>
      </c>
      <c r="P7">
        <f t="shared" si="1"/>
        <v>21969</v>
      </c>
      <c r="Q7" s="3164">
        <v>21900</v>
      </c>
      <c r="R7" s="3164">
        <f t="shared" si="2"/>
        <v>501</v>
      </c>
      <c r="S7">
        <f t="shared" si="3"/>
        <v>-5.2972972972972973E-2</v>
      </c>
    </row>
    <row r="8" spans="1:19" ht="28.8">
      <c r="A8" s="3158" t="s">
        <v>3447</v>
      </c>
      <c r="B8" s="3253"/>
      <c r="C8" s="3158" t="s">
        <v>3446</v>
      </c>
      <c r="D8" s="3253"/>
      <c r="E8" s="3253"/>
      <c r="F8" s="3158" t="s">
        <v>3443</v>
      </c>
      <c r="G8" s="3160">
        <v>200.67</v>
      </c>
      <c r="H8" s="3253"/>
      <c r="I8" s="3253"/>
      <c r="J8" s="3160">
        <v>2</v>
      </c>
      <c r="K8" s="3254"/>
      <c r="L8" s="3161"/>
      <c r="M8">
        <v>23423</v>
      </c>
      <c r="N8">
        <v>470.03</v>
      </c>
      <c r="O8">
        <f t="shared" si="0"/>
        <v>470.03</v>
      </c>
      <c r="P8">
        <f t="shared" si="1"/>
        <v>22252</v>
      </c>
      <c r="Q8" s="3164">
        <v>22200</v>
      </c>
      <c r="R8" s="3164">
        <f t="shared" si="2"/>
        <v>445</v>
      </c>
      <c r="S8">
        <f t="shared" si="3"/>
        <v>-5.2213636169576909E-2</v>
      </c>
    </row>
    <row r="9" spans="1:19" ht="28.8">
      <c r="A9" s="3158" t="s">
        <v>3448</v>
      </c>
      <c r="B9" s="3253"/>
      <c r="C9" s="3158" t="s">
        <v>3449</v>
      </c>
      <c r="D9" s="3253"/>
      <c r="E9" s="3253"/>
      <c r="F9" s="3158" t="s">
        <v>3450</v>
      </c>
      <c r="G9" s="3160">
        <v>242.27</v>
      </c>
      <c r="H9" s="3253"/>
      <c r="I9" s="3253"/>
      <c r="J9" s="3160">
        <v>2</v>
      </c>
      <c r="K9" s="3254"/>
      <c r="L9" s="3162">
        <v>52298</v>
      </c>
      <c r="M9">
        <v>23217</v>
      </c>
      <c r="N9">
        <v>562.49</v>
      </c>
      <c r="O9">
        <f t="shared" si="0"/>
        <v>562.48</v>
      </c>
      <c r="P9">
        <f t="shared" si="1"/>
        <v>22056</v>
      </c>
      <c r="Q9" s="3164">
        <v>22000</v>
      </c>
      <c r="R9" s="3164">
        <f t="shared" si="2"/>
        <v>533</v>
      </c>
      <c r="S9">
        <f t="shared" si="3"/>
        <v>-5.2418486453891543E-2</v>
      </c>
    </row>
    <row r="10" spans="1:19">
      <c r="A10" s="3161"/>
      <c r="B10" s="3161"/>
      <c r="C10" s="3161"/>
      <c r="D10" s="3161"/>
      <c r="E10" s="3161"/>
      <c r="F10" s="3158" t="s">
        <v>2592</v>
      </c>
      <c r="G10" s="3161">
        <f>SUM(G2:G9)</f>
        <v>1583.73</v>
      </c>
      <c r="H10" s="3161"/>
      <c r="I10" s="3161"/>
      <c r="J10" s="3161"/>
      <c r="K10" s="3161"/>
      <c r="L10" s="3161"/>
      <c r="N10">
        <f>SUM(N2:N9)</f>
        <v>4199.74</v>
      </c>
    </row>
    <row r="12" spans="1:19">
      <c r="A12" s="1405" t="s">
        <v>3451</v>
      </c>
      <c r="B12" s="3154">
        <v>52298</v>
      </c>
    </row>
    <row r="15" spans="1:19">
      <c r="A15" s="1405" t="s">
        <v>3475</v>
      </c>
    </row>
    <row r="16" spans="1:19">
      <c r="A16" s="1405" t="s">
        <v>3392</v>
      </c>
      <c r="B16">
        <v>142.36000000000001</v>
      </c>
    </row>
    <row r="17" spans="1:4">
      <c r="A17" s="1405" t="s">
        <v>3467</v>
      </c>
      <c r="B17">
        <v>55001</v>
      </c>
    </row>
    <row r="18" spans="1:4">
      <c r="A18" s="1405" t="s">
        <v>3465</v>
      </c>
      <c r="B18">
        <v>250000</v>
      </c>
      <c r="C18" s="1405" t="s">
        <v>3466</v>
      </c>
      <c r="D18" s="1405" t="s">
        <v>3476</v>
      </c>
    </row>
    <row r="19" spans="1:4">
      <c r="B19">
        <f>ROUND(B18/365/B16,2)</f>
        <v>4.8099999999999996</v>
      </c>
    </row>
  </sheetData>
  <mergeCells count="6">
    <mergeCell ref="B2:B9"/>
    <mergeCell ref="H2:H9"/>
    <mergeCell ref="I2:I9"/>
    <mergeCell ref="E2:E9"/>
    <mergeCell ref="K2:K9"/>
    <mergeCell ref="D2:D9"/>
  </mergeCells>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3.2">
      <c r="A3" s="3293" t="s">
        <v>1264</v>
      </c>
      <c r="B3" s="3294"/>
      <c r="C3" s="3294"/>
      <c r="D3" s="3294"/>
      <c r="E3" s="3294"/>
      <c r="F3" s="3294"/>
      <c r="G3" s="3294"/>
      <c r="H3" s="3294"/>
      <c r="I3" s="3294"/>
    </row>
    <row r="4" spans="1:12" ht="14.4">
      <c r="A4" s="1624" t="s">
        <v>1265</v>
      </c>
      <c r="B4" s="1625" t="s">
        <v>1266</v>
      </c>
      <c r="C4" s="1626" t="s">
        <v>3469</v>
      </c>
      <c r="D4" s="1626" t="s">
        <v>3464</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9" t="s">
        <v>1268</v>
      </c>
      <c r="B5" s="3256">
        <v>25</v>
      </c>
      <c r="C5" s="3272"/>
      <c r="D5" s="3292"/>
      <c r="E5" s="123" t="s">
        <v>1269</v>
      </c>
      <c r="F5" s="1627"/>
      <c r="G5" s="1627"/>
      <c r="H5" s="1627"/>
      <c r="I5" s="1281"/>
    </row>
    <row r="6" spans="1:12" ht="13.2">
      <c r="A6" s="3269"/>
      <c r="B6" s="3256"/>
      <c r="C6" s="3273"/>
      <c r="D6" s="3292"/>
      <c r="E6" s="123" t="s">
        <v>1270</v>
      </c>
      <c r="F6" s="1627"/>
      <c r="G6" s="1627"/>
      <c r="H6" s="1627"/>
      <c r="I6" s="1281"/>
    </row>
    <row r="7" spans="1:12" ht="13.2">
      <c r="A7" s="3269"/>
      <c r="B7" s="3256"/>
      <c r="C7" s="3274"/>
      <c r="D7" s="3292"/>
      <c r="E7" s="123" t="s">
        <v>1271</v>
      </c>
      <c r="F7" s="1627"/>
      <c r="G7" s="1627"/>
      <c r="H7" s="1627"/>
      <c r="I7" s="1281"/>
    </row>
    <row r="8" spans="1:12" ht="13.2">
      <c r="A8" s="3269" t="s">
        <v>1272</v>
      </c>
      <c r="B8" s="3256">
        <v>15</v>
      </c>
      <c r="C8" s="3272"/>
      <c r="D8" s="3292"/>
      <c r="E8" s="123" t="s">
        <v>1273</v>
      </c>
      <c r="F8" s="1627"/>
      <c r="G8" s="1627"/>
      <c r="H8" s="1627"/>
      <c r="I8" s="1281"/>
    </row>
    <row r="9" spans="1:12" ht="13.2">
      <c r="A9" s="3269"/>
      <c r="B9" s="3256"/>
      <c r="C9" s="3274"/>
      <c r="D9" s="3292"/>
      <c r="E9" s="123" t="s">
        <v>1274</v>
      </c>
      <c r="F9" s="1627"/>
      <c r="G9" s="1627"/>
      <c r="H9" s="1627"/>
      <c r="I9" s="1281"/>
    </row>
    <row r="10" spans="1:12" ht="13.2">
      <c r="A10" s="3269" t="s">
        <v>1275</v>
      </c>
      <c r="B10" s="3256">
        <v>15</v>
      </c>
      <c r="C10" s="3272"/>
      <c r="D10" s="3292"/>
      <c r="E10" s="123" t="s">
        <v>1276</v>
      </c>
      <c r="F10" s="1627"/>
      <c r="G10" s="1627"/>
      <c r="H10" s="1627"/>
      <c r="I10" s="1281"/>
    </row>
    <row r="11" spans="1:12" ht="13.2">
      <c r="A11" s="3269"/>
      <c r="B11" s="3256"/>
      <c r="C11" s="3274"/>
      <c r="D11" s="3292"/>
      <c r="E11" s="123" t="s">
        <v>1277</v>
      </c>
      <c r="F11" s="1627"/>
      <c r="G11" s="1627"/>
      <c r="H11" s="1627"/>
      <c r="I11" s="1281"/>
    </row>
    <row r="12" spans="1:12" ht="13.2">
      <c r="A12" s="3269" t="s">
        <v>1278</v>
      </c>
      <c r="B12" s="3256">
        <v>15</v>
      </c>
      <c r="C12" s="3272"/>
      <c r="D12" s="3292"/>
      <c r="E12" s="123" t="s">
        <v>1279</v>
      </c>
      <c r="F12" s="1627"/>
      <c r="G12" s="1627"/>
      <c r="H12" s="1627"/>
      <c r="I12" s="1281"/>
    </row>
    <row r="13" spans="1:12" ht="13.2">
      <c r="A13" s="3269"/>
      <c r="B13" s="3256"/>
      <c r="C13" s="3274"/>
      <c r="D13" s="3292"/>
      <c r="E13" s="123" t="s">
        <v>1280</v>
      </c>
      <c r="F13" s="1627"/>
      <c r="G13" s="1627"/>
      <c r="H13" s="1627"/>
      <c r="I13" s="1281"/>
    </row>
    <row r="14" spans="1:12" ht="13.2">
      <c r="A14" s="3269" t="s">
        <v>1281</v>
      </c>
      <c r="B14" s="3256">
        <v>30</v>
      </c>
      <c r="C14" s="3272">
        <v>3</v>
      </c>
      <c r="D14" s="3292">
        <v>7</v>
      </c>
      <c r="E14" s="123" t="s">
        <v>1282</v>
      </c>
      <c r="F14" s="1627"/>
      <c r="G14" s="1627"/>
      <c r="H14" s="1627"/>
      <c r="I14" s="1281"/>
    </row>
    <row r="15" spans="1:12" ht="13.2">
      <c r="A15" s="3269"/>
      <c r="B15" s="3256"/>
      <c r="C15" s="3273"/>
      <c r="D15" s="3292"/>
      <c r="E15" s="123" t="s">
        <v>1283</v>
      </c>
      <c r="F15" s="1627"/>
      <c r="G15" s="1627"/>
      <c r="H15" s="1627"/>
      <c r="I15" s="1281"/>
    </row>
    <row r="16" spans="1:12" ht="13.2">
      <c r="A16" s="3269"/>
      <c r="B16" s="3256"/>
      <c r="C16" s="3274"/>
      <c r="D16" s="3292"/>
      <c r="E16" s="123" t="s">
        <v>1284</v>
      </c>
      <c r="F16" s="1627"/>
      <c r="G16" s="1627"/>
      <c r="H16" s="1627"/>
      <c r="I16" s="1281"/>
    </row>
    <row r="17" spans="1:36" ht="14.4">
      <c r="A17" s="1628" t="s">
        <v>1285</v>
      </c>
      <c r="B17" s="54"/>
      <c r="C17" s="124">
        <f>SUM(C5:C16)</f>
        <v>3</v>
      </c>
      <c r="D17" s="124">
        <f>SUM(D5:D16)</f>
        <v>7</v>
      </c>
      <c r="E17" s="121"/>
      <c r="F17" s="121"/>
      <c r="G17" s="121"/>
      <c r="H17" s="121"/>
      <c r="I17" s="121"/>
      <c r="K17" s="294"/>
      <c r="L17" s="294" t="s">
        <v>1286</v>
      </c>
      <c r="M17" s="294" t="s">
        <v>1287</v>
      </c>
    </row>
    <row r="18" spans="1:36" ht="31.95" customHeight="1" thickBot="1">
      <c r="A18" s="1629" t="s">
        <v>1288</v>
      </c>
      <c r="B18" s="1542"/>
      <c r="C18" s="125">
        <f>ROUND(C17/SUM(C17:D17),2)</f>
        <v>0.3</v>
      </c>
      <c r="D18" s="125">
        <f>1-C18</f>
        <v>0.7</v>
      </c>
      <c r="E18" s="3279" t="s">
        <v>2131</v>
      </c>
      <c r="F18" s="3280"/>
      <c r="G18" s="3280"/>
      <c r="H18" s="3280"/>
      <c r="I18" s="3280"/>
      <c r="K18" s="294" t="s">
        <v>1289</v>
      </c>
      <c r="L18" s="294">
        <f>IF(C1="",'数据-汇总表'!E3,SUMIF(项目类型,C1,'数据-汇总表'!E17:E26)+SUMIF(项目类型,C1,'数据-汇总表'!I17:I26))</f>
        <v>166.53</v>
      </c>
      <c r="M18" s="294">
        <f>IF(C1="",'数据-汇总表'!E3,SUMIF(项目类型,C1,'数据-汇总表'!E17:E26))</f>
        <v>166.53</v>
      </c>
    </row>
    <row r="19" spans="1:36" ht="14.4">
      <c r="A19" s="1630" t="s">
        <v>1290</v>
      </c>
      <c r="B19" s="1631" t="s">
        <v>1291</v>
      </c>
      <c r="C19" s="126">
        <f ca="1">SUMIF(INDIRECT("'"&amp;C4&amp;"'"&amp;"!A:A"),结果表!B19,INDIRECT("'"&amp;C4&amp;"'"&amp;"!B:B"))</f>
        <v>872.61720000000003</v>
      </c>
      <c r="D19" s="127">
        <f ca="1">SUMIF(INDIRECT("'"&amp;D4&amp;"'"&amp;"!A:A"),结果表!B19,INDIRECT("'"&amp;D4&amp;"'"&amp;"!B:B"))</f>
        <v>299.81380000000001</v>
      </c>
      <c r="E19" s="1630" t="s">
        <v>1292</v>
      </c>
      <c r="F19" s="1631" t="s">
        <v>1291</v>
      </c>
      <c r="G19" s="128">
        <f ca="1">ROUND(C19*$C$18+D19*$D$18,0)</f>
        <v>472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52400</v>
      </c>
      <c r="D20" s="130">
        <f ca="1">SUMIF(INDIRECT("'"&amp;D4&amp;"'"&amp;"!A:A"),结果表!B20,INDIRECT("'"&amp;D4&amp;"'"&amp;"!B:B"))</f>
        <v>18004</v>
      </c>
      <c r="E20" s="1633"/>
      <c r="F20" s="43" t="s">
        <v>1295</v>
      </c>
      <c r="G20" s="131">
        <f ca="1">ROUND(C20*$C$18+D20*$D$18,0)</f>
        <v>28323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1.9105304692445779</v>
      </c>
      <c r="E22" s="121"/>
      <c r="F22" s="121"/>
      <c r="G22" s="121"/>
      <c r="H22" s="121"/>
      <c r="I22" s="121"/>
    </row>
    <row r="23" spans="1:36" ht="13.8" thickBot="1">
      <c r="A23" s="646"/>
      <c r="B23" s="646"/>
      <c r="C23" s="646"/>
      <c r="D23" s="646"/>
      <c r="E23" s="121"/>
      <c r="F23" s="121"/>
      <c r="G23" s="121"/>
      <c r="H23" s="121"/>
      <c r="I23" s="121"/>
    </row>
    <row r="24" spans="1:36" ht="14.4">
      <c r="A24" s="3263" t="s">
        <v>1299</v>
      </c>
      <c r="B24" s="1631" t="s">
        <v>1291</v>
      </c>
      <c r="C24" s="128">
        <f>IF(B30=0,0,D30)</f>
        <v>0</v>
      </c>
      <c r="D24" s="1637"/>
      <c r="E24" s="121"/>
      <c r="F24" s="121"/>
      <c r="G24" s="121"/>
      <c r="H24" s="121"/>
      <c r="I24" s="121"/>
    </row>
    <row r="25" spans="1:36" ht="14.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28323</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3" t="s">
        <v>1312</v>
      </c>
      <c r="B36" s="1652" t="s">
        <v>1313</v>
      </c>
      <c r="C36" s="137"/>
      <c r="D36" s="1653"/>
      <c r="E36" s="1567"/>
      <c r="F36" s="1654"/>
      <c r="G36" s="121"/>
      <c r="H36" s="121"/>
      <c r="I36" s="121"/>
    </row>
    <row r="37" spans="1:15" ht="15" thickBot="1">
      <c r="A37" s="3284"/>
      <c r="B37" s="1555" t="s">
        <v>1314</v>
      </c>
      <c r="C37" s="139"/>
      <c r="D37" s="1071"/>
      <c r="E37" s="1071"/>
      <c r="F37" s="1654"/>
      <c r="G37" s="121"/>
      <c r="H37" s="121"/>
      <c r="I37" s="121"/>
    </row>
    <row r="38" spans="1:15" ht="15" thickBot="1">
      <c r="A38" s="328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45734</v>
      </c>
      <c r="N47" s="3340"/>
      <c r="O47" s="3340"/>
    </row>
    <row r="48" spans="1:15" ht="26.4">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房地产抵押价值</v>
      </c>
      <c r="L49" s="3319"/>
      <c r="M49" s="3341" t="str">
        <f ca="1">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399999999999999"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5.2">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3.2">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5.2">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6"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8"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3.2">
      <c r="A62" s="3286" t="s">
        <v>1375</v>
      </c>
      <c r="B62" s="3287"/>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45"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 ca="1">ROUND(SUM(M63:M68),0)</f>
        <v>#VALUE!</v>
      </c>
      <c r="N69" s="2331" t="e">
        <f ca="1">M69/M49</f>
        <v>#VALUE!</v>
      </c>
      <c r="Z69" s="1623"/>
      <c r="AI69" s="1561"/>
    </row>
    <row r="70" spans="1:35" s="642" customFormat="1" ht="14.4"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7"/>
      <c r="E100" s="3248" t="s">
        <v>1429</v>
      </c>
      <c r="F100" s="3248"/>
      <c r="G100" s="3248"/>
      <c r="H100" s="3267"/>
      <c r="I100" s="121"/>
    </row>
    <row r="101" spans="1:35" ht="18.75" customHeight="1">
      <c r="A101" s="3328" t="s">
        <v>1430</v>
      </c>
      <c r="B101" s="3329"/>
      <c r="C101" s="2370" t="str">
        <f>C4</f>
        <v>比较法-商业</v>
      </c>
      <c r="D101" s="2371" t="str">
        <f>D4</f>
        <v>收益法 (元)</v>
      </c>
      <c r="E101" s="3342" t="s">
        <v>1431</v>
      </c>
      <c r="F101" s="3299"/>
      <c r="G101" s="1687" t="s">
        <v>1432</v>
      </c>
      <c r="H101" s="2380" t="e">
        <f ca="1">H118</f>
        <v>#REF!</v>
      </c>
      <c r="I101" s="121"/>
    </row>
    <row r="102" spans="1:35" ht="18.75" customHeight="1">
      <c r="A102" s="3301" t="s">
        <v>1433</v>
      </c>
      <c r="B102" s="2369" t="s">
        <v>1432</v>
      </c>
      <c r="C102" s="2370">
        <f ca="1">IF(D32="楼面单价",ROUND(C19,0),C19)</f>
        <v>872.61720000000003</v>
      </c>
      <c r="D102" s="2371">
        <f ca="1">IF(D32="楼面单价",ROUND(D19,0),D19)</f>
        <v>299.81380000000001</v>
      </c>
      <c r="E102" s="3342"/>
      <c r="F102" s="3299"/>
      <c r="G102" s="1687" t="s">
        <v>1434</v>
      </c>
      <c r="H102" s="2340" t="e">
        <f ca="1">I118</f>
        <v>#REF!</v>
      </c>
      <c r="I102" s="121"/>
    </row>
    <row r="103" spans="1:35" ht="42.75" customHeight="1">
      <c r="A103" s="3301"/>
      <c r="B103" s="2369" t="s">
        <v>1434</v>
      </c>
      <c r="C103" s="2372">
        <f ca="1">C20</f>
        <v>52400</v>
      </c>
      <c r="D103" s="2373">
        <f ca="1">D20</f>
        <v>18004</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166.53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2.9999999999999997E-4</v>
      </c>
      <c r="D44" s="230"/>
      <c r="E44" s="230"/>
      <c r="F44" s="231"/>
      <c r="G44" s="3351"/>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57.238399999999999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3437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33306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33306</v>
      </c>
      <c r="D10" s="795">
        <f ca="1">IF(B1="",'数据-汇总表'!E6,IF(INDIRECT("'数据-取费表'!c"&amp;$G$1)="住宅",INDIRECT("'数据-取费表'!s"&amp;$G$1),INDIRECT("'数据-取费表'!k"&amp;$G$1)+INDIRECT("'数据-取费表'!s"&amp;$G$1)))</f>
        <v>166.53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33306</v>
      </c>
      <c r="D19" s="204">
        <f ca="1">D9+D10</f>
        <v>166.53</v>
      </c>
      <c r="E19" s="203">
        <f>'数据-取费表'!B31</f>
        <v>200</v>
      </c>
      <c r="F19" s="223"/>
      <c r="G19" s="1714"/>
    </row>
    <row r="20" spans="1:7" s="206" customFormat="1" ht="13.5" customHeight="1">
      <c r="A20" s="247" t="s">
        <v>1574</v>
      </c>
      <c r="B20" s="202" t="s">
        <v>1575</v>
      </c>
      <c r="C20" s="224">
        <f ca="1">ROUND((C5+C19)*F20,0)</f>
        <v>1332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2085</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1032</v>
      </c>
      <c r="D24" s="230"/>
      <c r="E24" s="230"/>
      <c r="F24" s="231"/>
      <c r="G24" s="232" t="s">
        <v>1586</v>
      </c>
    </row>
    <row r="25" spans="1:7" s="206" customFormat="1" ht="24">
      <c r="A25" s="734" t="s">
        <v>1476</v>
      </c>
      <c r="B25" s="207" t="s">
        <v>1587</v>
      </c>
      <c r="C25" s="230">
        <f ca="1">ROUND(IF('数据-取费表'!B22&lt;=1,C20*F22*'数据-取费表'!B22/2,C20*(POWER((1+F22),'数据-取费表'!B22/2)-1)),0)</f>
        <v>21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6794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6794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83106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567868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499590</v>
      </c>
      <c r="D34" s="209"/>
      <c r="E34" s="212"/>
      <c r="F34" s="249"/>
      <c r="G34" s="211"/>
    </row>
    <row r="35" spans="1:7" ht="13.5" customHeight="1">
      <c r="A35" s="734" t="s">
        <v>351</v>
      </c>
      <c r="B35" s="207" t="s">
        <v>1527</v>
      </c>
      <c r="C35" s="212">
        <f ca="1">ROUND(C34*F35,0)</f>
        <v>24980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33306</v>
      </c>
      <c r="D37" s="209">
        <f ca="1">D19</f>
        <v>166.53</v>
      </c>
      <c r="E37" s="241">
        <f>'数据-取费表'!B35</f>
        <v>200</v>
      </c>
      <c r="F37" s="251"/>
      <c r="G37" s="253"/>
    </row>
    <row r="38" spans="1:7" ht="13.5" customHeight="1">
      <c r="A38" s="734" t="s">
        <v>354</v>
      </c>
      <c r="B38" s="207" t="s">
        <v>1533</v>
      </c>
      <c r="C38" s="212">
        <f ca="1">ROUND(C34*F38,0)</f>
        <v>9992</v>
      </c>
      <c r="D38" s="212"/>
      <c r="E38" s="212"/>
      <c r="F38" s="251">
        <f>'数据-取费表'!B36</f>
        <v>0.02</v>
      </c>
      <c r="G38" s="211" t="s">
        <v>1528</v>
      </c>
    </row>
    <row r="39" spans="1:7" s="206" customFormat="1" ht="13.5" customHeight="1">
      <c r="A39" s="247" t="s">
        <v>1534</v>
      </c>
      <c r="B39" s="202" t="s">
        <v>1535</v>
      </c>
      <c r="C39" s="224">
        <f ca="1">ROUND(C33*F20,0)</f>
        <v>11357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8978</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8802</v>
      </c>
      <c r="D42" s="230"/>
      <c r="E42" s="230"/>
      <c r="F42" s="231"/>
      <c r="G42" s="3349" t="s">
        <v>1591</v>
      </c>
    </row>
    <row r="43" spans="1:7" ht="13.5" customHeight="1">
      <c r="A43" s="734" t="s">
        <v>347</v>
      </c>
      <c r="B43" s="207" t="s">
        <v>1545</v>
      </c>
      <c r="C43" s="230">
        <f ca="1">ROUND(IF('数据-取费表'!B22&lt;=1,C39*F22*'数据-取费表'!B20/2,C39*(POWER((1+F22),'数据-取费表'!B20/2)-1)),0)</f>
        <v>176</v>
      </c>
      <c r="D43" s="230"/>
      <c r="E43" s="230"/>
      <c r="F43" s="231"/>
      <c r="G43" s="3350"/>
    </row>
    <row r="44" spans="1:7" ht="13.5" customHeight="1">
      <c r="A44" s="734" t="s">
        <v>348</v>
      </c>
      <c r="B44" s="207" t="s">
        <v>1546</v>
      </c>
      <c r="C44" s="230">
        <f ca="1">ROUND(IF('数据-取费表'!B22&lt;=1,C40*F22*'数据-取费表'!B20/2,C40*(POWER((1+F22),'数据-取费表'!B20/2)-1)),4)</f>
        <v>2.9999999999999997E-4</v>
      </c>
      <c r="D44" s="230"/>
      <c r="E44" s="230"/>
      <c r="F44" s="231"/>
      <c r="G44" s="3351"/>
    </row>
    <row r="45" spans="1:7" s="206" customFormat="1" ht="13.5" customHeight="1">
      <c r="A45" s="247" t="s">
        <v>1547</v>
      </c>
      <c r="B45" s="236" t="s">
        <v>1513</v>
      </c>
      <c r="C45" s="237">
        <f ca="1">C46</f>
        <v>57923</v>
      </c>
      <c r="D45" s="227">
        <f ca="1">C47</f>
        <v>2E-3</v>
      </c>
      <c r="E45" s="228" t="s">
        <v>1539</v>
      </c>
      <c r="F45" s="238">
        <f ca="1">F27</f>
        <v>0.1</v>
      </c>
      <c r="G45" s="239" t="s">
        <v>1548</v>
      </c>
    </row>
    <row r="46" spans="1:7" s="206" customFormat="1" ht="13.5" customHeight="1">
      <c r="A46" s="734" t="s">
        <v>346</v>
      </c>
      <c r="B46" s="240" t="s">
        <v>1549</v>
      </c>
      <c r="C46" s="241">
        <f ca="1">ROUND((C33+C39)*F27,0)</f>
        <v>57923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698968</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489278</v>
      </c>
      <c r="D51" s="224"/>
      <c r="E51" s="224"/>
      <c r="F51" s="256"/>
      <c r="G51" s="226" t="s">
        <v>1560</v>
      </c>
    </row>
    <row r="52" spans="1:7" s="200" customFormat="1" ht="16.8" thickBot="1">
      <c r="A52" s="257" t="s">
        <v>1561</v>
      </c>
      <c r="B52" s="258"/>
      <c r="C52" s="259">
        <f ca="1">C31+C51</f>
        <v>572384</v>
      </c>
      <c r="D52" s="258"/>
      <c r="E52" s="258"/>
      <c r="F52" s="258"/>
      <c r="G52" s="260"/>
    </row>
    <row r="55" spans="1:7" ht="15">
      <c r="B55" s="262" t="s">
        <v>1562</v>
      </c>
      <c r="C55" s="263"/>
    </row>
    <row r="56" spans="1:7">
      <c r="B56" s="265" t="s">
        <v>802</v>
      </c>
      <c r="C56" s="267">
        <f ca="1">1-C57</f>
        <v>0.14500000000000002</v>
      </c>
    </row>
    <row r="57" spans="1:7">
      <c r="B57" s="265" t="s">
        <v>803</v>
      </c>
      <c r="C57" s="266">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-180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166.53</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3430</v>
      </c>
      <c r="D1" s="1271" t="s">
        <v>43</v>
      </c>
      <c r="E1" s="1272" t="s">
        <v>678</v>
      </c>
      <c r="F1" s="999">
        <f ca="1">J53</f>
        <v>17.98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299.81380000000001</v>
      </c>
      <c r="C2" s="1289" t="s">
        <v>879</v>
      </c>
      <c r="D2" s="1375">
        <f ca="1">C40+J29+L46</f>
        <v>2998138</v>
      </c>
      <c r="E2" s="1295" t="s">
        <v>880</v>
      </c>
      <c r="F2" s="1296"/>
      <c r="G2" s="2478"/>
      <c r="H2" s="2468"/>
      <c r="I2" s="2468"/>
      <c r="J2" s="2468"/>
      <c r="K2" s="2469"/>
      <c r="L2" s="2468"/>
      <c r="M2" s="2468"/>
    </row>
    <row r="3" spans="1:37" ht="18" customHeight="1" thickBot="1">
      <c r="A3" s="1297" t="s">
        <v>881</v>
      </c>
      <c r="B3" s="1298">
        <f ca="1">IF(ISERROR(D2/F43),0,ROUND(D2/F43,0))</f>
        <v>18004</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262913</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262585</v>
      </c>
      <c r="D6" s="147" t="s">
        <v>2106</v>
      </c>
      <c r="E6" s="294" t="s">
        <v>696</v>
      </c>
      <c r="F6" s="295">
        <f ca="1">INDIRECT("'数据-取费表'!u"&amp;$G$1)</f>
        <v>4.8</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166.53</v>
      </c>
      <c r="G7" s="1292"/>
      <c r="H7" s="296"/>
      <c r="I7" s="3355"/>
      <c r="J7" s="298"/>
      <c r="K7" s="299"/>
      <c r="L7" s="294" t="s">
        <v>697</v>
      </c>
      <c r="M7" s="295">
        <f ca="1">F7</f>
        <v>166.53</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328</v>
      </c>
      <c r="D10" s="150" t="s">
        <v>2116</v>
      </c>
      <c r="E10" s="305" t="s">
        <v>701</v>
      </c>
      <c r="F10" s="1053" t="s">
        <v>3460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69897</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499590</v>
      </c>
      <c r="D14" s="1257" t="s">
        <v>708</v>
      </c>
      <c r="E14" s="1255"/>
      <c r="F14" s="311"/>
      <c r="G14" s="1292"/>
      <c r="H14" s="928" t="s">
        <v>398</v>
      </c>
      <c r="I14" s="294" t="s">
        <v>709</v>
      </c>
      <c r="J14" s="21">
        <f ca="1">C29</f>
        <v>698968</v>
      </c>
      <c r="K14" s="12"/>
      <c r="L14" s="759"/>
      <c r="M14" s="760"/>
    </row>
    <row r="15" spans="1:37" s="1304" customFormat="1" ht="18" customHeight="1" thickBot="1">
      <c r="A15" s="928" t="s">
        <v>399</v>
      </c>
      <c r="B15" s="294" t="s">
        <v>710</v>
      </c>
      <c r="C15" s="21">
        <f ca="1">ROUND(C14*F15,0)</f>
        <v>24980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6990</v>
      </c>
      <c r="K16" s="1024" t="s">
        <v>715</v>
      </c>
      <c r="L16" s="1025"/>
      <c r="M16" s="1009"/>
    </row>
    <row r="17" spans="1:37" s="1304" customFormat="1" ht="18" customHeight="1">
      <c r="A17" s="928" t="s">
        <v>681</v>
      </c>
      <c r="B17" s="294" t="s">
        <v>716</v>
      </c>
      <c r="C17" s="21">
        <f ca="1">ROUND(F17*(F43+INDIRECT("'数据-取费表'!S"&amp;$G$1)),0)</f>
        <v>33306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567868</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11357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6990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8978</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-6990</v>
      </c>
      <c r="K25" s="1032" t="s">
        <v>753</v>
      </c>
      <c r="L25" s="1033"/>
      <c r="M25" s="1034"/>
    </row>
    <row r="26" spans="1:37" ht="18" customHeight="1">
      <c r="A26" s="928" t="s">
        <v>397</v>
      </c>
      <c r="B26" s="294" t="s">
        <v>754</v>
      </c>
      <c r="C26" s="21">
        <f ca="1">ROUND((C19+C20)*F26,0)</f>
        <v>57923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698968</v>
      </c>
      <c r="D29" s="1029"/>
      <c r="E29" s="1027"/>
      <c r="F29" s="1030"/>
      <c r="G29" s="1303"/>
      <c r="H29" s="325" t="s">
        <v>396</v>
      </c>
      <c r="I29" s="326" t="s">
        <v>768</v>
      </c>
      <c r="J29" s="327">
        <f ca="1">ROUND(J26/(1+F40)^F41,0)</f>
        <v>0</v>
      </c>
      <c r="K29" s="328" t="s">
        <v>769</v>
      </c>
      <c r="L29" s="329"/>
      <c r="M29" s="330">
        <f ca="1">INDIRECT("'数据-取费表'!k"&amp;$G$1)</f>
        <v>166.53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53704</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44015</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14005</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30010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3</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6990</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70</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2629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209209</v>
      </c>
      <c r="D39" s="1032" t="s">
        <v>773</v>
      </c>
      <c r="E39" s="1033"/>
      <c r="F39" s="1034"/>
      <c r="G39" s="1292"/>
      <c r="H39" s="2473">
        <f ca="1">C39/C5</f>
        <v>0.79573471072179769</v>
      </c>
      <c r="I39" s="1305"/>
      <c r="J39" s="1306"/>
      <c r="K39" s="2471"/>
      <c r="L39" s="2473"/>
      <c r="M39" s="2473"/>
    </row>
    <row r="40" spans="1:18" ht="18" customHeight="1">
      <c r="A40" s="291" t="s">
        <v>395</v>
      </c>
      <c r="B40" s="292" t="s">
        <v>774</v>
      </c>
      <c r="C40" s="293">
        <f ca="1">ROUND(C39*(1-((1+F42)/(1+F40))^F41)/(F40-F42),0)</f>
        <v>2718551</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17.98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16325</v>
      </c>
      <c r="D43" s="328" t="s">
        <v>777</v>
      </c>
      <c r="E43" s="329" t="s">
        <v>778</v>
      </c>
      <c r="F43" s="330">
        <f ca="1">INDIRECT("'数据-取费表'!k"&amp;$G$1)</f>
        <v>166.53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-279.78960000000001</v>
      </c>
      <c r="D45" s="3130" t="s">
        <v>3353</v>
      </c>
      <c r="E45" s="1307"/>
      <c r="F45" s="1307"/>
      <c r="O45" s="1310" t="s">
        <v>808</v>
      </c>
      <c r="P45" s="1366"/>
      <c r="Q45" s="1366"/>
      <c r="R45" s="1366"/>
    </row>
    <row r="46" spans="1:18" s="1292" customFormat="1" ht="13.8" thickBot="1">
      <c r="A46" s="1311" t="s">
        <v>809</v>
      </c>
      <c r="C46" s="1312">
        <f ca="1">ROUND(C45,0)</f>
        <v>-280</v>
      </c>
      <c r="D46" s="1313" t="str">
        <f>C2</f>
        <v>万元</v>
      </c>
      <c r="I46" s="1314" t="s">
        <v>810</v>
      </c>
      <c r="J46" s="1315"/>
      <c r="K46" s="1316"/>
      <c r="L46" s="1317">
        <f ca="1">IF(M47="住宅",0,IF(L48&gt;J51,L60,J60))</f>
        <v>279587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3422</v>
      </c>
      <c r="K47" s="1323" t="s">
        <v>816</v>
      </c>
      <c r="L47" s="1324">
        <f ca="1">INDIRECT("'数据-取费表'!d"&amp;$G$1)</f>
        <v>0</v>
      </c>
      <c r="M47" s="1288" t="str">
        <f>IF(ISNUMBER(FIND("住宅",C1)),"住宅","非住宅")</f>
        <v>非住宅</v>
      </c>
      <c r="O47" s="1325" t="s">
        <v>403</v>
      </c>
      <c r="P47" s="1326" t="s">
        <v>817</v>
      </c>
      <c r="Q47" s="1327">
        <f ca="1">C40+J29</f>
        <v>2718551</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3461</v>
      </c>
      <c r="K48" s="1330" t="s">
        <v>820</v>
      </c>
      <c r="L48" s="1331">
        <f ca="1">INDIRECT("'数据-取费表'!f"&amp;$G$1)</f>
        <v>17.98</v>
      </c>
      <c r="O48" s="1325" t="s">
        <v>404</v>
      </c>
      <c r="P48" s="1326" t="s">
        <v>821</v>
      </c>
      <c r="Q48" s="1327">
        <f ca="1">J60</f>
        <v>279587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信息!$K$2</f>
        <v>2007</v>
      </c>
      <c r="K49" s="1330" t="s">
        <v>824</v>
      </c>
      <c r="L49" s="1333"/>
      <c r="O49" s="1334" t="s">
        <v>405</v>
      </c>
      <c r="P49" s="1326" t="s">
        <v>825</v>
      </c>
      <c r="Q49" s="1327">
        <f ca="1">C29</f>
        <v>698968</v>
      </c>
      <c r="R49" s="1327" t="s">
        <v>818</v>
      </c>
    </row>
    <row r="50" spans="1:18" s="1292" customFormat="1" ht="13.8" thickBot="1">
      <c r="A50" s="922"/>
      <c r="B50" s="925"/>
      <c r="C50" s="926"/>
      <c r="D50" s="899"/>
      <c r="E50" s="993" t="s">
        <v>697</v>
      </c>
      <c r="F50" s="994">
        <f ca="1">F7</f>
        <v>166.53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3559844</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17.98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17.98</v>
      </c>
      <c r="K53" s="3352" t="s">
        <v>837</v>
      </c>
      <c r="L53" s="3353"/>
      <c r="O53" s="1325" t="s">
        <v>409</v>
      </c>
      <c r="P53" s="1326" t="s">
        <v>838</v>
      </c>
      <c r="Q53" s="1327">
        <f ca="1">Q47+Q48</f>
        <v>2998138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69897</v>
      </c>
      <c r="D56" s="1352"/>
      <c r="E56" s="1353"/>
      <c r="F56" s="1345"/>
      <c r="I56" s="1354" t="s">
        <v>842</v>
      </c>
      <c r="J56" s="1355" t="s">
        <v>3468</v>
      </c>
      <c r="K56" s="1328" t="s">
        <v>843</v>
      </c>
      <c r="L56" s="1331" t="str">
        <f ca="1">IF(L48&lt;J51,"——",L48-J51)</f>
        <v>——</v>
      </c>
      <c r="O56" s="1325" t="s">
        <v>403</v>
      </c>
      <c r="P56" s="1326" t="s">
        <v>817</v>
      </c>
      <c r="Q56" s="1327">
        <f ca="1">C40+J29</f>
        <v>2718551</v>
      </c>
      <c r="R56" s="1327" t="s">
        <v>818</v>
      </c>
    </row>
    <row r="57" spans="1:18" s="1292" customFormat="1" ht="24.6" thickBot="1">
      <c r="A57" s="1356"/>
      <c r="B57" s="896" t="s">
        <v>767</v>
      </c>
      <c r="C57" s="230">
        <f ca="1">C29</f>
        <v>698968</v>
      </c>
      <c r="D57" s="1357"/>
      <c r="E57" s="1358"/>
      <c r="F57" s="1359"/>
      <c r="I57" s="1360" t="s">
        <v>844</v>
      </c>
      <c r="J57" s="1361">
        <f ca="1">IF(OR(M47="住宅",J51&lt;L48,J56="是"),"——",J51-L48)</f>
        <v>24.02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7060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279587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279587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2718551</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6990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70</v>
      </c>
      <c r="D65" s="910" t="s">
        <v>743</v>
      </c>
      <c r="E65" s="896" t="s">
        <v>744</v>
      </c>
      <c r="F65" s="321">
        <f t="shared" ca="1" si="0"/>
        <v>1E-3</v>
      </c>
      <c r="I65" s="1367" t="s">
        <v>867</v>
      </c>
      <c r="J65" s="610">
        <v>40</v>
      </c>
      <c r="K65" s="610">
        <v>30</v>
      </c>
      <c r="L65" s="610">
        <v>50</v>
      </c>
      <c r="M65" s="1369">
        <v>0.02</v>
      </c>
      <c r="O65" s="1325" t="s">
        <v>403</v>
      </c>
      <c r="P65" s="1326" t="s">
        <v>868</v>
      </c>
      <c r="Q65" s="1327">
        <f ca="1">C40+J29</f>
        <v>2718551</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-7060</v>
      </c>
      <c r="D67" s="909" t="s">
        <v>753</v>
      </c>
      <c r="E67" s="914"/>
      <c r="F67" s="915"/>
      <c r="O67" s="1334" t="s">
        <v>405</v>
      </c>
      <c r="P67" s="1326" t="s">
        <v>850</v>
      </c>
      <c r="Q67" s="1370">
        <f ca="1">L51</f>
        <v>3559844</v>
      </c>
      <c r="R67" s="1327" t="s">
        <v>870</v>
      </c>
    </row>
    <row r="68" spans="1:18" s="1292" customFormat="1" ht="16.2" thickBot="1">
      <c r="A68" s="893" t="s">
        <v>395</v>
      </c>
      <c r="B68" s="894" t="s">
        <v>774</v>
      </c>
      <c r="C68" s="293">
        <f ca="1">ROUND(C67*(1-((1+F70)/(1+F68))^F69)/(F68-F70),0)</f>
        <v>-79345</v>
      </c>
      <c r="D68" s="911" t="s">
        <v>758</v>
      </c>
      <c r="E68" s="896" t="s">
        <v>759</v>
      </c>
      <c r="F68" s="304">
        <f ca="1">F40</f>
        <v>5.5E-2</v>
      </c>
      <c r="O68" s="1334" t="s">
        <v>406</v>
      </c>
      <c r="P68" s="1371" t="s">
        <v>871</v>
      </c>
      <c r="Q68" s="1327">
        <f ca="1">ROUND(Q69-Q70*Q71,0)</f>
        <v>204316</v>
      </c>
      <c r="R68" s="1327" t="s">
        <v>414</v>
      </c>
    </row>
    <row r="69" spans="1:18" s="1292" customFormat="1" ht="13.8" thickBot="1">
      <c r="A69" s="897"/>
      <c r="B69" s="898"/>
      <c r="C69" s="298"/>
      <c r="D69" s="916" t="s">
        <v>762</v>
      </c>
      <c r="E69" s="896" t="s">
        <v>763</v>
      </c>
      <c r="F69" s="324">
        <f ca="1">F41</f>
        <v>17.98</v>
      </c>
      <c r="O69" s="1334" t="s">
        <v>411</v>
      </c>
      <c r="P69" s="1371" t="s">
        <v>872</v>
      </c>
      <c r="Q69" s="1327">
        <f ca="1">C39</f>
        <v>209209</v>
      </c>
      <c r="R69" s="1327" t="s">
        <v>818</v>
      </c>
    </row>
    <row r="70" spans="1:18" s="1292" customFormat="1" ht="13.8" thickBot="1">
      <c r="A70" s="900"/>
      <c r="B70" s="901"/>
      <c r="C70" s="302"/>
      <c r="D70" s="912"/>
      <c r="E70" s="896" t="s">
        <v>766</v>
      </c>
      <c r="F70" s="991"/>
      <c r="O70" s="1334" t="s">
        <v>412</v>
      </c>
      <c r="P70" s="1371" t="s">
        <v>873</v>
      </c>
      <c r="Q70" s="1327">
        <f ca="1">C13</f>
        <v>69897</v>
      </c>
      <c r="R70" s="1327" t="s">
        <v>818</v>
      </c>
    </row>
    <row r="71" spans="1:18" s="1292" customFormat="1" ht="13.8" thickBot="1">
      <c r="A71" s="917" t="s">
        <v>396</v>
      </c>
      <c r="B71" s="918" t="s">
        <v>776</v>
      </c>
      <c r="C71" s="327">
        <f ca="1">ROUND(C68/F71,0)</f>
        <v>-476</v>
      </c>
      <c r="D71" s="919" t="s">
        <v>777</v>
      </c>
      <c r="E71" s="920" t="s">
        <v>778</v>
      </c>
      <c r="F71" s="330">
        <f ca="1">F43</f>
        <v>166.53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4893</v>
      </c>
      <c r="D75" s="1292"/>
      <c r="E75" s="1292"/>
      <c r="F75" s="1292"/>
      <c r="K75" s="1309"/>
      <c r="L75" s="1292"/>
      <c r="O75" s="1325" t="s">
        <v>409</v>
      </c>
      <c r="P75" s="1326" t="s">
        <v>838</v>
      </c>
      <c r="Q75" s="1327">
        <f ca="1">Q65+Q66</f>
        <v>2718551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0.97699999999999998</v>
      </c>
    </row>
    <row r="80" spans="1:18">
      <c r="B80" s="331" t="s">
        <v>800</v>
      </c>
      <c r="C80" s="266">
        <f ca="1">ROUND(C75/C39,3)</f>
        <v>2.3E-2</v>
      </c>
    </row>
    <row r="81" spans="2:3">
      <c r="B81" s="262" t="s">
        <v>801</v>
      </c>
      <c r="C81" s="230"/>
    </row>
    <row r="82" spans="2:3">
      <c r="B82" s="265" t="s">
        <v>802</v>
      </c>
      <c r="C82" s="267">
        <f ca="1">1-C83</f>
        <v>0.97399999999999998</v>
      </c>
    </row>
    <row r="83" spans="2:3">
      <c r="B83" s="265" t="s">
        <v>803</v>
      </c>
      <c r="C83" s="266">
        <f ca="1">ROUND(C13/C40,3)</f>
        <v>2.5999999999999999E-2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3" t="s">
        <v>2317</v>
      </c>
      <c r="K2" s="3364"/>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5" t="s">
        <v>2327</v>
      </c>
      <c r="K3" s="3366"/>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5" t="s">
        <v>2329</v>
      </c>
      <c r="K4" s="3366"/>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1" t="s">
        <v>2333</v>
      </c>
      <c r="B6" s="3372"/>
      <c r="C6" s="3373"/>
      <c r="D6" s="2621"/>
      <c r="E6" s="2622"/>
      <c r="F6" s="2623"/>
      <c r="G6" s="2624"/>
      <c r="H6" s="2599"/>
      <c r="I6" s="2600"/>
      <c r="J6" s="3357">
        <v>1</v>
      </c>
      <c r="K6" s="335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7"/>
      <c r="K7" s="3359"/>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4" t="s">
        <v>2347</v>
      </c>
      <c r="C8" s="3375"/>
      <c r="D8" s="2640" t="s">
        <v>2348</v>
      </c>
      <c r="E8" s="2641" t="s">
        <v>2349</v>
      </c>
      <c r="F8" s="2642" t="s">
        <v>2350</v>
      </c>
      <c r="G8" s="2643"/>
      <c r="H8" s="2599"/>
      <c r="I8" s="2600"/>
      <c r="J8" s="3357"/>
      <c r="K8" s="3359"/>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4" t="s">
        <v>2353</v>
      </c>
      <c r="C9" s="3375"/>
      <c r="D9" s="2640">
        <f>ROUND(D6*E9,0)</f>
        <v>0</v>
      </c>
      <c r="E9" s="2644"/>
      <c r="F9" s="2645" t="s">
        <v>2354</v>
      </c>
      <c r="G9" s="2624"/>
      <c r="H9" s="2599"/>
      <c r="I9" s="2600"/>
      <c r="J9" s="3357"/>
      <c r="K9" s="3359"/>
      <c r="L9" s="2634" t="s">
        <v>2355</v>
      </c>
      <c r="M9" s="2635"/>
      <c r="N9" s="2611"/>
      <c r="O9" s="2636"/>
      <c r="P9" s="2636"/>
      <c r="Q9" s="2637">
        <v>365</v>
      </c>
      <c r="R9" s="2638">
        <f t="shared" si="0"/>
        <v>0</v>
      </c>
      <c r="S9" s="2592"/>
      <c r="T9" s="2592"/>
      <c r="U9" s="2592"/>
      <c r="V9" s="2600"/>
    </row>
    <row r="10" spans="1:22" s="2604" customFormat="1" ht="13.2" customHeight="1">
      <c r="A10" s="2639">
        <v>2</v>
      </c>
      <c r="B10" s="3374" t="s">
        <v>2356</v>
      </c>
      <c r="C10" s="3375"/>
      <c r="D10" s="2640">
        <f>ROUND(D6*E10,0)</f>
        <v>0</v>
      </c>
      <c r="E10" s="2644"/>
      <c r="F10" s="2645" t="s">
        <v>2357</v>
      </c>
      <c r="G10" s="2624"/>
      <c r="H10" s="2599"/>
      <c r="I10" s="2600"/>
      <c r="J10" s="3357"/>
      <c r="K10" s="3359"/>
      <c r="L10" s="2634" t="s">
        <v>2358</v>
      </c>
      <c r="M10" s="2635"/>
      <c r="N10" s="2611"/>
      <c r="O10" s="2636"/>
      <c r="P10" s="2636"/>
      <c r="Q10" s="2637">
        <v>365</v>
      </c>
      <c r="R10" s="2638">
        <f t="shared" si="0"/>
        <v>0</v>
      </c>
      <c r="S10" s="2592"/>
      <c r="T10" s="2592"/>
      <c r="U10" s="2592"/>
      <c r="V10" s="2600"/>
    </row>
    <row r="11" spans="1:22" s="2604" customFormat="1" ht="13.2" customHeight="1">
      <c r="A11" s="2639">
        <v>3</v>
      </c>
      <c r="B11" s="3374" t="s">
        <v>2359</v>
      </c>
      <c r="C11" s="3375"/>
      <c r="D11" s="2640">
        <f>D12+D14+D15+D16</f>
        <v>0</v>
      </c>
      <c r="E11" s="2646" t="e">
        <f>D11/D6</f>
        <v>#DIV/0!</v>
      </c>
      <c r="F11" s="2642"/>
      <c r="G11" s="2643"/>
      <c r="H11" s="2599"/>
      <c r="I11" s="2600"/>
      <c r="J11" s="3357"/>
      <c r="K11" s="3359"/>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7" t="s">
        <v>2362</v>
      </c>
      <c r="C12" s="3368"/>
      <c r="D12" s="2648">
        <f>ROUND(D13*1.2%*(1-30%),0)</f>
        <v>0</v>
      </c>
      <c r="E12" s="2649">
        <v>1.2E-2</v>
      </c>
      <c r="F12" s="2642" t="s">
        <v>2363</v>
      </c>
      <c r="G12" s="2643"/>
      <c r="H12" s="2599"/>
      <c r="I12" s="2600"/>
      <c r="J12" s="3357"/>
      <c r="K12" s="3359"/>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7"/>
      <c r="K13" s="3359"/>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7" t="s">
        <v>2368</v>
      </c>
      <c r="C14" s="3368"/>
      <c r="D14" s="2648">
        <f>ROUND(E14*B5/10000,0)</f>
        <v>0</v>
      </c>
      <c r="E14" s="2637"/>
      <c r="F14" s="2642" t="s">
        <v>2369</v>
      </c>
      <c r="G14" s="2643"/>
      <c r="H14" s="2599"/>
      <c r="I14" s="2600"/>
      <c r="J14" s="3357"/>
      <c r="K14" s="336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7" t="s">
        <v>2372</v>
      </c>
      <c r="C15" s="3368"/>
      <c r="D15" s="2648">
        <f>ROUND(D6*E15,0)</f>
        <v>0</v>
      </c>
      <c r="E15" s="2649">
        <v>5.5E-2</v>
      </c>
      <c r="F15" s="2642" t="s">
        <v>2373</v>
      </c>
      <c r="G15" s="2624"/>
      <c r="H15" s="2599"/>
      <c r="I15" s="2600"/>
      <c r="J15" s="3357">
        <v>2</v>
      </c>
      <c r="K15" s="335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7" t="s">
        <v>2381</v>
      </c>
      <c r="C16" s="3368"/>
      <c r="D16" s="2659">
        <f>D6*E16</f>
        <v>0</v>
      </c>
      <c r="E16" s="2660"/>
      <c r="F16" s="2645" t="s">
        <v>2382</v>
      </c>
      <c r="G16" s="2624"/>
      <c r="H16" s="2599"/>
      <c r="I16" s="2600"/>
      <c r="J16" s="3357"/>
      <c r="K16" s="3359"/>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9" t="s">
        <v>2384</v>
      </c>
      <c r="C17" s="3370"/>
      <c r="D17" s="2662">
        <f>ROUND(D6*E17,0)</f>
        <v>0</v>
      </c>
      <c r="E17" s="2663"/>
      <c r="F17" s="2664" t="s">
        <v>2385</v>
      </c>
      <c r="G17" s="2624"/>
      <c r="H17" s="2599"/>
      <c r="I17" s="2600"/>
      <c r="J17" s="3357"/>
      <c r="K17" s="3359"/>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7"/>
      <c r="K18" s="3359"/>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7"/>
      <c r="K19" s="336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7">
        <v>3</v>
      </c>
      <c r="K20" s="335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7"/>
      <c r="K21" s="3359"/>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7"/>
      <c r="K22" s="3359"/>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7"/>
      <c r="K23" s="3359"/>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7"/>
      <c r="K24" s="336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1">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2"/>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3" t="s">
        <v>2317</v>
      </c>
      <c r="K32" s="3364"/>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5" t="s">
        <v>2327</v>
      </c>
      <c r="K33" s="3366"/>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5" t="s">
        <v>2329</v>
      </c>
      <c r="K34" s="3366"/>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7">
        <v>1</v>
      </c>
      <c r="K36" s="3358"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7"/>
      <c r="K40" s="3360"/>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1">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2"/>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299.81380000000001</v>
      </c>
      <c r="C2" s="1729" t="s">
        <v>1651</v>
      </c>
      <c r="D2" s="1730" t="s">
        <v>1652</v>
      </c>
      <c r="E2" s="2392">
        <f>SUM(E6:E13)</f>
        <v>166.53</v>
      </c>
      <c r="F2" s="2479"/>
      <c r="G2" s="459"/>
      <c r="H2" s="459"/>
      <c r="I2" s="459"/>
      <c r="J2" s="459"/>
      <c r="K2" s="459"/>
      <c r="L2" s="459"/>
      <c r="M2" s="459"/>
      <c r="N2" s="459"/>
      <c r="O2" s="459"/>
      <c r="P2" s="459"/>
      <c r="Q2" s="459"/>
      <c r="R2" s="459"/>
      <c r="S2" s="459"/>
    </row>
    <row r="3" spans="1:22" ht="15.6">
      <c r="A3" s="1728" t="s">
        <v>686</v>
      </c>
      <c r="B3" s="2386">
        <f ca="1">ROUND(B2*10000/E2,0)</f>
        <v>18004</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376" t="s">
        <v>1654</v>
      </c>
      <c r="C5" s="3377"/>
      <c r="D5" s="2480"/>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299.81380000000001</v>
      </c>
      <c r="C6" s="1729" t="s">
        <v>1651</v>
      </c>
      <c r="D6" s="2479"/>
      <c r="E6" s="2391">
        <f>IF(OR(A6=0,F6="否"),0,'数据-取费表'!K6+'数据-取费表'!S6)</f>
        <v>166.53</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166.53</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6" t="s">
        <v>1667</v>
      </c>
      <c r="D4" s="3397"/>
      <c r="E4" s="3398" t="s">
        <v>1668</v>
      </c>
      <c r="F4" s="3399"/>
      <c r="G4" s="3396" t="s">
        <v>1669</v>
      </c>
      <c r="H4" s="3397"/>
      <c r="I4" s="3396" t="s">
        <v>1670</v>
      </c>
      <c r="J4" s="3397"/>
      <c r="K4" s="1744" t="s">
        <v>1671</v>
      </c>
      <c r="L4" s="2486"/>
      <c r="M4" s="2487"/>
      <c r="N4" s="2487"/>
      <c r="O4" s="2487"/>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60" zoomScaleNormal="70" workbookViewId="0">
      <selection activeCell="D104" sqref="D104:J10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3430</v>
      </c>
      <c r="E1" s="3124" t="s">
        <v>3458</v>
      </c>
      <c r="F1" s="1735" t="s">
        <v>3459</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872.61720000000003</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52400</v>
      </c>
      <c r="C3" s="344" t="s">
        <v>1768</v>
      </c>
      <c r="D3" s="343">
        <f>IF(D1="",'数据-汇总表'!E3,SUMIF('数据-汇总表'!$C19:$C33,D1,'数据-汇总表'!$E19:$E33))</f>
        <v>166.53</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82"/>
      <c r="AC6" s="3395"/>
    </row>
    <row r="7" spans="1:29" s="102" customFormat="1" ht="15" thickBot="1">
      <c r="A7" s="352" t="s">
        <v>1679</v>
      </c>
      <c r="B7" s="353"/>
      <c r="C7" s="354">
        <f>'数据-取费表'!B2</f>
        <v>45734</v>
      </c>
      <c r="D7" s="355">
        <v>100</v>
      </c>
      <c r="E7" s="356">
        <f>C7</f>
        <v>45734</v>
      </c>
      <c r="F7" s="357">
        <f>SUMIF(58:58,YEAR(E7)&amp;"-"&amp;MONTH(E7),59:59)</f>
        <v>100</v>
      </c>
      <c r="G7" s="356">
        <f>C7</f>
        <v>45734</v>
      </c>
      <c r="H7" s="355">
        <f>SUMIF(58:58,YEAR(G7)&amp;"-"&amp;MONTH(G7),59:59)</f>
        <v>100</v>
      </c>
      <c r="I7" s="356">
        <f>C7</f>
        <v>45734</v>
      </c>
      <c r="J7" s="355">
        <f>SUMIF(58:58,YEAR(I7)&amp;"-"&amp;MONTH(I7),59:59)</f>
        <v>100</v>
      </c>
      <c r="K7" s="38"/>
      <c r="L7" s="2488"/>
      <c r="M7" s="2439"/>
      <c r="N7" s="2439"/>
      <c r="O7" s="2439"/>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5" thickBot="1">
      <c r="A8" s="352" t="s">
        <v>1681</v>
      </c>
      <c r="B8" s="353"/>
      <c r="C8" s="358" t="s">
        <v>3457</v>
      </c>
      <c r="D8" s="355">
        <v>100</v>
      </c>
      <c r="E8" s="358" t="s">
        <v>3455</v>
      </c>
      <c r="F8" s="357">
        <f>SUMIF(61:61,E8,62:62)-SUMIF(61:61,C8,62:62)+100</f>
        <v>105</v>
      </c>
      <c r="G8" s="358" t="s">
        <v>3455</v>
      </c>
      <c r="H8" s="355">
        <f>SUMIF(61:61,G8,62:62)-SUMIF(61:61,C8,62:62)+100</f>
        <v>105</v>
      </c>
      <c r="I8" s="358" t="s">
        <v>3455</v>
      </c>
      <c r="J8" s="355">
        <f>SUMIF(61:61,I8,62:62)-SUMIF(61:61,C8,62:62)+100</f>
        <v>105</v>
      </c>
      <c r="K8" s="38"/>
      <c r="L8" s="2488"/>
      <c r="M8" s="2439"/>
      <c r="N8" s="2439"/>
      <c r="O8" s="2439"/>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1"/>
      <c r="Q22" s="1263"/>
      <c r="R22" s="667"/>
      <c r="S22" s="668"/>
      <c r="T22" s="667"/>
      <c r="U22" s="668"/>
      <c r="V22" s="667"/>
      <c r="W22" s="668"/>
      <c r="X22" s="1265"/>
      <c r="Y22" s="338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1"/>
      <c r="Q25" s="1263" t="str">
        <f t="shared" ref="Q25:Q46" si="11">B25</f>
        <v>临街状况</v>
      </c>
      <c r="R25" s="667" t="s">
        <v>14</v>
      </c>
      <c r="S25" s="668">
        <f>F25</f>
        <v>100</v>
      </c>
      <c r="T25" s="667" t="s">
        <v>14</v>
      </c>
      <c r="U25" s="668">
        <f>H25</f>
        <v>100</v>
      </c>
      <c r="V25" s="667" t="s">
        <v>14</v>
      </c>
      <c r="W25" s="668">
        <f>J25</f>
        <v>100</v>
      </c>
      <c r="X25" s="1265"/>
      <c r="Y25" s="338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
      <c r="A33" s="406"/>
      <c r="B33" s="364" t="s">
        <v>1697</v>
      </c>
      <c r="C33" s="407">
        <f>'数据-基础表'!G13</f>
        <v>166.53</v>
      </c>
      <c r="D33" s="119">
        <v>100</v>
      </c>
      <c r="E33" s="369">
        <v>230.28</v>
      </c>
      <c r="F33" s="364">
        <f>LOOKUP(E33,103:103,104:104)-LOOKUP(C33,103:103,104:104)+100</f>
        <v>99</v>
      </c>
      <c r="G33" s="368">
        <v>197.34</v>
      </c>
      <c r="H33" s="119">
        <f>LOOKUP(G33,103:103,104:104)-LOOKUP(C33,103:103,104:104)+100</f>
        <v>100</v>
      </c>
      <c r="I33" s="368">
        <v>142.36000000000001</v>
      </c>
      <c r="J33" s="119">
        <f>LOOKUP(I33,103:103,104:104)-LOOKUP(C33,103:103,104:104)+100</f>
        <v>101</v>
      </c>
      <c r="K33" s="539"/>
      <c r="L33" s="2491"/>
      <c r="M33" s="2493"/>
      <c r="N33" s="2493"/>
      <c r="O33" s="2493"/>
      <c r="P33" s="3386"/>
      <c r="Q33" s="531" t="str">
        <f t="shared" si="11"/>
        <v>项目建筑规模</v>
      </c>
      <c r="R33" s="669" t="s">
        <v>14</v>
      </c>
      <c r="S33" s="670">
        <f t="shared" si="12"/>
        <v>99</v>
      </c>
      <c r="T33" s="669" t="s">
        <v>14</v>
      </c>
      <c r="U33" s="670">
        <f t="shared" si="13"/>
        <v>100</v>
      </c>
      <c r="V33" s="669" t="s">
        <v>14</v>
      </c>
      <c r="W33" s="670">
        <f t="shared" si="14"/>
        <v>101</v>
      </c>
      <c r="X33" s="671"/>
      <c r="Y33" s="3388"/>
      <c r="Z33" s="672" t="str">
        <f t="shared" si="15"/>
        <v>项目建筑规模</v>
      </c>
      <c r="AA33" s="1264">
        <f t="shared" si="3"/>
        <v>1.0101010101010102</v>
      </c>
      <c r="AB33" s="1264">
        <f t="shared" si="4"/>
        <v>1</v>
      </c>
      <c r="AC33" s="1264">
        <f t="shared" si="5"/>
        <v>0.99009900990099009</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
      <c r="A36" s="409"/>
      <c r="B36" s="364" t="s">
        <v>1786</v>
      </c>
      <c r="C36" s="411">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2"/>
      <c r="M36" s="2487"/>
      <c r="N36" s="2487"/>
      <c r="O36" s="2487"/>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6" t="s">
        <v>1696</v>
      </c>
      <c r="Q38" s="1263" t="str">
        <f t="shared" si="11"/>
        <v>业态</v>
      </c>
      <c r="R38" s="667" t="s">
        <v>14</v>
      </c>
      <c r="S38" s="668">
        <f t="shared" si="12"/>
        <v>100</v>
      </c>
      <c r="T38" s="667" t="s">
        <v>14</v>
      </c>
      <c r="U38" s="668">
        <f t="shared" si="13"/>
        <v>100</v>
      </c>
      <c r="V38" s="667" t="s">
        <v>14</v>
      </c>
      <c r="W38" s="668">
        <f t="shared" si="14"/>
        <v>100</v>
      </c>
      <c r="X38" s="1265"/>
      <c r="Y38" s="338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ht="14.4">
      <c r="A47" s="416" t="s">
        <v>1708</v>
      </c>
      <c r="B47" s="417"/>
      <c r="C47" s="1081" t="s">
        <v>0</v>
      </c>
      <c r="D47" s="418"/>
      <c r="E47" s="419">
        <v>55019</v>
      </c>
      <c r="F47" s="420"/>
      <c r="G47" s="421">
        <v>55031</v>
      </c>
      <c r="H47" s="422"/>
      <c r="I47" s="419">
        <v>55001</v>
      </c>
      <c r="J47" s="422"/>
      <c r="K47" s="674"/>
      <c r="L47" s="2494"/>
      <c r="M47" s="2487"/>
      <c r="N47" s="2487"/>
      <c r="O47" s="2487"/>
      <c r="P47" s="3381" t="str">
        <f>A47</f>
        <v>成交单价（元/平方米）</v>
      </c>
      <c r="Q47" s="3381"/>
      <c r="R47" s="3382">
        <f>E47</f>
        <v>55019</v>
      </c>
      <c r="S47" s="3382"/>
      <c r="T47" s="3382">
        <f>G47</f>
        <v>55031</v>
      </c>
      <c r="U47" s="3382"/>
      <c r="V47" s="3382">
        <f>I47</f>
        <v>55001</v>
      </c>
      <c r="W47" s="3382"/>
      <c r="X47" s="385"/>
      <c r="Y47" s="673"/>
      <c r="Z47" s="385"/>
      <c r="AA47" s="385"/>
      <c r="AB47" s="385"/>
      <c r="AC47" s="385"/>
    </row>
    <row r="48" spans="1:29" ht="15" thickBot="1">
      <c r="A48" s="423" t="s">
        <v>1793</v>
      </c>
      <c r="B48" s="424"/>
      <c r="C48" s="1082">
        <f>R49</f>
        <v>52400</v>
      </c>
      <c r="D48" s="2141" t="s">
        <v>2138</v>
      </c>
      <c r="E48" s="1083">
        <f>R48</f>
        <v>52928</v>
      </c>
      <c r="F48" s="2142"/>
      <c r="G48" s="1082">
        <f>T48</f>
        <v>52410</v>
      </c>
      <c r="H48" s="2142"/>
      <c r="I48" s="1083">
        <f>V48</f>
        <v>51863</v>
      </c>
      <c r="J48" s="2142"/>
      <c r="K48" s="2144">
        <f>F48+H48+J48</f>
        <v>0</v>
      </c>
      <c r="L48" s="2494"/>
      <c r="M48" s="2487"/>
      <c r="N48" s="2487"/>
      <c r="O48" s="2487"/>
      <c r="P48" s="3381" t="str">
        <f>A48</f>
        <v>比较价值（元/平方米）</v>
      </c>
      <c r="Q48" s="3381"/>
      <c r="R48" s="3382">
        <f>IF(F1="售价",ROUND(PRODUCT(R47,AA7:AA46),0),ROUND(PRODUCT(R47,AA7:AA46),1))</f>
        <v>52928</v>
      </c>
      <c r="S48" s="3382"/>
      <c r="T48" s="3382">
        <f>IF(F1="售价",ROUND(PRODUCT(T47,AB7:AB46),0),ROUND(PRODUCT(T47,AB7:AB46),1))</f>
        <v>52410</v>
      </c>
      <c r="U48" s="3382"/>
      <c r="V48" s="3382">
        <f>IF(F1="售价",ROUND(PRODUCT(V47,AC7:AC46),0),ROUND(PRODUCT(V47,AC7:AC46),1))</f>
        <v>51863</v>
      </c>
      <c r="W48" s="3382"/>
      <c r="X48" s="385"/>
      <c r="Y48" s="385"/>
      <c r="Z48" s="385"/>
      <c r="AA48" s="385"/>
      <c r="AB48" s="385"/>
      <c r="AC48" s="385"/>
    </row>
    <row r="49" spans="1:29" ht="15" thickBot="1">
      <c r="A49" s="427" t="s">
        <v>1794</v>
      </c>
      <c r="B49" s="428"/>
      <c r="C49" s="351">
        <f>R49</f>
        <v>52400</v>
      </c>
      <c r="D49" s="351"/>
      <c r="E49" s="351"/>
      <c r="F49" s="351"/>
      <c r="G49" s="351"/>
      <c r="H49" s="351"/>
      <c r="I49" s="351"/>
      <c r="J49" s="351"/>
      <c r="K49" s="675"/>
      <c r="L49" s="2494"/>
      <c r="M49" s="2487"/>
      <c r="N49" s="2487"/>
      <c r="O49" s="2487"/>
      <c r="P49" s="3378" t="str">
        <f>A49</f>
        <v>估价对象XX用房的比较价值（楼面单价，元/平方米）</v>
      </c>
      <c r="Q49" s="3379"/>
      <c r="R49" s="3380">
        <f>IF(F1="售价",ROUND(IF(D48="简单平均",AVERAGE(R48:V48),R48*F48+T48*H48+V48*J48),0),ROUND(IF(D48="简单平均",AVERAGE(R48:V48),R48*F48+T48*H48+V48*J48),1))</f>
        <v>52400</v>
      </c>
      <c r="S49" s="3380"/>
      <c r="T49" s="3380"/>
      <c r="U49" s="3380"/>
      <c r="V49" s="3380"/>
      <c r="W49" s="338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3.950649939540507E-2</v>
      </c>
      <c r="F52" s="435" t="str">
        <f>IF(OR(E52&gt;=0.3,E52&lt;=-0.3),"超过30%","")</f>
        <v/>
      </c>
      <c r="G52" s="434">
        <f>IF(G47&lt;G48,G48/G47-1,G47/G48-1)</f>
        <v>5.000954016409076E-2</v>
      </c>
      <c r="H52" s="435" t="str">
        <f>IF(OR(G52&gt;=0.3,G52&lt;=-0.3),"超过30%","")</f>
        <v/>
      </c>
      <c r="I52" s="434">
        <f>IF(I47&lt;I48,I48/I47-1,I47/I48-1)</f>
        <v>6.0505562732583895E-2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9.8836099980919023E-3</v>
      </c>
      <c r="F53" s="435" t="str">
        <f>IF(OR(E53&gt;=0.2,E53&lt;=-0.2),"超过20%","")</f>
        <v/>
      </c>
      <c r="G53" s="434">
        <f>IF(G48&lt;I48,I48/G48-1,G48/I48-1)</f>
        <v>1.0547018105393047E-2</v>
      </c>
      <c r="H53" s="435" t="str">
        <f>IF(OR(G53&gt;=0.2,G53&lt;=-0.2),"超过20%","")</f>
        <v/>
      </c>
      <c r="I53" s="434">
        <f>IF(I48&lt;E48,E48/I48-1,I48/E48-1)</f>
        <v>2.0534870717081599E-2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2.18106472309465E-4</v>
      </c>
      <c r="F54" s="435" t="str">
        <f>IF(OR(E54&gt;=0.3,E54&lt;=-0.3),"超过30%","")</f>
        <v/>
      </c>
      <c r="G54" s="434">
        <f>IF(G47&lt;I47,I47/G47-1,G47/I47-1)</f>
        <v>5.4544462827954554E-4</v>
      </c>
      <c r="H54" s="435" t="str">
        <f>IF(OR(G54&gt;=0.3,G54&lt;=-0.3),"超过30%","")</f>
        <v/>
      </c>
      <c r="I54" s="434">
        <f>IF(I47&lt;E47,E47/I47-1,I47/E47-1)</f>
        <v>3.272667769675941E-4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56" t="s">
        <v>3456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3</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50</v>
      </c>
      <c r="D103" s="6">
        <v>100</v>
      </c>
      <c r="E103" s="6">
        <v>150</v>
      </c>
      <c r="F103" s="6">
        <v>200</v>
      </c>
      <c r="G103" s="6">
        <v>250</v>
      </c>
      <c r="H103" s="6">
        <v>300</v>
      </c>
      <c r="I103" s="6">
        <v>350</v>
      </c>
      <c r="J103" s="524">
        <v>400</v>
      </c>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166.53</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6"/>
      <c r="M5" s="2487"/>
      <c r="N5" s="2487"/>
      <c r="O5" s="2487"/>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32"/>
      <c r="Q6" s="3405"/>
      <c r="R6" s="3408"/>
      <c r="S6" s="3409"/>
      <c r="T6" s="3410"/>
      <c r="U6" s="3411"/>
      <c r="V6" s="3382"/>
      <c r="W6" s="3382"/>
      <c r="X6" s="1265"/>
      <c r="Y6" s="3410"/>
      <c r="Z6" s="3411"/>
      <c r="AA6" s="3395"/>
      <c r="AB6" s="3395"/>
      <c r="AC6" s="3428"/>
    </row>
    <row r="7" spans="1:29" s="102" customFormat="1" ht="15" thickBot="1">
      <c r="A7" s="352" t="s">
        <v>1679</v>
      </c>
      <c r="B7" s="353"/>
      <c r="C7" s="354">
        <f>'数据-取费表'!B2</f>
        <v>45734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1"/>
      <c r="Q16" s="1263"/>
      <c r="R16" s="667"/>
      <c r="S16" s="668"/>
      <c r="T16" s="667"/>
      <c r="U16" s="668"/>
      <c r="V16" s="667"/>
      <c r="W16" s="668"/>
      <c r="X16" s="1265"/>
      <c r="Y16" s="338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1"/>
      <c r="Q18" s="1263"/>
      <c r="R18" s="667"/>
      <c r="S18" s="668"/>
      <c r="T18" s="667"/>
      <c r="U18" s="668"/>
      <c r="V18" s="667"/>
      <c r="W18" s="668"/>
      <c r="X18" s="1265"/>
      <c r="Y18" s="338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1"/>
      <c r="Q20" s="1263"/>
      <c r="R20" s="667"/>
      <c r="S20" s="668"/>
      <c r="T20" s="667"/>
      <c r="U20" s="668"/>
      <c r="V20" s="667"/>
      <c r="W20" s="668"/>
      <c r="X20" s="1265"/>
      <c r="Y20" s="338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1"/>
      <c r="Q22" s="1263"/>
      <c r="R22" s="667"/>
      <c r="S22" s="668"/>
      <c r="T22" s="667"/>
      <c r="U22" s="668"/>
      <c r="V22" s="667"/>
      <c r="W22" s="668"/>
      <c r="X22" s="1265"/>
      <c r="Y22" s="338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1"/>
      <c r="Q24" s="1263"/>
      <c r="R24" s="667"/>
      <c r="S24" s="668"/>
      <c r="T24" s="667"/>
      <c r="U24" s="668"/>
      <c r="V24" s="667"/>
      <c r="W24" s="668"/>
      <c r="X24" s="1265"/>
      <c r="Y24" s="338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1"/>
      <c r="Q26" s="1263"/>
      <c r="R26" s="667"/>
      <c r="S26" s="668"/>
      <c r="T26" s="667"/>
      <c r="U26" s="668"/>
      <c r="V26" s="667"/>
      <c r="W26" s="668"/>
      <c r="X26" s="1265"/>
      <c r="Y26" s="338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估价对象为北京市房地产,属开发建设的，该项目尚在开发建设中。根据《国有土地使用证》[]，估价对象（分摊）出让国有建设用地使用权面积为0平方米，规划建筑面积为166.53平方米。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中行复估拟使用北京市房地产作为抵押担保物，向办理贷款手续。特委托北京康正宏基房地产评估有限公司对上述抵押物进行评估。本次评估为确定房地产抵押贷款额度提供参考依据而评估房地产抵押价值。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2025年3月18日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4"/>
      <c r="Q15" s="1263"/>
      <c r="R15" s="667"/>
      <c r="S15" s="668"/>
      <c r="T15" s="667"/>
      <c r="U15" s="668"/>
      <c r="V15" s="667"/>
      <c r="W15" s="668"/>
      <c r="X15" s="1265"/>
      <c r="Y15" s="338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4"/>
      <c r="Q17" s="1263"/>
      <c r="R17" s="667"/>
      <c r="S17" s="668"/>
      <c r="T17" s="667"/>
      <c r="U17" s="668"/>
      <c r="V17" s="667"/>
      <c r="W17" s="668"/>
      <c r="X17" s="1265"/>
      <c r="Y17" s="338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4"/>
      <c r="Q19" s="1263"/>
      <c r="R19" s="667"/>
      <c r="S19" s="668"/>
      <c r="T19" s="667"/>
      <c r="U19" s="668"/>
      <c r="V19" s="667"/>
      <c r="W19" s="668"/>
      <c r="X19" s="1265"/>
      <c r="Y19" s="338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4"/>
      <c r="Q21" s="1263"/>
      <c r="R21" s="667"/>
      <c r="S21" s="668"/>
      <c r="T21" s="667"/>
      <c r="U21" s="668"/>
      <c r="V21" s="667"/>
      <c r="W21" s="668"/>
      <c r="X21" s="1265"/>
      <c r="Y21" s="338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1" t="str">
        <f>A37</f>
        <v>成交单价</v>
      </c>
      <c r="Q37" s="3381"/>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SUMIF(46:46,YEAR(E7)&amp;"-"&amp;MONTH(E7),47:47)</f>
        <v>0</v>
      </c>
      <c r="G7" s="1822"/>
      <c r="H7" s="355">
        <f>SUMIF(46:46,YEAR(G7)&amp;"-"&amp;MONTH(G7),47:47)</f>
        <v>0</v>
      </c>
      <c r="I7" s="356"/>
      <c r="J7" s="355">
        <f>SUMIF(46:46,YEAR(I7)&amp;"-"&amp;MONTH(I7),47:47)</f>
        <v>0</v>
      </c>
      <c r="K7" s="38"/>
      <c r="L7" s="2488"/>
      <c r="M7" s="2439"/>
      <c r="N7" s="2439"/>
      <c r="O7" s="2439"/>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4"/>
      <c r="Q15" s="1263"/>
      <c r="R15" s="667"/>
      <c r="S15" s="668"/>
      <c r="T15" s="667"/>
      <c r="U15" s="668"/>
      <c r="V15" s="667"/>
      <c r="W15" s="668"/>
      <c r="X15" s="1265"/>
      <c r="Y15" s="338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4"/>
      <c r="Q17" s="1263"/>
      <c r="R17" s="667"/>
      <c r="S17" s="668"/>
      <c r="T17" s="667"/>
      <c r="U17" s="668"/>
      <c r="V17" s="667"/>
      <c r="W17" s="668"/>
      <c r="X17" s="1265"/>
      <c r="Y17" s="338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4"/>
      <c r="Q19" s="1263"/>
      <c r="R19" s="667"/>
      <c r="S19" s="668"/>
      <c r="T19" s="667"/>
      <c r="U19" s="668"/>
      <c r="V19" s="667"/>
      <c r="W19" s="668"/>
      <c r="X19" s="1265"/>
      <c r="Y19" s="338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4"/>
      <c r="Q21" s="1263"/>
      <c r="R21" s="667"/>
      <c r="S21" s="668"/>
      <c r="T21" s="667"/>
      <c r="U21" s="668"/>
      <c r="V21" s="667"/>
      <c r="W21" s="668"/>
      <c r="X21" s="1265"/>
      <c r="Y21" s="338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4"/>
      <c r="Q20" s="1263"/>
      <c r="R20" s="667"/>
      <c r="S20" s="668"/>
      <c r="T20" s="667"/>
      <c r="U20" s="668"/>
      <c r="V20" s="667"/>
      <c r="W20" s="668"/>
      <c r="X20" s="1265"/>
      <c r="Y20" s="338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4"/>
      <c r="Q24" s="1263"/>
      <c r="R24" s="667"/>
      <c r="S24" s="668"/>
      <c r="T24" s="667"/>
      <c r="U24" s="668"/>
      <c r="V24" s="667"/>
      <c r="W24" s="668"/>
      <c r="X24" s="1265"/>
      <c r="Y24" s="338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4"/>
      <c r="Q26" s="1263"/>
      <c r="R26" s="667"/>
      <c r="S26" s="668"/>
      <c r="T26" s="667"/>
      <c r="U26" s="668"/>
      <c r="V26" s="667"/>
      <c r="W26" s="668"/>
      <c r="X26" s="1265"/>
      <c r="Y26" s="338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4"/>
      <c r="Q28" s="530"/>
      <c r="R28" s="664"/>
      <c r="S28" s="665"/>
      <c r="T28" s="664"/>
      <c r="U28" s="665"/>
      <c r="V28" s="664"/>
      <c r="W28" s="665"/>
      <c r="X28" s="666"/>
      <c r="Y28" s="338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4"/>
      <c r="Q30" s="530"/>
      <c r="R30" s="664"/>
      <c r="S30" s="665"/>
      <c r="T30" s="664"/>
      <c r="U30" s="665"/>
      <c r="V30" s="664"/>
      <c r="W30" s="665"/>
      <c r="X30" s="666"/>
      <c r="Y30" s="338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4"/>
      <c r="Q33" s="1263"/>
      <c r="R33" s="667"/>
      <c r="S33" s="668"/>
      <c r="T33" s="667"/>
      <c r="U33" s="668"/>
      <c r="V33" s="667"/>
      <c r="W33" s="668"/>
      <c r="X33" s="1265"/>
      <c r="Y33" s="338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1" t="str">
        <f>A46</f>
        <v>成交单价</v>
      </c>
      <c r="Q46" s="3381"/>
      <c r="R46" s="3382">
        <f>E46</f>
        <v>0</v>
      </c>
      <c r="S46" s="3382"/>
      <c r="T46" s="3382">
        <f>G46</f>
        <v>0</v>
      </c>
      <c r="U46" s="3382"/>
      <c r="V46" s="3382">
        <f>I46</f>
        <v>0</v>
      </c>
      <c r="W46" s="338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166.53</v>
      </c>
      <c r="F56" s="833" t="e">
        <f t="shared" ref="F56:F64" si="15">ROUND(B56*E56/10000,0)</f>
        <v>#DIV/0!</v>
      </c>
      <c r="G56" s="3392"/>
      <c r="H56" s="338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166.53</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6"/>
      <c r="M5" s="2487"/>
      <c r="N5" s="2487"/>
      <c r="O5" s="2487"/>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6"/>
      <c r="M6" s="2487"/>
      <c r="N6" s="2487"/>
      <c r="O6" s="2487"/>
      <c r="P6" s="3404"/>
      <c r="Q6" s="3405"/>
      <c r="R6" s="3408"/>
      <c r="S6" s="3409"/>
      <c r="T6" s="3410"/>
      <c r="U6" s="3411"/>
      <c r="V6" s="3382"/>
      <c r="W6" s="3382"/>
      <c r="X6" s="1265"/>
      <c r="Y6" s="3410"/>
      <c r="Z6" s="3411"/>
      <c r="AA6" s="3395"/>
      <c r="AB6" s="3395"/>
      <c r="AC6" s="3395"/>
    </row>
    <row r="7" spans="1:29" s="102" customFormat="1" ht="15" thickBot="1">
      <c r="A7" s="352" t="s">
        <v>1679</v>
      </c>
      <c r="B7" s="353"/>
      <c r="C7" s="354">
        <f>'数据-取费表'!B2</f>
        <v>45734</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1"/>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4"/>
      <c r="Q16" s="1263"/>
      <c r="R16" s="667"/>
      <c r="S16" s="668"/>
      <c r="T16" s="667"/>
      <c r="U16" s="668"/>
      <c r="V16" s="667"/>
      <c r="W16" s="668"/>
      <c r="X16" s="1265"/>
      <c r="Y16" s="338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4"/>
      <c r="Q18" s="1263"/>
      <c r="R18" s="667"/>
      <c r="S18" s="668"/>
      <c r="T18" s="667"/>
      <c r="U18" s="668"/>
      <c r="V18" s="667"/>
      <c r="W18" s="668"/>
      <c r="X18" s="1265"/>
      <c r="Y18" s="338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4"/>
      <c r="Q20" s="1263"/>
      <c r="R20" s="667"/>
      <c r="S20" s="668"/>
      <c r="T20" s="667"/>
      <c r="U20" s="668"/>
      <c r="V20" s="667"/>
      <c r="W20" s="668"/>
      <c r="X20" s="1265"/>
      <c r="Y20" s="338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4"/>
      <c r="Q22" s="1263"/>
      <c r="R22" s="667"/>
      <c r="S22" s="668"/>
      <c r="T22" s="667"/>
      <c r="U22" s="668"/>
      <c r="V22" s="667"/>
      <c r="W22" s="668"/>
      <c r="X22" s="1265"/>
      <c r="Y22" s="338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4"/>
      <c r="Q24" s="530"/>
      <c r="R24" s="664"/>
      <c r="S24" s="665"/>
      <c r="T24" s="664"/>
      <c r="U24" s="665"/>
      <c r="V24" s="664"/>
      <c r="W24" s="665"/>
      <c r="X24" s="666"/>
      <c r="Y24" s="338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4"/>
      <c r="Q26" s="530"/>
      <c r="R26" s="664"/>
      <c r="S26" s="665"/>
      <c r="T26" s="664"/>
      <c r="U26" s="665"/>
      <c r="V26" s="664"/>
      <c r="W26" s="665"/>
      <c r="X26" s="666"/>
      <c r="Y26" s="338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4"/>
      <c r="Q29" s="1263"/>
      <c r="R29" s="667"/>
      <c r="S29" s="668"/>
      <c r="T29" s="667"/>
      <c r="U29" s="668"/>
      <c r="V29" s="667"/>
      <c r="W29" s="668"/>
      <c r="X29" s="1265"/>
      <c r="Y29" s="338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1" t="str">
        <f>A41</f>
        <v>成交单价</v>
      </c>
      <c r="Q41" s="3381"/>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166.53</v>
      </c>
      <c r="F51" s="611" t="e">
        <f t="shared" ref="F51:F60" si="15">ROUND(B51*E51/10000,0)</f>
        <v>#DIV/0!</v>
      </c>
      <c r="G51" s="3392"/>
      <c r="H51" s="338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6">
      <c r="A3" s="1984" t="s">
        <v>2076</v>
      </c>
      <c r="B3" s="2387"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5"/>
      <c r="D5" s="2544"/>
      <c r="E5" s="2396" t="s">
        <v>2079</v>
      </c>
      <c r="F5" s="2544"/>
      <c r="G5" s="2544"/>
      <c r="H5" s="2544"/>
      <c r="I5" s="2544"/>
      <c r="J5" s="2544"/>
      <c r="K5" s="2544"/>
      <c r="L5" s="2544"/>
      <c r="M5" s="2544"/>
      <c r="N5" s="2544"/>
      <c r="O5" s="2544"/>
      <c r="P5" s="2544"/>
    </row>
    <row r="6" spans="1:16" ht="15.6">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6">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09"/>
      <c r="C18" s="3034"/>
      <c r="D18" s="3029" t="s">
        <v>3248</v>
      </c>
      <c r="E18" s="2356"/>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4" t="s">
        <v>3254</v>
      </c>
      <c r="B20" s="159" t="s">
        <v>1994</v>
      </c>
      <c r="C20" s="3031" t="e">
        <f>ROUND(IF(F21="与级别开发程度一致",0,(G21-E21)/C21),0)</f>
        <v>#DIV/0!</v>
      </c>
      <c r="D20" s="3046" t="s">
        <v>1998</v>
      </c>
      <c r="E20" s="3047"/>
      <c r="F20" s="3470" t="s">
        <v>1995</v>
      </c>
      <c r="G20" s="3471"/>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45734</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16</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50" t="s">
        <v>3289</v>
      </c>
      <c r="K92" s="2150" t="s">
        <v>3290</v>
      </c>
      <c r="L92" s="2150" t="s">
        <v>3291</v>
      </c>
      <c r="M92" s="2150" t="s">
        <v>3292</v>
      </c>
      <c r="N92" s="2150" t="s">
        <v>3293</v>
      </c>
    </row>
    <row r="93" spans="1:37" ht="24">
      <c r="A93" s="3070" t="s">
        <v>3272</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6" t="s">
        <v>3294</v>
      </c>
      <c r="B103" s="3466"/>
      <c r="C103" s="3466"/>
      <c r="D103" s="3466"/>
      <c r="E103" s="3466"/>
      <c r="F103" s="3466"/>
      <c r="G103" s="3466"/>
      <c r="H103" s="3466"/>
      <c r="I103" s="3466"/>
      <c r="J103" s="3466"/>
      <c r="K103" s="1667"/>
      <c r="L103" s="1667"/>
      <c r="M103" s="1667"/>
      <c r="N103" s="1667"/>
    </row>
    <row r="104" spans="1:14">
      <c r="A104" s="3467" t="s">
        <v>3295</v>
      </c>
      <c r="B104" s="3467" t="s">
        <v>3296</v>
      </c>
      <c r="C104" s="3090" t="s">
        <v>3297</v>
      </c>
      <c r="D104" s="3091"/>
      <c r="E104" s="3091"/>
      <c r="F104" s="3091"/>
      <c r="G104" s="3091"/>
      <c r="H104" s="3091"/>
      <c r="I104" s="3091"/>
      <c r="J104" s="3092"/>
      <c r="K104" s="3093"/>
      <c r="L104" s="3093"/>
      <c r="M104" s="3093"/>
      <c r="N104" s="3093"/>
    </row>
    <row r="105" spans="1:14">
      <c r="A105" s="3467"/>
      <c r="B105" s="346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6" t="s">
        <v>3311</v>
      </c>
      <c r="B113" s="3456"/>
      <c r="C113" s="3456"/>
      <c r="D113" s="3456"/>
      <c r="E113" s="3456"/>
      <c r="F113" s="3456"/>
      <c r="G113" s="3456"/>
      <c r="H113" s="3456"/>
      <c r="I113" s="3456"/>
      <c r="J113" s="3456"/>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1" t="s">
        <v>2607</v>
      </c>
      <c r="B20" s="3476" t="s">
        <v>2628</v>
      </c>
      <c r="C20" s="2842" t="s">
        <v>2439</v>
      </c>
      <c r="D20" s="2843"/>
      <c r="E20" s="2844">
        <v>1</v>
      </c>
      <c r="F20" s="2845" t="s">
        <v>2440</v>
      </c>
      <c r="G20" s="2845"/>
    </row>
    <row r="21" spans="1:13" ht="19.5" customHeight="1">
      <c r="A21" s="3482"/>
      <c r="B21" s="3475"/>
      <c r="C21" s="2846" t="s">
        <v>2441</v>
      </c>
      <c r="D21" s="2847"/>
      <c r="E21" s="2848">
        <v>1</v>
      </c>
      <c r="F21" s="2845" t="s">
        <v>2442</v>
      </c>
      <c r="G21" s="2845"/>
    </row>
    <row r="22" spans="1:13" ht="19.5" customHeight="1">
      <c r="A22" s="3482"/>
      <c r="B22" s="3475"/>
      <c r="C22" s="2846" t="s">
        <v>2443</v>
      </c>
      <c r="D22" s="2847"/>
      <c r="E22" s="2848">
        <v>0.9</v>
      </c>
      <c r="F22" s="2845" t="s">
        <v>2444</v>
      </c>
      <c r="G22" s="2845"/>
    </row>
    <row r="23" spans="1:13" ht="19.5" customHeight="1">
      <c r="A23" s="3482"/>
      <c r="B23" s="3475"/>
      <c r="C23" s="2846" t="s">
        <v>2445</v>
      </c>
      <c r="D23" s="2847"/>
      <c r="E23" s="2848">
        <v>0.9</v>
      </c>
      <c r="F23" s="2845" t="s">
        <v>2446</v>
      </c>
      <c r="G23" s="2845"/>
    </row>
    <row r="24" spans="1:13" ht="19.5" customHeight="1">
      <c r="A24" s="3482"/>
      <c r="B24" s="3475"/>
      <c r="C24" s="2846" t="s">
        <v>2447</v>
      </c>
      <c r="D24" s="2847"/>
      <c r="E24" s="2848">
        <v>0.8</v>
      </c>
      <c r="F24" s="2845" t="s">
        <v>2448</v>
      </c>
      <c r="G24" s="2845"/>
    </row>
    <row r="25" spans="1:13" ht="19.5" customHeight="1" thickBot="1">
      <c r="A25" s="3483"/>
      <c r="B25" s="3477"/>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8" t="s">
        <v>2631</v>
      </c>
      <c r="B27" s="3476" t="s">
        <v>2612</v>
      </c>
      <c r="C27" s="2842" t="s">
        <v>2452</v>
      </c>
      <c r="D27" s="2843"/>
      <c r="E27" s="2844">
        <v>1</v>
      </c>
      <c r="F27" s="2845" t="s">
        <v>2453</v>
      </c>
      <c r="G27" s="2845"/>
    </row>
    <row r="28" spans="1:13" ht="19.5" customHeight="1">
      <c r="A28" s="3479"/>
      <c r="B28" s="3475"/>
      <c r="C28" s="2846" t="s">
        <v>2454</v>
      </c>
      <c r="D28" s="2847"/>
      <c r="E28" s="2848">
        <v>1</v>
      </c>
      <c r="F28" s="2845" t="s">
        <v>2455</v>
      </c>
      <c r="G28" s="2845"/>
    </row>
    <row r="29" spans="1:13" ht="19.5" customHeight="1">
      <c r="A29" s="3479"/>
      <c r="B29" s="3475"/>
      <c r="C29" s="2846" t="s">
        <v>2456</v>
      </c>
      <c r="D29" s="2847"/>
      <c r="E29" s="2848">
        <v>0.8</v>
      </c>
      <c r="F29" s="2845" t="s">
        <v>2457</v>
      </c>
      <c r="G29" s="2845"/>
    </row>
    <row r="30" spans="1:13" ht="19.5" customHeight="1">
      <c r="A30" s="3479"/>
      <c r="B30" s="3475"/>
      <c r="C30" s="2846" t="s">
        <v>2458</v>
      </c>
      <c r="D30" s="2847"/>
      <c r="E30" s="2848">
        <v>0.8</v>
      </c>
      <c r="F30" s="2845" t="s">
        <v>2459</v>
      </c>
      <c r="G30" s="2845"/>
    </row>
    <row r="31" spans="1:13" ht="19.5" customHeight="1">
      <c r="A31" s="3479"/>
      <c r="B31" s="3475"/>
      <c r="C31" s="2846" t="s">
        <v>2460</v>
      </c>
      <c r="D31" s="2847"/>
      <c r="E31" s="2848">
        <v>0.8</v>
      </c>
      <c r="F31" s="2845" t="s">
        <v>2461</v>
      </c>
      <c r="G31" s="2845"/>
    </row>
    <row r="32" spans="1:13" ht="19.5" customHeight="1">
      <c r="A32" s="3479"/>
      <c r="B32" s="3475"/>
      <c r="C32" s="2846" t="s">
        <v>2462</v>
      </c>
      <c r="D32" s="2847"/>
      <c r="E32" s="2848">
        <v>0.7</v>
      </c>
      <c r="F32" s="2845" t="s">
        <v>2463</v>
      </c>
      <c r="G32" s="2845"/>
    </row>
    <row r="33" spans="1:7" ht="19.5" customHeight="1">
      <c r="A33" s="3479"/>
      <c r="B33" s="3475"/>
      <c r="C33" s="2846" t="s">
        <v>2464</v>
      </c>
      <c r="D33" s="2847"/>
      <c r="E33" s="2848">
        <v>0.8</v>
      </c>
      <c r="F33" s="2845" t="s">
        <v>2465</v>
      </c>
      <c r="G33" s="2845"/>
    </row>
    <row r="34" spans="1:7" ht="19.5" customHeight="1">
      <c r="A34" s="3479"/>
      <c r="B34" s="3475"/>
      <c r="C34" s="2846" t="s">
        <v>2466</v>
      </c>
      <c r="D34" s="2847"/>
      <c r="E34" s="2848">
        <v>0.6</v>
      </c>
      <c r="F34" s="2845" t="s">
        <v>2467</v>
      </c>
      <c r="G34" s="2845"/>
    </row>
    <row r="35" spans="1:7" ht="19.5" customHeight="1">
      <c r="A35" s="3479"/>
      <c r="B35" s="3475"/>
      <c r="C35" s="2846" t="s">
        <v>2468</v>
      </c>
      <c r="D35" s="2847"/>
      <c r="E35" s="2848">
        <v>0.2</v>
      </c>
      <c r="F35" s="2845" t="s">
        <v>2469</v>
      </c>
      <c r="G35" s="2845"/>
    </row>
    <row r="36" spans="1:7" ht="19.5" customHeight="1">
      <c r="A36" s="3479"/>
      <c r="B36" s="3475"/>
      <c r="C36" s="2846" t="s">
        <v>2470</v>
      </c>
      <c r="D36" s="2847"/>
      <c r="E36" s="2848">
        <v>0.2</v>
      </c>
      <c r="F36" s="2845" t="s">
        <v>2471</v>
      </c>
      <c r="G36" s="2845"/>
    </row>
    <row r="37" spans="1:7" ht="19.5" customHeight="1">
      <c r="A37" s="3479"/>
      <c r="B37" s="3473" t="s">
        <v>2632</v>
      </c>
      <c r="C37" s="2846" t="s">
        <v>2472</v>
      </c>
      <c r="D37" s="2847"/>
      <c r="E37" s="2848">
        <v>0.6</v>
      </c>
      <c r="F37" s="2845" t="s">
        <v>2473</v>
      </c>
      <c r="G37" s="2845"/>
    </row>
    <row r="38" spans="1:7" ht="19.5" customHeight="1">
      <c r="A38" s="3479"/>
      <c r="B38" s="3475"/>
      <c r="C38" s="2846" t="s">
        <v>2474</v>
      </c>
      <c r="D38" s="2847"/>
      <c r="E38" s="2848">
        <v>0.6</v>
      </c>
      <c r="F38" s="2845" t="s">
        <v>2475</v>
      </c>
      <c r="G38" s="2845"/>
    </row>
    <row r="39" spans="1:7" ht="19.5" customHeight="1" thickBot="1">
      <c r="A39" s="3480"/>
      <c r="B39" s="3477"/>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1" t="s">
        <v>2610</v>
      </c>
      <c r="B41" s="3476" t="s">
        <v>2634</v>
      </c>
      <c r="C41" s="2842" t="s">
        <v>2479</v>
      </c>
      <c r="D41" s="2843"/>
      <c r="E41" s="2844">
        <v>1</v>
      </c>
      <c r="F41" s="2845" t="s">
        <v>2480</v>
      </c>
      <c r="G41" s="2845"/>
    </row>
    <row r="42" spans="1:7" ht="19.5" customHeight="1">
      <c r="A42" s="3482"/>
      <c r="B42" s="3475"/>
      <c r="C42" s="2846" t="s">
        <v>2481</v>
      </c>
      <c r="D42" s="2847"/>
      <c r="E42" s="2848">
        <v>1</v>
      </c>
      <c r="F42" s="2845" t="s">
        <v>2482</v>
      </c>
      <c r="G42" s="2845"/>
    </row>
    <row r="43" spans="1:7" ht="19.5" customHeight="1">
      <c r="A43" s="3482"/>
      <c r="B43" s="3474"/>
      <c r="C43" s="2846" t="s">
        <v>2483</v>
      </c>
      <c r="D43" s="2847"/>
      <c r="E43" s="2848">
        <v>1.5</v>
      </c>
      <c r="F43" s="2845" t="s">
        <v>2484</v>
      </c>
      <c r="G43" s="2845"/>
    </row>
    <row r="44" spans="1:7" ht="19.5" customHeight="1">
      <c r="A44" s="3482"/>
      <c r="B44" s="2857" t="s">
        <v>2635</v>
      </c>
      <c r="C44" s="2846" t="s">
        <v>2636</v>
      </c>
      <c r="D44" s="2847"/>
      <c r="E44" s="2848">
        <v>2</v>
      </c>
      <c r="F44" s="2845" t="s">
        <v>2485</v>
      </c>
      <c r="G44" s="2845"/>
    </row>
    <row r="45" spans="1:7" ht="19.5" customHeight="1">
      <c r="A45" s="3482"/>
      <c r="B45" s="3473" t="s">
        <v>2637</v>
      </c>
      <c r="C45" s="2846" t="s">
        <v>2486</v>
      </c>
      <c r="D45" s="2847"/>
      <c r="E45" s="2848">
        <v>1</v>
      </c>
      <c r="F45" s="2845" t="s">
        <v>2487</v>
      </c>
      <c r="G45" s="2845"/>
    </row>
    <row r="46" spans="1:7" ht="19.5" customHeight="1">
      <c r="A46" s="3482"/>
      <c r="B46" s="3475"/>
      <c r="C46" s="2846" t="s">
        <v>2488</v>
      </c>
      <c r="D46" s="2847"/>
      <c r="E46" s="2848">
        <v>1</v>
      </c>
      <c r="F46" s="2845" t="s">
        <v>2489</v>
      </c>
      <c r="G46" s="2845"/>
    </row>
    <row r="47" spans="1:7" ht="19.5" customHeight="1">
      <c r="A47" s="3482"/>
      <c r="B47" s="3475"/>
      <c r="C47" s="2846" t="s">
        <v>2490</v>
      </c>
      <c r="D47" s="2847"/>
      <c r="E47" s="2848">
        <v>1</v>
      </c>
      <c r="F47" s="2845" t="s">
        <v>2491</v>
      </c>
      <c r="G47" s="2845"/>
    </row>
    <row r="48" spans="1:7" ht="19.5" customHeight="1">
      <c r="A48" s="3482"/>
      <c r="B48" s="3475"/>
      <c r="C48" s="2846" t="s">
        <v>2492</v>
      </c>
      <c r="D48" s="2847"/>
      <c r="E48" s="2848">
        <v>1</v>
      </c>
      <c r="F48" s="2845" t="s">
        <v>2493</v>
      </c>
      <c r="G48" s="2845"/>
    </row>
    <row r="49" spans="1:7" ht="19.5" customHeight="1">
      <c r="A49" s="3482"/>
      <c r="B49" s="3475"/>
      <c r="C49" s="2846" t="s">
        <v>2494</v>
      </c>
      <c r="D49" s="2847"/>
      <c r="E49" s="2848">
        <v>1</v>
      </c>
      <c r="F49" s="2845" t="s">
        <v>2495</v>
      </c>
      <c r="G49" s="2845"/>
    </row>
    <row r="50" spans="1:7" ht="19.5" customHeight="1">
      <c r="A50" s="3482"/>
      <c r="B50" s="3475"/>
      <c r="C50" s="2846" t="s">
        <v>2496</v>
      </c>
      <c r="D50" s="2847"/>
      <c r="E50" s="2848">
        <v>1</v>
      </c>
      <c r="F50" s="2845" t="s">
        <v>2497</v>
      </c>
      <c r="G50" s="2845"/>
    </row>
    <row r="51" spans="1:7" ht="19.5" customHeight="1" thickBot="1">
      <c r="A51" s="3483"/>
      <c r="B51" s="3477"/>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3" t="s">
        <v>2651</v>
      </c>
      <c r="C73" s="2831" t="s">
        <v>2652</v>
      </c>
      <c r="D73" s="2831" t="s">
        <v>2653</v>
      </c>
      <c r="E73" s="2857">
        <v>0.2</v>
      </c>
      <c r="F73" s="2857">
        <v>25</v>
      </c>
    </row>
    <row r="74" spans="1:7" ht="24">
      <c r="A74" s="2857">
        <v>2</v>
      </c>
      <c r="B74" s="3475"/>
      <c r="C74" s="2831" t="s">
        <v>2654</v>
      </c>
      <c r="D74" s="2831" t="s">
        <v>2655</v>
      </c>
      <c r="E74" s="2857">
        <v>0.2</v>
      </c>
      <c r="F74" s="2857">
        <v>25</v>
      </c>
    </row>
    <row r="75" spans="1:7" ht="24">
      <c r="A75" s="2857">
        <v>3</v>
      </c>
      <c r="B75" s="3475"/>
      <c r="C75" s="2831" t="s">
        <v>2656</v>
      </c>
      <c r="D75" s="2831" t="s">
        <v>2657</v>
      </c>
      <c r="E75" s="2857">
        <v>0.2</v>
      </c>
      <c r="F75" s="2857">
        <v>25</v>
      </c>
    </row>
    <row r="76" spans="1:7" ht="14.4">
      <c r="A76" s="2857">
        <v>4</v>
      </c>
      <c r="B76" s="3475"/>
      <c r="C76" s="2831" t="s">
        <v>2658</v>
      </c>
      <c r="D76" s="2831" t="s">
        <v>2659</v>
      </c>
      <c r="E76" s="2857">
        <v>0.15</v>
      </c>
      <c r="F76" s="2857">
        <v>20</v>
      </c>
    </row>
    <row r="77" spans="1:7" ht="24">
      <c r="A77" s="2857">
        <v>5</v>
      </c>
      <c r="B77" s="3475"/>
      <c r="C77" s="2831" t="s">
        <v>2660</v>
      </c>
      <c r="D77" s="2831" t="s">
        <v>2661</v>
      </c>
      <c r="E77" s="2857">
        <v>0.15</v>
      </c>
      <c r="F77" s="2857">
        <v>20</v>
      </c>
    </row>
    <row r="78" spans="1:7" ht="24">
      <c r="A78" s="2857">
        <v>6</v>
      </c>
      <c r="B78" s="3475"/>
      <c r="C78" s="2831" t="s">
        <v>2662</v>
      </c>
      <c r="D78" s="2831" t="s">
        <v>2663</v>
      </c>
      <c r="E78" s="2857">
        <v>0.15</v>
      </c>
      <c r="F78" s="2857">
        <v>20</v>
      </c>
    </row>
    <row r="79" spans="1:7" ht="24">
      <c r="A79" s="2857">
        <v>7</v>
      </c>
      <c r="B79" s="3475"/>
      <c r="C79" s="2831" t="s">
        <v>2664</v>
      </c>
      <c r="D79" s="2831" t="s">
        <v>2665</v>
      </c>
      <c r="E79" s="2857">
        <v>0.15</v>
      </c>
      <c r="F79" s="2857">
        <v>20</v>
      </c>
    </row>
    <row r="80" spans="1:7" ht="24">
      <c r="A80" s="2857">
        <v>8</v>
      </c>
      <c r="B80" s="3475"/>
      <c r="C80" s="2831" t="s">
        <v>2666</v>
      </c>
      <c r="D80" s="2831" t="s">
        <v>2667</v>
      </c>
      <c r="E80" s="2857">
        <v>0.1</v>
      </c>
      <c r="F80" s="2857">
        <v>15</v>
      </c>
    </row>
    <row r="81" spans="1:6" ht="24">
      <c r="A81" s="2857">
        <v>9</v>
      </c>
      <c r="B81" s="3475"/>
      <c r="C81" s="2831" t="s">
        <v>2668</v>
      </c>
      <c r="D81" s="2831" t="s">
        <v>2669</v>
      </c>
      <c r="E81" s="2857">
        <v>0.1</v>
      </c>
      <c r="F81" s="2857">
        <v>15</v>
      </c>
    </row>
    <row r="82" spans="1:6" ht="24">
      <c r="A82" s="2857">
        <v>10</v>
      </c>
      <c r="B82" s="3475"/>
      <c r="C82" s="2831" t="s">
        <v>2670</v>
      </c>
      <c r="D82" s="2831" t="s">
        <v>2671</v>
      </c>
      <c r="E82" s="2857">
        <v>0.1</v>
      </c>
      <c r="F82" s="2857">
        <v>15</v>
      </c>
    </row>
    <row r="83" spans="1:6" ht="24">
      <c r="A83" s="2857">
        <v>11</v>
      </c>
      <c r="B83" s="3475"/>
      <c r="C83" s="2831" t="s">
        <v>2672</v>
      </c>
      <c r="D83" s="2831" t="s">
        <v>2673</v>
      </c>
      <c r="E83" s="2857">
        <v>0.1</v>
      </c>
      <c r="F83" s="2857">
        <v>15</v>
      </c>
    </row>
    <row r="84" spans="1:6" ht="24">
      <c r="A84" s="2857">
        <v>12</v>
      </c>
      <c r="B84" s="3475"/>
      <c r="C84" s="2831" t="s">
        <v>2674</v>
      </c>
      <c r="D84" s="2831" t="s">
        <v>2675</v>
      </c>
      <c r="E84" s="2857">
        <v>0.1</v>
      </c>
      <c r="F84" s="2857">
        <v>15</v>
      </c>
    </row>
    <row r="85" spans="1:6" ht="24">
      <c r="A85" s="2857">
        <v>13</v>
      </c>
      <c r="B85" s="3475"/>
      <c r="C85" s="2831" t="s">
        <v>2676</v>
      </c>
      <c r="D85" s="2831" t="s">
        <v>2677</v>
      </c>
      <c r="E85" s="2857">
        <v>0.1</v>
      </c>
      <c r="F85" s="2857">
        <v>15</v>
      </c>
    </row>
    <row r="86" spans="1:6" ht="24">
      <c r="A86" s="2857">
        <v>14</v>
      </c>
      <c r="B86" s="3475"/>
      <c r="C86" s="2831" t="s">
        <v>2678</v>
      </c>
      <c r="D86" s="2831" t="s">
        <v>2679</v>
      </c>
      <c r="E86" s="2857">
        <v>0.1</v>
      </c>
      <c r="F86" s="2857">
        <v>15</v>
      </c>
    </row>
    <row r="87" spans="1:6" ht="24">
      <c r="A87" s="2857">
        <v>15</v>
      </c>
      <c r="B87" s="3475"/>
      <c r="C87" s="2831" t="s">
        <v>2680</v>
      </c>
      <c r="D87" s="2831" t="s">
        <v>2681</v>
      </c>
      <c r="E87" s="2857">
        <v>0.1</v>
      </c>
      <c r="F87" s="2857">
        <v>15</v>
      </c>
    </row>
    <row r="88" spans="1:6" ht="24">
      <c r="A88" s="2857">
        <v>16</v>
      </c>
      <c r="B88" s="3475"/>
      <c r="C88" s="2831" t="s">
        <v>2682</v>
      </c>
      <c r="D88" s="2831" t="s">
        <v>2683</v>
      </c>
      <c r="E88" s="2857">
        <v>0.1</v>
      </c>
      <c r="F88" s="2857">
        <v>15</v>
      </c>
    </row>
    <row r="89" spans="1:6" ht="24">
      <c r="A89" s="2857">
        <v>17</v>
      </c>
      <c r="B89" s="3474"/>
      <c r="C89" s="2831" t="s">
        <v>2684</v>
      </c>
      <c r="D89" s="2831" t="s">
        <v>2685</v>
      </c>
      <c r="E89" s="2857">
        <v>0.1</v>
      </c>
      <c r="F89" s="2857">
        <v>15</v>
      </c>
    </row>
    <row r="90" spans="1:6" ht="14.4">
      <c r="A90" s="2857">
        <v>18</v>
      </c>
      <c r="B90" s="3473" t="s">
        <v>2686</v>
      </c>
      <c r="C90" s="2831" t="s">
        <v>2687</v>
      </c>
      <c r="D90" s="2831" t="s">
        <v>2688</v>
      </c>
      <c r="E90" s="2857">
        <v>0.2</v>
      </c>
      <c r="F90" s="2857">
        <v>25</v>
      </c>
    </row>
    <row r="91" spans="1:6" ht="24">
      <c r="A91" s="2857">
        <v>19</v>
      </c>
      <c r="B91" s="3475"/>
      <c r="C91" s="2831" t="s">
        <v>2689</v>
      </c>
      <c r="D91" s="2831" t="s">
        <v>2690</v>
      </c>
      <c r="E91" s="2857">
        <v>0.2</v>
      </c>
      <c r="F91" s="2857">
        <v>25</v>
      </c>
    </row>
    <row r="92" spans="1:6" ht="14.4">
      <c r="A92" s="2857">
        <v>20</v>
      </c>
      <c r="B92" s="3475"/>
      <c r="C92" s="2831" t="s">
        <v>2691</v>
      </c>
      <c r="D92" s="2831" t="s">
        <v>2692</v>
      </c>
      <c r="E92" s="2857">
        <v>0.15</v>
      </c>
      <c r="F92" s="2857">
        <v>20</v>
      </c>
    </row>
    <row r="93" spans="1:6" ht="24">
      <c r="A93" s="2857">
        <v>21</v>
      </c>
      <c r="B93" s="3475"/>
      <c r="C93" s="2831" t="s">
        <v>2693</v>
      </c>
      <c r="D93" s="2831" t="s">
        <v>2694</v>
      </c>
      <c r="E93" s="2857">
        <v>0.15</v>
      </c>
      <c r="F93" s="2857">
        <v>20</v>
      </c>
    </row>
    <row r="94" spans="1:6" ht="24">
      <c r="A94" s="2857">
        <v>22</v>
      </c>
      <c r="B94" s="3475"/>
      <c r="C94" s="2831" t="s">
        <v>2695</v>
      </c>
      <c r="D94" s="2831" t="s">
        <v>2696</v>
      </c>
      <c r="E94" s="2857">
        <v>0.15</v>
      </c>
      <c r="F94" s="2857">
        <v>20</v>
      </c>
    </row>
    <row r="95" spans="1:6" ht="36">
      <c r="A95" s="2857">
        <v>23</v>
      </c>
      <c r="B95" s="3475"/>
      <c r="C95" s="2831" t="s">
        <v>2697</v>
      </c>
      <c r="D95" s="2831" t="s">
        <v>2698</v>
      </c>
      <c r="E95" s="2857">
        <v>0.15</v>
      </c>
      <c r="F95" s="2857">
        <v>20</v>
      </c>
    </row>
    <row r="96" spans="1:6" ht="24">
      <c r="A96" s="2857">
        <v>24</v>
      </c>
      <c r="B96" s="3475"/>
      <c r="C96" s="2831" t="s">
        <v>2699</v>
      </c>
      <c r="D96" s="2831" t="s">
        <v>2700</v>
      </c>
      <c r="E96" s="2857">
        <v>0.1</v>
      </c>
      <c r="F96" s="2857">
        <v>15</v>
      </c>
    </row>
    <row r="97" spans="1:6" ht="24">
      <c r="A97" s="2857">
        <v>25</v>
      </c>
      <c r="B97" s="3475"/>
      <c r="C97" s="2831" t="s">
        <v>2701</v>
      </c>
      <c r="D97" s="2831" t="s">
        <v>2702</v>
      </c>
      <c r="E97" s="2857">
        <v>0.1</v>
      </c>
      <c r="F97" s="2857">
        <v>15</v>
      </c>
    </row>
    <row r="98" spans="1:6" ht="24">
      <c r="A98" s="2857">
        <v>26</v>
      </c>
      <c r="B98" s="3475"/>
      <c r="C98" s="2831" t="s">
        <v>2703</v>
      </c>
      <c r="D98" s="2831" t="s">
        <v>2704</v>
      </c>
      <c r="E98" s="2857">
        <v>0.1</v>
      </c>
      <c r="F98" s="2857">
        <v>15</v>
      </c>
    </row>
    <row r="99" spans="1:6" ht="24">
      <c r="A99" s="2857">
        <v>27</v>
      </c>
      <c r="B99" s="3475"/>
      <c r="C99" s="2831" t="s">
        <v>2705</v>
      </c>
      <c r="D99" s="2831" t="s">
        <v>2706</v>
      </c>
      <c r="E99" s="2857">
        <v>0.1</v>
      </c>
      <c r="F99" s="2857">
        <v>15</v>
      </c>
    </row>
    <row r="100" spans="1:6" ht="24">
      <c r="A100" s="2857">
        <v>28</v>
      </c>
      <c r="B100" s="3475"/>
      <c r="C100" s="2831" t="s">
        <v>2707</v>
      </c>
      <c r="D100" s="2831" t="s">
        <v>2708</v>
      </c>
      <c r="E100" s="2857">
        <v>0.1</v>
      </c>
      <c r="F100" s="2857">
        <v>15</v>
      </c>
    </row>
    <row r="101" spans="1:6" ht="24">
      <c r="A101" s="2857">
        <v>29</v>
      </c>
      <c r="B101" s="3475"/>
      <c r="C101" s="2831" t="s">
        <v>2709</v>
      </c>
      <c r="D101" s="2831" t="s">
        <v>2710</v>
      </c>
      <c r="E101" s="2857">
        <v>0.1</v>
      </c>
      <c r="F101" s="2857">
        <v>15</v>
      </c>
    </row>
    <row r="102" spans="1:6" ht="24">
      <c r="A102" s="2857">
        <v>30</v>
      </c>
      <c r="B102" s="3475"/>
      <c r="C102" s="2831" t="s">
        <v>2711</v>
      </c>
      <c r="D102" s="2831" t="s">
        <v>2712</v>
      </c>
      <c r="E102" s="2857">
        <v>0.1</v>
      </c>
      <c r="F102" s="2857">
        <v>15</v>
      </c>
    </row>
    <row r="103" spans="1:6" ht="24">
      <c r="A103" s="2857">
        <v>31</v>
      </c>
      <c r="B103" s="3475"/>
      <c r="C103" s="2831" t="s">
        <v>2713</v>
      </c>
      <c r="D103" s="2831" t="s">
        <v>2714</v>
      </c>
      <c r="E103" s="2857">
        <v>0.1</v>
      </c>
      <c r="F103" s="2857">
        <v>15</v>
      </c>
    </row>
    <row r="104" spans="1:6" ht="24">
      <c r="A104" s="2857">
        <v>32</v>
      </c>
      <c r="B104" s="3475"/>
      <c r="C104" s="2831" t="s">
        <v>2715</v>
      </c>
      <c r="D104" s="2831" t="s">
        <v>2716</v>
      </c>
      <c r="E104" s="2857">
        <v>0.1</v>
      </c>
      <c r="F104" s="2857">
        <v>15</v>
      </c>
    </row>
    <row r="105" spans="1:6" ht="24">
      <c r="A105" s="2857">
        <v>33</v>
      </c>
      <c r="B105" s="3475"/>
      <c r="C105" s="2831" t="s">
        <v>2717</v>
      </c>
      <c r="D105" s="2831" t="s">
        <v>2718</v>
      </c>
      <c r="E105" s="2857">
        <v>0.1</v>
      </c>
      <c r="F105" s="2857">
        <v>15</v>
      </c>
    </row>
    <row r="106" spans="1:6" ht="24">
      <c r="A106" s="2857">
        <v>34</v>
      </c>
      <c r="B106" s="3474"/>
      <c r="C106" s="2831" t="s">
        <v>2719</v>
      </c>
      <c r="D106" s="2831" t="s">
        <v>2720</v>
      </c>
      <c r="E106" s="2857">
        <v>0.1</v>
      </c>
      <c r="F106" s="2857">
        <v>15</v>
      </c>
    </row>
    <row r="107" spans="1:6" ht="36">
      <c r="A107" s="2857">
        <v>35</v>
      </c>
      <c r="B107" s="3473" t="s">
        <v>2721</v>
      </c>
      <c r="C107" s="2857" t="s">
        <v>2722</v>
      </c>
      <c r="D107" s="2831" t="s">
        <v>2723</v>
      </c>
      <c r="E107" s="2857">
        <v>0.15</v>
      </c>
      <c r="F107" s="2857">
        <v>20</v>
      </c>
    </row>
    <row r="108" spans="1:6" ht="24">
      <c r="A108" s="2857">
        <v>36</v>
      </c>
      <c r="B108" s="3475"/>
      <c r="C108" s="2857" t="s">
        <v>2724</v>
      </c>
      <c r="D108" s="2831" t="s">
        <v>2725</v>
      </c>
      <c r="E108" s="2857">
        <v>0.15</v>
      </c>
      <c r="F108" s="2857">
        <v>20</v>
      </c>
    </row>
    <row r="109" spans="1:6" ht="24">
      <c r="A109" s="2857">
        <v>37</v>
      </c>
      <c r="B109" s="3475"/>
      <c r="C109" s="2857" t="s">
        <v>2726</v>
      </c>
      <c r="D109" s="2831" t="s">
        <v>2727</v>
      </c>
      <c r="E109" s="2857">
        <v>0.15</v>
      </c>
      <c r="F109" s="2857">
        <v>20</v>
      </c>
    </row>
    <row r="110" spans="1:6" ht="24">
      <c r="A110" s="2857">
        <v>38</v>
      </c>
      <c r="B110" s="3475"/>
      <c r="C110" s="2857" t="s">
        <v>2728</v>
      </c>
      <c r="D110" s="2831" t="s">
        <v>2729</v>
      </c>
      <c r="E110" s="2857">
        <v>0.1</v>
      </c>
      <c r="F110" s="2857">
        <v>15</v>
      </c>
    </row>
    <row r="111" spans="1:6" ht="24">
      <c r="A111" s="2857">
        <v>39</v>
      </c>
      <c r="B111" s="3475"/>
      <c r="C111" s="2857" t="s">
        <v>2730</v>
      </c>
      <c r="D111" s="2831" t="s">
        <v>2731</v>
      </c>
      <c r="E111" s="2857">
        <v>0.1</v>
      </c>
      <c r="F111" s="2857">
        <v>15</v>
      </c>
    </row>
    <row r="112" spans="1:6" ht="24">
      <c r="A112" s="2857">
        <v>40</v>
      </c>
      <c r="B112" s="3474"/>
      <c r="C112" s="2857" t="s">
        <v>2732</v>
      </c>
      <c r="D112" s="2831" t="s">
        <v>2733</v>
      </c>
      <c r="E112" s="2857">
        <v>0.1</v>
      </c>
      <c r="F112" s="2857">
        <v>15</v>
      </c>
    </row>
    <row r="113" spans="1:6" ht="24">
      <c r="A113" s="2857">
        <v>41</v>
      </c>
      <c r="B113" s="3472" t="s">
        <v>2734</v>
      </c>
      <c r="C113" s="2857" t="s">
        <v>2735</v>
      </c>
      <c r="D113" s="2831" t="s">
        <v>2736</v>
      </c>
      <c r="E113" s="2857">
        <v>0.1</v>
      </c>
      <c r="F113" s="2857">
        <v>15</v>
      </c>
    </row>
    <row r="114" spans="1:6" ht="24">
      <c r="A114" s="2857">
        <v>42</v>
      </c>
      <c r="B114" s="3472"/>
      <c r="C114" s="2857" t="s">
        <v>2737</v>
      </c>
      <c r="D114" s="2831" t="s">
        <v>2738</v>
      </c>
      <c r="E114" s="2857">
        <v>0.1</v>
      </c>
      <c r="F114" s="2857">
        <v>15</v>
      </c>
    </row>
    <row r="115" spans="1:6" ht="24">
      <c r="A115" s="2857">
        <v>43</v>
      </c>
      <c r="B115" s="3472"/>
      <c r="C115" s="2857" t="s">
        <v>2739</v>
      </c>
      <c r="D115" s="2831" t="s">
        <v>2740</v>
      </c>
      <c r="E115" s="2857">
        <v>0.1</v>
      </c>
      <c r="F115" s="2857">
        <v>15</v>
      </c>
    </row>
    <row r="116" spans="1:6" ht="24">
      <c r="A116" s="2857">
        <v>44</v>
      </c>
      <c r="B116" s="3473" t="s">
        <v>2741</v>
      </c>
      <c r="C116" s="2857" t="s">
        <v>2742</v>
      </c>
      <c r="D116" s="2831" t="s">
        <v>2743</v>
      </c>
      <c r="E116" s="2857">
        <v>0.1</v>
      </c>
      <c r="F116" s="2857">
        <v>15</v>
      </c>
    </row>
    <row r="117" spans="1:6" ht="24">
      <c r="A117" s="2857">
        <v>45</v>
      </c>
      <c r="B117" s="3474"/>
      <c r="C117" s="2831" t="s">
        <v>2744</v>
      </c>
      <c r="D117" s="2831" t="s">
        <v>2745</v>
      </c>
      <c r="E117" s="2857">
        <v>0.1</v>
      </c>
      <c r="F117" s="2857">
        <v>15</v>
      </c>
    </row>
    <row r="118" spans="1:6" ht="24">
      <c r="A118" s="2857">
        <v>46</v>
      </c>
      <c r="B118" s="3473" t="s">
        <v>2746</v>
      </c>
      <c r="C118" s="2857" t="s">
        <v>2747</v>
      </c>
      <c r="D118" s="2831" t="s">
        <v>2748</v>
      </c>
      <c r="E118" s="2857">
        <v>0.1</v>
      </c>
      <c r="F118" s="2857">
        <v>15</v>
      </c>
    </row>
    <row r="119" spans="1:6" ht="24">
      <c r="A119" s="2857">
        <v>47</v>
      </c>
      <c r="B119" s="3474"/>
      <c r="C119" s="2857" t="s">
        <v>2749</v>
      </c>
      <c r="D119" s="2831" t="s">
        <v>2750</v>
      </c>
      <c r="E119" s="2857">
        <v>0.1</v>
      </c>
      <c r="F119" s="2857">
        <v>15</v>
      </c>
    </row>
    <row r="120" spans="1:6" ht="24">
      <c r="A120" s="2857">
        <v>48</v>
      </c>
      <c r="B120" s="3473" t="s">
        <v>2751</v>
      </c>
      <c r="C120" s="2857" t="s">
        <v>2752</v>
      </c>
      <c r="D120" s="2831" t="s">
        <v>2753</v>
      </c>
      <c r="E120" s="2857">
        <v>0.1</v>
      </c>
      <c r="F120" s="2857">
        <v>15</v>
      </c>
    </row>
    <row r="121" spans="1:6" ht="24">
      <c r="A121" s="2857">
        <v>49</v>
      </c>
      <c r="B121" s="3474"/>
      <c r="C121" s="2857" t="s">
        <v>2754</v>
      </c>
      <c r="D121" s="2831" t="s">
        <v>2755</v>
      </c>
      <c r="E121" s="2857">
        <v>0.1</v>
      </c>
      <c r="F121" s="2857">
        <v>15</v>
      </c>
    </row>
    <row r="122" spans="1:6" ht="24">
      <c r="A122" s="2857">
        <v>50</v>
      </c>
      <c r="B122" s="3472" t="s">
        <v>2756</v>
      </c>
      <c r="C122" s="2857" t="s">
        <v>2757</v>
      </c>
      <c r="D122" s="2831" t="s">
        <v>2758</v>
      </c>
      <c r="E122" s="2857">
        <v>0.1</v>
      </c>
      <c r="F122" s="2857">
        <v>15</v>
      </c>
    </row>
    <row r="123" spans="1:6" ht="24">
      <c r="A123" s="2857">
        <v>51</v>
      </c>
      <c r="B123" s="3472"/>
      <c r="C123" s="2857" t="s">
        <v>2759</v>
      </c>
      <c r="D123" s="2831" t="s">
        <v>2760</v>
      </c>
      <c r="E123" s="2857">
        <v>0.1</v>
      </c>
      <c r="F123" s="2857">
        <v>15</v>
      </c>
    </row>
    <row r="124" spans="1:6" ht="24">
      <c r="A124" s="2857">
        <v>52</v>
      </c>
      <c r="B124" s="3472" t="s">
        <v>2761</v>
      </c>
      <c r="C124" s="2857" t="s">
        <v>2762</v>
      </c>
      <c r="D124" s="2831" t="s">
        <v>2763</v>
      </c>
      <c r="E124" s="2857">
        <v>0.1</v>
      </c>
      <c r="F124" s="2857">
        <v>15</v>
      </c>
    </row>
    <row r="125" spans="1:6" ht="24">
      <c r="A125" s="2857">
        <v>53</v>
      </c>
      <c r="B125" s="3472"/>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2" t="s">
        <v>2769</v>
      </c>
      <c r="C127" s="2857" t="s">
        <v>2770</v>
      </c>
      <c r="D127" s="2831" t="s">
        <v>2771</v>
      </c>
      <c r="E127" s="2857">
        <v>0.1</v>
      </c>
      <c r="F127" s="2857">
        <v>15</v>
      </c>
    </row>
    <row r="128" spans="1:6" ht="24">
      <c r="A128" s="2857">
        <v>56</v>
      </c>
      <c r="B128" s="3472"/>
      <c r="C128" s="2857" t="s">
        <v>2772</v>
      </c>
      <c r="D128" s="2831" t="s">
        <v>2773</v>
      </c>
      <c r="E128" s="2857">
        <v>0.1</v>
      </c>
      <c r="F128" s="2857">
        <v>15</v>
      </c>
    </row>
    <row r="129" spans="1:6" ht="24">
      <c r="A129" s="2857">
        <v>57</v>
      </c>
      <c r="B129" s="3472"/>
      <c r="C129" s="2857" t="s">
        <v>2774</v>
      </c>
      <c r="D129" s="2831" t="s">
        <v>2775</v>
      </c>
      <c r="E129" s="2857">
        <v>0.1</v>
      </c>
      <c r="F129" s="2857">
        <v>15</v>
      </c>
    </row>
    <row r="130" spans="1:6" ht="24">
      <c r="A130" s="2857">
        <v>58</v>
      </c>
      <c r="B130" s="3472" t="s">
        <v>2776</v>
      </c>
      <c r="C130" s="2857" t="s">
        <v>2777</v>
      </c>
      <c r="D130" s="2831" t="s">
        <v>2778</v>
      </c>
      <c r="E130" s="2857">
        <v>0.1</v>
      </c>
      <c r="F130" s="2857">
        <v>15</v>
      </c>
    </row>
    <row r="131" spans="1:6" ht="24">
      <c r="A131" s="2857">
        <v>59</v>
      </c>
      <c r="B131" s="3472"/>
      <c r="C131" s="2857" t="s">
        <v>2779</v>
      </c>
      <c r="D131" s="2831" t="s">
        <v>2780</v>
      </c>
      <c r="E131" s="2857">
        <v>0.1</v>
      </c>
      <c r="F131" s="2857">
        <v>15</v>
      </c>
    </row>
    <row r="132" spans="1:6" ht="24">
      <c r="A132" s="2857">
        <v>60</v>
      </c>
      <c r="B132" s="3473" t="s">
        <v>2781</v>
      </c>
      <c r="C132" s="2857" t="s">
        <v>2782</v>
      </c>
      <c r="D132" s="2831" t="s">
        <v>2783</v>
      </c>
      <c r="E132" s="2857">
        <v>0.1</v>
      </c>
      <c r="F132" s="2857">
        <v>15</v>
      </c>
    </row>
    <row r="133" spans="1:6" ht="24">
      <c r="A133" s="2857">
        <v>61</v>
      </c>
      <c r="B133" s="3474"/>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2" t="s">
        <v>2789</v>
      </c>
      <c r="C135" s="2857" t="s">
        <v>2790</v>
      </c>
      <c r="D135" s="2831" t="s">
        <v>2791</v>
      </c>
      <c r="E135" s="2857">
        <v>0.1</v>
      </c>
      <c r="F135" s="2857">
        <v>15</v>
      </c>
    </row>
    <row r="136" spans="1:6" ht="24">
      <c r="A136" s="2857">
        <v>64</v>
      </c>
      <c r="B136" s="3472"/>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t="e">
        <f ca="1">结果表!H101</f>
        <v>#REF!</v>
      </c>
    </row>
    <row r="6" spans="1:5" ht="15.6">
      <c r="B6" s="3167"/>
      <c r="C6" s="1392" t="s">
        <v>911</v>
      </c>
      <c r="D6" s="797" t="e">
        <f ca="1">NUMBERSTRING(INT(D5*10000),2)&amp;"元整"</f>
        <v>#REF!</v>
      </c>
    </row>
    <row r="7" spans="1:5" ht="15.6">
      <c r="B7" s="3172"/>
      <c r="C7" s="1393" t="s">
        <v>912</v>
      </c>
      <c r="D7" s="798" t="e">
        <f ca="1">结果表!H102</f>
        <v>#REF!</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t="e">
        <f ca="1">结果表!H107</f>
        <v>#REF!</v>
      </c>
    </row>
    <row r="14" spans="1:5" ht="15.6">
      <c r="B14" s="3167"/>
      <c r="C14" s="1392" t="s">
        <v>911</v>
      </c>
      <c r="D14" s="797" t="e">
        <f ca="1">NUMBERSTRING(INT(D13*10000),2)&amp;"元整"</f>
        <v>#REF!</v>
      </c>
    </row>
    <row r="15" spans="1:5" ht="15.6">
      <c r="B15" s="3172"/>
      <c r="C15" s="1393" t="s">
        <v>921</v>
      </c>
      <c r="D15" s="806" t="e">
        <f ca="1">结果表!H108</f>
        <v>#REF!</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25767</v>
      </c>
      <c r="C2" s="2" t="s">
        <v>106</v>
      </c>
      <c r="D2" s="191"/>
      <c r="E2" s="191"/>
      <c r="F2" s="191"/>
      <c r="G2" s="191"/>
    </row>
    <row r="3" spans="1:7" s="192" customFormat="1" ht="18" customHeight="1" thickBot="1">
      <c r="A3" s="195" t="s">
        <v>58</v>
      </c>
      <c r="B3" s="196">
        <f ca="1">ROUND(B2*10000/'数据-汇总表'!E3,0)</f>
        <v>1547289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25718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2.9999999999999997E-4</v>
      </c>
      <c r="D44" s="230"/>
      <c r="E44" s="230"/>
      <c r="F44" s="231"/>
      <c r="G44" s="3351"/>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25767</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6" t="s">
        <v>2839</v>
      </c>
      <c r="B1" s="3486"/>
      <c r="C1" s="3486"/>
      <c r="D1" s="3486"/>
      <c r="E1" s="3486"/>
      <c r="F1" s="3486"/>
      <c r="G1" s="348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8" t="s">
        <v>3181</v>
      </c>
      <c r="B1" s="3488"/>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89" t="s">
        <v>3232</v>
      </c>
      <c r="B1" s="3489"/>
      <c r="C1" s="3489"/>
      <c r="D1" s="3489"/>
      <c r="E1" s="3489"/>
      <c r="F1" s="3490"/>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7">
        <f>基准地价修正!G23</f>
        <v>45734</v>
      </c>
      <c r="B1" s="2929" t="s">
        <v>3380</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30"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row>
    <row r="3" spans="1:30" s="2886" customFormat="1" ht="13.2">
      <c r="A3" s="2884" t="s">
        <v>2819</v>
      </c>
      <c r="B3" s="2885"/>
      <c r="D3" s="2886">
        <f>ROUND(AVERAGEIF(D4:D21,"&lt;&gt;0"),2)</f>
        <v>0.38</v>
      </c>
      <c r="E3" s="2886">
        <f t="shared" ref="E3:H3" si="0">ROUND(AVERAGEIF(E4:E21,"&lt;&gt;0"),2)</f>
        <v>0.26</v>
      </c>
      <c r="F3" s="2886">
        <f t="shared" si="0"/>
        <v>-0.01</v>
      </c>
      <c r="G3" s="2886">
        <f t="shared" si="0"/>
        <v>0.41</v>
      </c>
      <c r="H3" s="2886">
        <f t="shared" si="0"/>
        <v>0.52</v>
      </c>
      <c r="I3" s="2886">
        <f>F3</f>
        <v>-0.01</v>
      </c>
      <c r="J3" s="2887"/>
      <c r="K3" s="2888">
        <f>ROUND(AVERAGEIF(K4:K21,"&lt;&gt;0"),4)</f>
        <v>3.8E-3</v>
      </c>
      <c r="L3" s="2889">
        <f t="shared" ref="L3:O3" si="1">ROUND(AVERAGEIF(L4:L21,"&lt;&gt;0"),4)</f>
        <v>2.5999999999999999E-3</v>
      </c>
      <c r="M3" s="2889">
        <f t="shared" si="1"/>
        <v>-1E-4</v>
      </c>
      <c r="N3" s="2889">
        <f t="shared" si="1"/>
        <v>4.1000000000000003E-3</v>
      </c>
      <c r="O3" s="2889">
        <f t="shared" si="1"/>
        <v>5.1999999999999998E-3</v>
      </c>
      <c r="P3" s="2889">
        <f>M3</f>
        <v>-1E-4</v>
      </c>
      <c r="Q3" s="2887"/>
      <c r="R3" s="2890">
        <f>ROUND(SUMPRODUCT(PRODUCT(1+K4:K21)),4)</f>
        <v>1.0613999999999999</v>
      </c>
      <c r="S3" s="2891">
        <f t="shared" ref="S3:V3" si="2">ROUND(SUMPRODUCT(PRODUCT(1+L4:L21)),4)</f>
        <v>1.0415000000000001</v>
      </c>
      <c r="T3" s="2891">
        <f t="shared" si="2"/>
        <v>0.99780000000000002</v>
      </c>
      <c r="U3" s="2891">
        <f t="shared" si="2"/>
        <v>1.0678000000000001</v>
      </c>
      <c r="V3" s="2891">
        <f t="shared" si="2"/>
        <v>1.0866</v>
      </c>
      <c r="W3" s="2890">
        <f>T3</f>
        <v>0.99780000000000002</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3.2">
      <c r="A5" s="2040" t="s">
        <v>3376</v>
      </c>
      <c r="B5" s="2031">
        <v>2025</v>
      </c>
      <c r="C5" s="2042">
        <v>1</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3.2">
      <c r="A6" s="2907" t="s">
        <v>3385</v>
      </c>
      <c r="B6" s="2908">
        <v>2024</v>
      </c>
      <c r="C6" s="2909">
        <v>4</v>
      </c>
      <c r="D6" s="2910">
        <v>-1.02</v>
      </c>
      <c r="E6" s="2910">
        <v>-0.48</v>
      </c>
      <c r="F6" s="2910">
        <v>-0.75</v>
      </c>
      <c r="G6" s="2910">
        <v>-1.05</v>
      </c>
      <c r="H6" s="2911">
        <v>0.08</v>
      </c>
      <c r="I6" s="2912">
        <f t="shared" ref="I6" si="15">F6</f>
        <v>-0.75</v>
      </c>
      <c r="J6" s="2913"/>
      <c r="K6" s="2914">
        <f t="shared" ref="K6" si="16">D6/100</f>
        <v>-1.0200000000000001E-2</v>
      </c>
      <c r="L6" s="2915">
        <f t="shared" ref="L6" si="17">E6/100</f>
        <v>-4.7999999999999996E-3</v>
      </c>
      <c r="M6" s="2915">
        <f t="shared" ref="M6" si="18">F6/100</f>
        <v>-7.4999999999999997E-3</v>
      </c>
      <c r="N6" s="2915">
        <f t="shared" ref="N6" si="19">G6/100</f>
        <v>-1.0500000000000001E-2</v>
      </c>
      <c r="O6" s="2915">
        <f t="shared" ref="O6" si="20">H6/100</f>
        <v>8.0000000000000004E-4</v>
      </c>
      <c r="P6" s="2915">
        <f>M6</f>
        <v>-7.4999999999999997E-3</v>
      </c>
      <c r="Q6" s="2913"/>
      <c r="R6" s="2913">
        <f>ROUND(IF(项目基本情况!$B$8="出让",SUMPRODUCT(PRODUCT(1+K6:$K$21)),SUMPRODUCT(PRODUCT(1+K6:$K$20))),4)</f>
        <v>1.0511999999999999</v>
      </c>
      <c r="S6" s="2913">
        <f>ROUND(IF(项目基本情况!$B$8="出让",SUMPRODUCT(PRODUCT(1+L6:$L$21)),SUMPRODUCT(PRODUCT(1+L6:$L$20))),4)</f>
        <v>1.0398000000000001</v>
      </c>
      <c r="T6" s="2913">
        <f>ROUND(IF(项目基本情况!$B$8="出让",SUMPRODUCT(PRODUCT(1+M6:$M$21)),SUMPRODUCT(PRODUCT(1+M6:$M$20))),4)</f>
        <v>1.0003</v>
      </c>
      <c r="U6" s="2913">
        <f>ROUND(IF(项目基本情况!$B$8="出让",SUMPRODUCT(PRODUCT(1+N6:$N$21)),SUMPRODUCT(PRODUCT(1+N6:$N$20))),4)</f>
        <v>1.0561</v>
      </c>
      <c r="V6" s="2913">
        <f>ROUND(IF(项目基本情况!$B$8="出让",SUMPRODUCT(PRODUCT(1+O6:$O$21)),SUMPRODUCT(PRODUCT(1+O6:$O$20))),4)</f>
        <v>1.0827</v>
      </c>
      <c r="W6" s="2913">
        <f>T6</f>
        <v>1.0003</v>
      </c>
      <c r="X6" s="2913"/>
      <c r="Y6" s="2915">
        <f>IF(D6=0,0,ROUND(AVERAGE(D6:D19)/100,4))</f>
        <v>2.8999999999999998E-3</v>
      </c>
      <c r="Z6" s="2915">
        <f t="shared" ref="Z6" si="21">IF(E6=0,0,ROUND(AVERAGE(E6:E19)/100,4))</f>
        <v>2.3E-3</v>
      </c>
      <c r="AA6" s="2915">
        <f t="shared" ref="AA6" si="22">IF(F6=0,0,ROUND(AVERAGE(F6:F19)/100,4))</f>
        <v>-2.9999999999999997E-4</v>
      </c>
      <c r="AB6" s="2915">
        <f t="shared" ref="AB6" si="23">IF(G6=0,0,ROUND(AVERAGE(G6:G19)/100,4))</f>
        <v>3.3E-3</v>
      </c>
      <c r="AC6" s="2915">
        <f t="shared" ref="AC6" si="24">IF(H6=0,0,ROUND(AVERAGE(H6:H19)/100,4))</f>
        <v>5.0000000000000001E-3</v>
      </c>
      <c r="AD6" s="2915">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6"/>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6"/>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6"/>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5" t="s">
        <v>3377</v>
      </c>
      <c r="B8" s="2031">
        <v>2024</v>
      </c>
      <c r="C8" s="2042">
        <v>2</v>
      </c>
      <c r="D8" s="2007">
        <v>-0.59</v>
      </c>
      <c r="E8" s="2007">
        <v>-0.21</v>
      </c>
      <c r="F8" s="2007">
        <v>-1.38</v>
      </c>
      <c r="G8" s="2007">
        <v>-1.24</v>
      </c>
      <c r="H8" s="2917">
        <v>0.34</v>
      </c>
      <c r="I8" s="2008">
        <f t="shared" ref="I8:I21" si="37">F8</f>
        <v>-1.38</v>
      </c>
      <c r="J8" s="2906"/>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6"/>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6"/>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5" t="s">
        <v>3375</v>
      </c>
      <c r="B9" s="2031">
        <v>2024</v>
      </c>
      <c r="C9" s="2042">
        <v>1</v>
      </c>
      <c r="D9" s="2007">
        <v>0.08</v>
      </c>
      <c r="E9" s="2007">
        <v>0.46</v>
      </c>
      <c r="F9" s="2007">
        <v>-0.16</v>
      </c>
      <c r="G9" s="2007">
        <v>0.26</v>
      </c>
      <c r="H9" s="2917">
        <v>0.59</v>
      </c>
      <c r="I9" s="2008">
        <v>0</v>
      </c>
      <c r="J9" s="2906"/>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6"/>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6"/>
      <c r="Y9" s="2028"/>
      <c r="Z9" s="2028"/>
      <c r="AA9" s="2028"/>
      <c r="AB9" s="2028"/>
      <c r="AC9" s="2028"/>
      <c r="AD9" s="2028"/>
    </row>
    <row r="10" spans="1:30" s="2045" customFormat="1" ht="13.2">
      <c r="A10" s="2905" t="s">
        <v>3371</v>
      </c>
      <c r="B10" s="2031">
        <v>2023</v>
      </c>
      <c r="C10" s="2042">
        <v>4</v>
      </c>
      <c r="D10" s="2007">
        <v>0.19</v>
      </c>
      <c r="E10" s="2007">
        <v>0.24</v>
      </c>
      <c r="F10" s="2007">
        <v>-0.16</v>
      </c>
      <c r="G10" s="2007">
        <v>0.17</v>
      </c>
      <c r="H10" s="2917">
        <v>0.61</v>
      </c>
      <c r="I10" s="2008">
        <f>F10</f>
        <v>-0.16</v>
      </c>
      <c r="J10" s="2906"/>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6"/>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6"/>
      <c r="Y10" s="2028"/>
      <c r="Z10" s="2028"/>
      <c r="AA10" s="2028"/>
      <c r="AB10" s="2028"/>
      <c r="AC10" s="2028"/>
      <c r="AD10" s="2028"/>
    </row>
    <row r="11" spans="1:30" s="2045" customFormat="1" ht="13.2">
      <c r="A11" s="2905" t="s">
        <v>3370</v>
      </c>
      <c r="B11" s="2031">
        <v>2023</v>
      </c>
      <c r="C11" s="2042">
        <v>3</v>
      </c>
      <c r="D11" s="2007">
        <v>0.25</v>
      </c>
      <c r="E11" s="2007">
        <v>0.5</v>
      </c>
      <c r="F11" s="2007">
        <v>0.31</v>
      </c>
      <c r="G11" s="2007">
        <v>0.21</v>
      </c>
      <c r="H11" s="2917">
        <v>0.43</v>
      </c>
      <c r="I11" s="2008">
        <f t="shared" si="37"/>
        <v>0.31</v>
      </c>
      <c r="J11" s="2906"/>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6"/>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6"/>
      <c r="Y11" s="2028"/>
      <c r="Z11" s="2028"/>
      <c r="AA11" s="2028"/>
      <c r="AB11" s="2028"/>
      <c r="AC11" s="2028"/>
      <c r="AD11" s="2028"/>
    </row>
    <row r="12" spans="1:30" s="2045" customFormat="1" ht="13.2">
      <c r="A12" s="2905" t="s">
        <v>3368</v>
      </c>
      <c r="B12" s="2031">
        <v>2023</v>
      </c>
      <c r="C12" s="2042">
        <v>2</v>
      </c>
      <c r="D12" s="2007">
        <v>0.91</v>
      </c>
      <c r="E12" s="2007">
        <v>0.66</v>
      </c>
      <c r="F12" s="2007">
        <v>0.47</v>
      </c>
      <c r="G12" s="2007">
        <v>0.96</v>
      </c>
      <c r="H12" s="2917">
        <v>0.71</v>
      </c>
      <c r="I12" s="2008">
        <f t="shared" si="37"/>
        <v>0.47</v>
      </c>
      <c r="J12" s="2906"/>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6"/>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6"/>
      <c r="Y12" s="2028"/>
      <c r="Z12" s="2028"/>
      <c r="AA12" s="2028"/>
      <c r="AB12" s="2028"/>
      <c r="AC12" s="2028"/>
      <c r="AD12" s="2028"/>
    </row>
    <row r="13" spans="1:30" s="2045" customFormat="1" ht="13.2">
      <c r="A13" s="2905" t="s">
        <v>3367</v>
      </c>
      <c r="B13" s="2031">
        <v>2023</v>
      </c>
      <c r="C13" s="2042">
        <v>1</v>
      </c>
      <c r="D13" s="2007">
        <v>0.89</v>
      </c>
      <c r="E13" s="2007">
        <v>0.74</v>
      </c>
      <c r="F13" s="2007">
        <v>0.56999999999999995</v>
      </c>
      <c r="G13" s="2007">
        <v>0.92</v>
      </c>
      <c r="H13" s="2917">
        <v>0.5</v>
      </c>
      <c r="I13" s="2008">
        <f t="shared" si="37"/>
        <v>0.56999999999999995</v>
      </c>
      <c r="J13" s="2906"/>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6"/>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6"/>
      <c r="Y13" s="2028"/>
      <c r="Z13" s="2028"/>
      <c r="AA13" s="2028"/>
      <c r="AB13" s="2028"/>
      <c r="AC13" s="2028"/>
      <c r="AD13" s="2028"/>
    </row>
    <row r="14" spans="1:30" s="2045" customFormat="1" ht="13.2">
      <c r="A14" s="2905" t="s">
        <v>3366</v>
      </c>
      <c r="B14" s="2031">
        <v>2022</v>
      </c>
      <c r="C14" s="2042">
        <v>4</v>
      </c>
      <c r="D14" s="2007">
        <v>0.62</v>
      </c>
      <c r="E14" s="2007">
        <v>0.2</v>
      </c>
      <c r="F14" s="2007">
        <v>0.11</v>
      </c>
      <c r="G14" s="2007">
        <v>0.69</v>
      </c>
      <c r="H14" s="2917">
        <v>0.53</v>
      </c>
      <c r="I14" s="2008">
        <f t="shared" si="37"/>
        <v>0.11</v>
      </c>
      <c r="J14" s="2906"/>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6"/>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6"/>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5" t="s">
        <v>3364</v>
      </c>
      <c r="B15" s="2031">
        <v>2022</v>
      </c>
      <c r="C15" s="2042">
        <v>3</v>
      </c>
      <c r="D15" s="2007">
        <v>0.66</v>
      </c>
      <c r="E15" s="2007">
        <v>0.32</v>
      </c>
      <c r="F15" s="2007">
        <v>0.23</v>
      </c>
      <c r="G15" s="2007">
        <v>0.72</v>
      </c>
      <c r="H15" s="2917">
        <v>0.63</v>
      </c>
      <c r="I15" s="2008">
        <f t="shared" si="37"/>
        <v>0.23</v>
      </c>
      <c r="J15" s="2906"/>
      <c r="K15" s="2043">
        <f t="shared" si="38"/>
        <v>6.6E-3</v>
      </c>
      <c r="L15" s="2028">
        <f t="shared" si="38"/>
        <v>3.2000000000000002E-3</v>
      </c>
      <c r="M15" s="2028">
        <f t="shared" si="38"/>
        <v>2.3E-3</v>
      </c>
      <c r="N15" s="2028">
        <f t="shared" si="38"/>
        <v>7.1999999999999998E-3</v>
      </c>
      <c r="O15" s="2028">
        <f t="shared" si="38"/>
        <v>6.3E-3</v>
      </c>
      <c r="P15" s="2028">
        <f t="shared" si="58"/>
        <v>2.3E-3</v>
      </c>
      <c r="Q15" s="2906"/>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6"/>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5" t="s">
        <v>3355</v>
      </c>
      <c r="B16" s="2031">
        <v>2022</v>
      </c>
      <c r="C16" s="2042">
        <v>2</v>
      </c>
      <c r="D16" s="2007">
        <v>0.93</v>
      </c>
      <c r="E16" s="2007">
        <v>0.15</v>
      </c>
      <c r="F16" s="2007">
        <v>0.01</v>
      </c>
      <c r="G16" s="2007">
        <v>1.05</v>
      </c>
      <c r="H16" s="2917">
        <v>1.08</v>
      </c>
      <c r="I16" s="2008">
        <f t="shared" si="37"/>
        <v>0.01</v>
      </c>
      <c r="J16" s="2906"/>
      <c r="K16" s="2043">
        <f t="shared" si="38"/>
        <v>9.300000000000001E-3</v>
      </c>
      <c r="L16" s="2028">
        <f t="shared" si="38"/>
        <v>1.5E-3</v>
      </c>
      <c r="M16" s="2028">
        <f t="shared" si="38"/>
        <v>1E-4</v>
      </c>
      <c r="N16" s="2028">
        <f t="shared" si="38"/>
        <v>1.0500000000000001E-2</v>
      </c>
      <c r="O16" s="2028">
        <f t="shared" si="38"/>
        <v>1.0800000000000001E-2</v>
      </c>
      <c r="P16" s="2028">
        <f t="shared" si="58"/>
        <v>1E-4</v>
      </c>
      <c r="Q16" s="2906"/>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6"/>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5" t="s">
        <v>2820</v>
      </c>
      <c r="B17" s="2031">
        <v>2022</v>
      </c>
      <c r="C17" s="2042">
        <v>1</v>
      </c>
      <c r="D17" s="2007">
        <v>0.89</v>
      </c>
      <c r="E17" s="2007">
        <v>0.44</v>
      </c>
      <c r="F17" s="2007">
        <v>0.37</v>
      </c>
      <c r="G17" s="2007">
        <v>0.96</v>
      </c>
      <c r="H17" s="2917">
        <v>0.64</v>
      </c>
      <c r="I17" s="2008">
        <f t="shared" si="37"/>
        <v>0.37</v>
      </c>
      <c r="J17" s="2906"/>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6"/>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6"/>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5" t="s">
        <v>2821</v>
      </c>
      <c r="B18" s="2031">
        <v>2021</v>
      </c>
      <c r="C18" s="2042">
        <v>4</v>
      </c>
      <c r="D18" s="2007">
        <v>1.03</v>
      </c>
      <c r="E18" s="2007">
        <v>0.24</v>
      </c>
      <c r="F18" s="2007">
        <v>7.0000000000000007E-2</v>
      </c>
      <c r="G18" s="2007">
        <v>1.17</v>
      </c>
      <c r="H18" s="2917">
        <v>0.55000000000000004</v>
      </c>
      <c r="I18" s="2008">
        <f t="shared" si="37"/>
        <v>7.0000000000000007E-2</v>
      </c>
      <c r="J18" s="2906"/>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6"/>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6"/>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5" t="s">
        <v>2822</v>
      </c>
      <c r="B19" s="2031">
        <v>2021</v>
      </c>
      <c r="C19" s="2042">
        <v>3</v>
      </c>
      <c r="D19" s="2007">
        <v>0.47</v>
      </c>
      <c r="E19" s="2007">
        <v>0.41</v>
      </c>
      <c r="F19" s="2007">
        <v>0.24</v>
      </c>
      <c r="G19" s="2007">
        <v>0.48</v>
      </c>
      <c r="H19" s="2917">
        <v>0.48</v>
      </c>
      <c r="I19" s="2008">
        <f t="shared" si="37"/>
        <v>0.24</v>
      </c>
      <c r="J19" s="2906"/>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6"/>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6"/>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5" t="s">
        <v>2823</v>
      </c>
      <c r="B20" s="2031">
        <v>2021</v>
      </c>
      <c r="C20" s="2042">
        <v>2</v>
      </c>
      <c r="D20" s="2007">
        <v>0.92</v>
      </c>
      <c r="E20" s="2007">
        <v>0.72</v>
      </c>
      <c r="F20" s="2007">
        <v>0.41</v>
      </c>
      <c r="G20" s="2007">
        <v>0.95</v>
      </c>
      <c r="H20" s="2917">
        <v>1.01</v>
      </c>
      <c r="I20" s="2008">
        <f t="shared" si="37"/>
        <v>0.41</v>
      </c>
      <c r="J20" s="2906"/>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6"/>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6"/>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8" customFormat="1" ht="13.8" thickBot="1">
      <c r="A21" s="2918" t="s">
        <v>2824</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5" thickTop="1"/>
    <row r="23" spans="1:30">
      <c r="A23" s="3143" t="s">
        <v>3383</v>
      </c>
    </row>
    <row r="24" spans="1:30">
      <c r="I24" s="1405" t="s">
        <v>2825</v>
      </c>
    </row>
    <row r="26" spans="1:30" s="2009" customFormat="1" ht="13.2">
      <c r="B26" s="2929" t="s">
        <v>3381</v>
      </c>
      <c r="C26" s="2930"/>
      <c r="D26" s="2930"/>
      <c r="E26" s="2930"/>
      <c r="F26" s="2930"/>
      <c r="G26" s="2930"/>
      <c r="H26" s="2930"/>
      <c r="I26" s="2930"/>
      <c r="J26" s="2896"/>
      <c r="K26" s="2930" t="s">
        <v>2826</v>
      </c>
      <c r="L26" s="2930"/>
      <c r="M26" s="2930"/>
      <c r="N26" s="2930"/>
      <c r="O26" s="2930"/>
      <c r="P26" s="2930"/>
      <c r="Q26" s="2896"/>
      <c r="R26" s="3491" t="s">
        <v>2827</v>
      </c>
      <c r="S26" s="3492"/>
      <c r="T26" s="3492"/>
      <c r="U26" s="3492"/>
      <c r="V26" s="3492"/>
      <c r="W26" s="3492"/>
      <c r="X26" s="2896"/>
      <c r="Y26" s="3491" t="s">
        <v>2828</v>
      </c>
      <c r="Z26" s="3492"/>
      <c r="AA26" s="3492"/>
      <c r="AB26" s="3492"/>
      <c r="AC26" s="3492"/>
      <c r="AD26" s="3492"/>
    </row>
    <row r="27" spans="1:30" s="2010" customFormat="1" ht="15" thickBot="1">
      <c r="B27" s="2881"/>
      <c r="C27" s="2882"/>
      <c r="D27" s="2011" t="s">
        <v>2829</v>
      </c>
      <c r="E27" s="2012" t="s">
        <v>2830</v>
      </c>
      <c r="F27" s="2012" t="s">
        <v>2831</v>
      </c>
      <c r="G27" s="2012" t="s">
        <v>2832</v>
      </c>
      <c r="H27" s="2012"/>
      <c r="I27" s="2012" t="s">
        <v>2833</v>
      </c>
      <c r="J27" s="2883"/>
      <c r="K27" s="2011" t="s">
        <v>2829</v>
      </c>
      <c r="L27" s="2012" t="s">
        <v>2830</v>
      </c>
      <c r="M27" s="2012" t="s">
        <v>2831</v>
      </c>
      <c r="N27" s="2012" t="s">
        <v>2832</v>
      </c>
      <c r="O27" s="2012"/>
      <c r="P27" s="2012" t="s">
        <v>2833</v>
      </c>
      <c r="Q27" s="2883"/>
      <c r="R27" s="2011" t="s">
        <v>2829</v>
      </c>
      <c r="S27" s="2012" t="s">
        <v>2830</v>
      </c>
      <c r="T27" s="2012" t="s">
        <v>2831</v>
      </c>
      <c r="U27" s="2012" t="s">
        <v>2832</v>
      </c>
      <c r="V27" s="2012"/>
      <c r="W27" s="2012" t="s">
        <v>2833</v>
      </c>
      <c r="X27" s="2883"/>
      <c r="Y27" s="2011" t="s">
        <v>2829</v>
      </c>
      <c r="Z27" s="2012" t="s">
        <v>2830</v>
      </c>
      <c r="AA27" s="2012" t="s">
        <v>2831</v>
      </c>
      <c r="AB27" s="2012" t="s">
        <v>2832</v>
      </c>
      <c r="AC27" s="2012"/>
      <c r="AD27" s="2012" t="s">
        <v>2833</v>
      </c>
    </row>
    <row r="28" spans="1:30" s="2886" customFormat="1" ht="13.2">
      <c r="A28" s="2884" t="s">
        <v>2834</v>
      </c>
      <c r="B28" s="2885"/>
      <c r="E28" s="2886">
        <f t="shared" ref="E28:G28" si="65">ROUND(AVERAGEIF(E29:E46,"&lt;&gt;0"),2)</f>
        <v>0.21</v>
      </c>
      <c r="F28" s="2886">
        <f t="shared" si="65"/>
        <v>0.14000000000000001</v>
      </c>
      <c r="G28" s="2886">
        <f t="shared" si="65"/>
        <v>0.3</v>
      </c>
      <c r="I28" s="2886">
        <f>F28</f>
        <v>0.14000000000000001</v>
      </c>
      <c r="J28" s="2887"/>
      <c r="K28" s="2888"/>
      <c r="L28" s="2889">
        <f t="shared" ref="L28:N28" si="66">ROUND(AVERAGEIF(L29:L46,"&lt;&gt;0"),4)</f>
        <v>2.0999999999999999E-3</v>
      </c>
      <c r="M28" s="2889">
        <f t="shared" si="66"/>
        <v>1.4E-3</v>
      </c>
      <c r="N28" s="2889">
        <f t="shared" si="66"/>
        <v>3.0000000000000001E-3</v>
      </c>
      <c r="O28" s="2889"/>
      <c r="P28" s="2889">
        <f>M28</f>
        <v>1.4E-3</v>
      </c>
      <c r="Q28" s="2887"/>
      <c r="R28" s="2890"/>
      <c r="S28" s="2891">
        <f>ROUND(SUMPRODUCT(PRODUCT(1+L29:L46)),4)</f>
        <v>1.0337000000000001</v>
      </c>
      <c r="T28" s="2891">
        <f t="shared" ref="T28:U28" si="67">ROUND(SUMPRODUCT(PRODUCT(1+M29:M46)),4)</f>
        <v>1.022</v>
      </c>
      <c r="U28" s="2891">
        <f t="shared" si="67"/>
        <v>1.0489999999999999</v>
      </c>
      <c r="V28" s="2891"/>
      <c r="W28" s="2890">
        <f>T28</f>
        <v>1.022</v>
      </c>
      <c r="X28" s="2887"/>
      <c r="Y28" s="2892"/>
      <c r="Z28" s="2893">
        <f t="shared" ref="Z28:AB28" si="68">ROUND(AVERAGEIF(Z29:Z46,"&lt;&gt;0"),4)</f>
        <v>3.8E-3</v>
      </c>
      <c r="AA28" s="2894">
        <f t="shared" si="68"/>
        <v>3.0000000000000001E-3</v>
      </c>
      <c r="AB28" s="2892">
        <f t="shared" si="68"/>
        <v>7.4999999999999997E-3</v>
      </c>
      <c r="AC28" s="2895"/>
      <c r="AD28" s="2892">
        <f>AA28</f>
        <v>3.0000000000000001E-3</v>
      </c>
    </row>
    <row r="29" spans="1:30" s="2009" customFormat="1" ht="13.2">
      <c r="B29" s="2025"/>
      <c r="J29" s="2896"/>
      <c r="K29" s="2897"/>
      <c r="L29" s="2898"/>
      <c r="M29" s="2898"/>
      <c r="N29" s="2898"/>
      <c r="O29" s="2898"/>
      <c r="P29" s="2898"/>
      <c r="Q29" s="2896"/>
      <c r="R29" s="2027"/>
      <c r="S29" s="2899"/>
      <c r="T29" s="2900"/>
      <c r="U29" s="2027"/>
      <c r="V29" s="2901"/>
      <c r="W29" s="2027"/>
      <c r="X29" s="2896"/>
      <c r="Y29" s="2028"/>
      <c r="Z29" s="2902"/>
      <c r="AA29" s="2903"/>
      <c r="AB29" s="2028"/>
      <c r="AC29" s="2904"/>
      <c r="AD29" s="2028"/>
    </row>
    <row r="30" spans="1:30" s="2045" customFormat="1" ht="13.2">
      <c r="A30" s="2040" t="s">
        <v>3376</v>
      </c>
      <c r="B30" s="2031">
        <v>2025</v>
      </c>
      <c r="C30" s="2042">
        <v>1</v>
      </c>
      <c r="D30" s="2007"/>
      <c r="E30" s="2007">
        <v>0</v>
      </c>
      <c r="F30" s="2007">
        <v>0</v>
      </c>
      <c r="G30" s="2007">
        <v>0</v>
      </c>
      <c r="H30" s="2007"/>
      <c r="I30" s="2008">
        <f t="shared" ref="I30" si="69">F30</f>
        <v>0</v>
      </c>
      <c r="J30" s="2906"/>
      <c r="K30" s="2043"/>
      <c r="L30" s="2028">
        <f t="shared" ref="L30" si="70">E30/100</f>
        <v>0</v>
      </c>
      <c r="M30" s="2028">
        <f t="shared" ref="M30" si="71">F30/100</f>
        <v>0</v>
      </c>
      <c r="N30" s="2028">
        <f t="shared" ref="N30" si="72">G30/100</f>
        <v>0</v>
      </c>
      <c r="O30" s="2028"/>
      <c r="P30" s="2028">
        <f>M30</f>
        <v>0</v>
      </c>
      <c r="Q30" s="2906"/>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6"/>
      <c r="Y30" s="2028"/>
      <c r="Z30" s="2902">
        <f t="shared" ref="Z30" si="73">IF(E30=0,0,ROUND(AVERAGE(E30:E43)/100,4))</f>
        <v>0</v>
      </c>
      <c r="AA30" s="2902">
        <f t="shared" ref="AA30" si="74">IF(F30=0,0,ROUND(AVERAGE(F30:F43)/100,4))</f>
        <v>0</v>
      </c>
      <c r="AB30" s="2902">
        <f t="shared" ref="AB30" si="75">IF(G30=0,0,ROUND(AVERAGE(G30:G43)/100,4))</f>
        <v>0</v>
      </c>
      <c r="AC30" s="2904"/>
      <c r="AD30" s="2028">
        <f>IF(I30=0,0,ROUND(AVERAGE(I30:I43)/100,4))</f>
        <v>0</v>
      </c>
    </row>
    <row r="31" spans="1:30" s="2916" customFormat="1" ht="13.2">
      <c r="A31" s="2907" t="s">
        <v>3378</v>
      </c>
      <c r="B31" s="2908">
        <v>2024</v>
      </c>
      <c r="C31" s="2909">
        <v>4</v>
      </c>
      <c r="D31" s="2910"/>
      <c r="E31" s="2910">
        <v>-0.61</v>
      </c>
      <c r="F31" s="2910">
        <v>-0.71</v>
      </c>
      <c r="G31" s="2910">
        <v>-0.88</v>
      </c>
      <c r="H31" s="2911"/>
      <c r="I31" s="2912">
        <f t="shared" ref="I31" si="76">F31</f>
        <v>-0.71</v>
      </c>
      <c r="J31" s="2913"/>
      <c r="K31" s="2914"/>
      <c r="L31" s="2915">
        <f t="shared" ref="L31" si="77">E31/100</f>
        <v>-6.0999999999999995E-3</v>
      </c>
      <c r="M31" s="2915">
        <f t="shared" ref="M31" si="78">F31/100</f>
        <v>-7.0999999999999995E-3</v>
      </c>
      <c r="N31" s="2915">
        <f t="shared" ref="N31" si="79">G31/100</f>
        <v>-8.8000000000000005E-3</v>
      </c>
      <c r="O31" s="2915"/>
      <c r="P31" s="2915">
        <f>M31</f>
        <v>-7.0999999999999995E-3</v>
      </c>
      <c r="Q31" s="2913"/>
      <c r="R31" s="2913"/>
      <c r="S31" s="2913">
        <f>ROUND(IF(项目基本情况!$B$8="出让",SUMPRODUCT(PRODUCT(1+L31:L$46)),SUMPRODUCT(PRODUCT(1+L31:L$45))),4)</f>
        <v>1.0301</v>
      </c>
      <c r="T31" s="2913">
        <f>ROUND(IF(项目基本情况!$B$8="出让",SUMPRODUCT(PRODUCT(1+M31:M$46)),SUMPRODUCT(PRODUCT(1+M31:M$45))),4)</f>
        <v>1.0170999999999999</v>
      </c>
      <c r="U31" s="2913">
        <f>ROUND(IF(项目基本情况!$B$8="出让",SUMPRODUCT(PRODUCT(1+N31:N$46)),SUMPRODUCT(PRODUCT(1+N31:N$45))),4)</f>
        <v>1.0387999999999999</v>
      </c>
      <c r="V31" s="2913"/>
      <c r="W31" s="2913">
        <f>T31</f>
        <v>1.0170999999999999</v>
      </c>
      <c r="X31" s="2913"/>
      <c r="Y31" s="2915"/>
      <c r="Z31" s="2931">
        <f t="shared" ref="Z31" si="80">IF(E31=0,0,ROUND(AVERAGE(E31:E44)/100,4))</f>
        <v>1.6999999999999999E-3</v>
      </c>
      <c r="AA31" s="2932">
        <f t="shared" ref="AA31" si="81">IF(F31=0,0,ROUND(AVERAGE(F31:F44)/100,4))</f>
        <v>8.9999999999999998E-4</v>
      </c>
      <c r="AB31" s="2915">
        <f t="shared" ref="AB31" si="82">IF(G31=0,0,ROUND(AVERAGE(G31:G44)/100,4))</f>
        <v>2E-3</v>
      </c>
      <c r="AC31" s="2933"/>
      <c r="AD31" s="2915">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6"/>
      <c r="K32" s="2043"/>
      <c r="L32" s="2028">
        <f t="shared" ref="L32" si="84">E32/100</f>
        <v>-6.6E-3</v>
      </c>
      <c r="M32" s="2028">
        <f t="shared" ref="M32" si="85">F32/100</f>
        <v>-5.1999999999999998E-3</v>
      </c>
      <c r="N32" s="2028">
        <f t="shared" ref="N32" si="86">G32/100</f>
        <v>-2.87E-2</v>
      </c>
      <c r="O32" s="2028"/>
      <c r="P32" s="2028">
        <f>M32</f>
        <v>-5.1999999999999998E-3</v>
      </c>
      <c r="Q32" s="2906"/>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6"/>
      <c r="Y32" s="2028"/>
      <c r="Z32" s="2902">
        <f t="shared" ref="Z32:AB33" si="87">IF(E32=0,0,ROUND(AVERAGE(E32:E45)/100,4))</f>
        <v>2.5999999999999999E-3</v>
      </c>
      <c r="AA32" s="2902">
        <f t="shared" si="87"/>
        <v>1.6999999999999999E-3</v>
      </c>
      <c r="AB32" s="2902">
        <f t="shared" si="87"/>
        <v>3.3999999999999998E-3</v>
      </c>
      <c r="AC32" s="2904"/>
      <c r="AD32" s="2028">
        <f>IF(I32=0,0,ROUND(AVERAGE(I32:I45)/100,4))</f>
        <v>1.6999999999999999E-3</v>
      </c>
    </row>
    <row r="33" spans="1:30" s="2045" customFormat="1" ht="13.2">
      <c r="A33" s="2905" t="s">
        <v>3379</v>
      </c>
      <c r="B33" s="2031">
        <v>2024</v>
      </c>
      <c r="C33" s="2042">
        <v>2</v>
      </c>
      <c r="D33" s="2007"/>
      <c r="E33" s="2007">
        <v>-0.31</v>
      </c>
      <c r="F33" s="2007">
        <v>-0.39</v>
      </c>
      <c r="G33" s="2007">
        <v>1.23</v>
      </c>
      <c r="H33" s="2917"/>
      <c r="I33" s="2008">
        <f t="shared" ref="I33:I46" si="88">F33</f>
        <v>-0.39</v>
      </c>
      <c r="J33" s="2906"/>
      <c r="K33" s="2043"/>
      <c r="L33" s="2028">
        <f t="shared" ref="L33:N46" si="89">E33/100</f>
        <v>-3.0999999999999999E-3</v>
      </c>
      <c r="M33" s="2028">
        <f t="shared" si="89"/>
        <v>-3.9000000000000003E-3</v>
      </c>
      <c r="N33" s="2028">
        <f t="shared" si="89"/>
        <v>1.23E-2</v>
      </c>
      <c r="O33" s="2028"/>
      <c r="P33" s="2028">
        <f>M33</f>
        <v>-3.9000000000000003E-3</v>
      </c>
      <c r="Q33" s="2906"/>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6"/>
      <c r="Y33" s="2028"/>
      <c r="Z33" s="2902">
        <f t="shared" si="87"/>
        <v>3.3E-3</v>
      </c>
      <c r="AA33" s="2903">
        <f t="shared" si="87"/>
        <v>2.3999999999999998E-3</v>
      </c>
      <c r="AB33" s="2028">
        <f t="shared" si="87"/>
        <v>6.1999999999999998E-3</v>
      </c>
      <c r="AC33" s="2904"/>
      <c r="AD33" s="2028">
        <f>IF(I33=0,0,ROUND(AVERAGE(I33:I46)/100,4))</f>
        <v>2.3999999999999998E-3</v>
      </c>
    </row>
    <row r="34" spans="1:30" s="2045" customFormat="1" ht="13.2">
      <c r="A34" s="2905" t="s">
        <v>3374</v>
      </c>
      <c r="B34" s="2031">
        <v>2024</v>
      </c>
      <c r="C34" s="2042">
        <v>1</v>
      </c>
      <c r="D34" s="2007"/>
      <c r="E34" s="2007">
        <v>0.25</v>
      </c>
      <c r="F34" s="2007">
        <v>0.4</v>
      </c>
      <c r="G34" s="2007">
        <v>-0.63</v>
      </c>
      <c r="H34" s="2917"/>
      <c r="I34" s="2008">
        <f t="shared" ref="I34:I35" si="90">F34</f>
        <v>0.4</v>
      </c>
      <c r="J34" s="2906"/>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6"/>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6"/>
      <c r="Y34" s="2028"/>
      <c r="Z34" s="2902"/>
      <c r="AA34" s="2903"/>
      <c r="AB34" s="2028"/>
      <c r="AC34" s="2904"/>
      <c r="AD34" s="2028"/>
    </row>
    <row r="35" spans="1:30" s="2045" customFormat="1" ht="13.2">
      <c r="A35" s="2905" t="s">
        <v>3372</v>
      </c>
      <c r="B35" s="2031">
        <v>2023</v>
      </c>
      <c r="C35" s="2042">
        <v>4</v>
      </c>
      <c r="D35" s="2007"/>
      <c r="E35" s="2007">
        <v>7.0000000000000007E-2</v>
      </c>
      <c r="F35" s="2007">
        <v>0.09</v>
      </c>
      <c r="G35" s="2007">
        <v>0.03</v>
      </c>
      <c r="H35" s="2917"/>
      <c r="I35" s="2008">
        <f t="shared" si="90"/>
        <v>0.09</v>
      </c>
      <c r="J35" s="2906"/>
      <c r="K35" s="2043"/>
      <c r="L35" s="2028">
        <f t="shared" si="89"/>
        <v>7.000000000000001E-4</v>
      </c>
      <c r="M35" s="2028">
        <f t="shared" si="89"/>
        <v>8.9999999999999998E-4</v>
      </c>
      <c r="N35" s="2028">
        <f t="shared" si="89"/>
        <v>2.9999999999999997E-4</v>
      </c>
      <c r="O35" s="2028"/>
      <c r="P35" s="2028">
        <f t="shared" ref="P35" si="96">M35</f>
        <v>8.9999999999999998E-4</v>
      </c>
      <c r="Q35" s="2906"/>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6"/>
      <c r="Y35" s="2028"/>
      <c r="Z35" s="2902"/>
      <c r="AA35" s="2903"/>
      <c r="AB35" s="2028"/>
      <c r="AC35" s="2904"/>
      <c r="AD35" s="2028"/>
    </row>
    <row r="36" spans="1:30" s="2045" customFormat="1" ht="13.2">
      <c r="A36" s="2905" t="s">
        <v>3370</v>
      </c>
      <c r="B36" s="2031">
        <v>2023</v>
      </c>
      <c r="C36" s="2042">
        <v>3</v>
      </c>
      <c r="D36" s="2007"/>
      <c r="E36" s="2007">
        <v>0.35</v>
      </c>
      <c r="F36" s="2007">
        <v>0.17</v>
      </c>
      <c r="G36" s="2007">
        <v>0.52</v>
      </c>
      <c r="H36" s="2917"/>
      <c r="I36" s="2008">
        <f t="shared" si="88"/>
        <v>0.17</v>
      </c>
      <c r="J36" s="2906"/>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6"/>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6"/>
      <c r="Y36" s="2028"/>
      <c r="Z36" s="2902"/>
      <c r="AA36" s="2903"/>
      <c r="AB36" s="2028"/>
      <c r="AC36" s="2904"/>
      <c r="AD36" s="2028"/>
    </row>
    <row r="37" spans="1:30" s="2045" customFormat="1" ht="13.2">
      <c r="A37" s="2905" t="s">
        <v>3369</v>
      </c>
      <c r="B37" s="2031">
        <v>2023</v>
      </c>
      <c r="C37" s="2042">
        <v>2</v>
      </c>
      <c r="D37" s="2007"/>
      <c r="E37" s="2007">
        <v>0.5</v>
      </c>
      <c r="F37" s="2007">
        <v>0.45</v>
      </c>
      <c r="G37" s="2007">
        <v>0.89</v>
      </c>
      <c r="H37" s="2917"/>
      <c r="I37" s="2008">
        <f t="shared" si="88"/>
        <v>0.45</v>
      </c>
      <c r="J37" s="2906"/>
      <c r="K37" s="2043"/>
      <c r="L37" s="2028">
        <f t="shared" si="98"/>
        <v>5.0000000000000001E-3</v>
      </c>
      <c r="M37" s="2028">
        <f t="shared" si="99"/>
        <v>4.5000000000000005E-3</v>
      </c>
      <c r="N37" s="2028">
        <f t="shared" si="100"/>
        <v>8.8999999999999999E-3</v>
      </c>
      <c r="O37" s="2028"/>
      <c r="P37" s="2028">
        <f t="shared" si="101"/>
        <v>4.5000000000000005E-3</v>
      </c>
      <c r="Q37" s="2906"/>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6"/>
      <c r="Y37" s="2028"/>
      <c r="Z37" s="2902"/>
      <c r="AA37" s="2903"/>
      <c r="AB37" s="2028"/>
      <c r="AC37" s="2904"/>
      <c r="AD37" s="2028"/>
    </row>
    <row r="38" spans="1:30" s="2045" customFormat="1" ht="13.2">
      <c r="A38" s="2905" t="s">
        <v>3367</v>
      </c>
      <c r="B38" s="2031">
        <v>2023</v>
      </c>
      <c r="C38" s="2042">
        <v>1</v>
      </c>
      <c r="D38" s="2007"/>
      <c r="E38" s="2007">
        <v>0.55000000000000004</v>
      </c>
      <c r="F38" s="2007">
        <v>0.59</v>
      </c>
      <c r="G38" s="2007">
        <v>0.64</v>
      </c>
      <c r="H38" s="2917"/>
      <c r="I38" s="2008">
        <f t="shared" si="88"/>
        <v>0.59</v>
      </c>
      <c r="J38" s="2906"/>
      <c r="K38" s="2043"/>
      <c r="L38" s="2028">
        <f t="shared" si="98"/>
        <v>5.5000000000000005E-3</v>
      </c>
      <c r="M38" s="2028">
        <f t="shared" si="99"/>
        <v>5.8999999999999999E-3</v>
      </c>
      <c r="N38" s="2028">
        <f t="shared" si="100"/>
        <v>6.4000000000000003E-3</v>
      </c>
      <c r="O38" s="2028"/>
      <c r="P38" s="2028">
        <f t="shared" si="101"/>
        <v>5.8999999999999999E-3</v>
      </c>
      <c r="Q38" s="2906"/>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6"/>
      <c r="Y38" s="2028"/>
      <c r="Z38" s="2902"/>
      <c r="AA38" s="2903"/>
      <c r="AB38" s="2028"/>
      <c r="AC38" s="2904"/>
      <c r="AD38" s="2028"/>
    </row>
    <row r="39" spans="1:30" s="2045" customFormat="1" ht="13.2">
      <c r="A39" s="2905" t="s">
        <v>3366</v>
      </c>
      <c r="B39" s="2031">
        <v>2022</v>
      </c>
      <c r="C39" s="2042">
        <v>4</v>
      </c>
      <c r="D39" s="2007"/>
      <c r="E39" s="2007">
        <v>0.45</v>
      </c>
      <c r="F39" s="2007">
        <v>0.2</v>
      </c>
      <c r="G39" s="2007">
        <v>0.38</v>
      </c>
      <c r="H39" s="2917"/>
      <c r="I39" s="2008">
        <f t="shared" si="88"/>
        <v>0.2</v>
      </c>
      <c r="J39" s="2906"/>
      <c r="K39" s="2043"/>
      <c r="L39" s="2028">
        <f t="shared" si="89"/>
        <v>4.5000000000000005E-3</v>
      </c>
      <c r="M39" s="2028">
        <f t="shared" si="89"/>
        <v>2E-3</v>
      </c>
      <c r="N39" s="2028">
        <f t="shared" si="89"/>
        <v>3.8E-3</v>
      </c>
      <c r="O39" s="2028"/>
      <c r="P39" s="2028">
        <f t="shared" ref="P39:P46" si="103">M39</f>
        <v>2E-3</v>
      </c>
      <c r="Q39" s="2906"/>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6"/>
      <c r="Y39" s="2028"/>
      <c r="Z39" s="2902">
        <f t="shared" ref="Z39:AD46" si="105">IF(E39=0,0,ROUND(AVERAGE(E39:E47)/100,4))</f>
        <v>4.0000000000000001E-3</v>
      </c>
      <c r="AA39" s="2903">
        <f t="shared" si="105"/>
        <v>2.5999999999999999E-3</v>
      </c>
      <c r="AB39" s="2028">
        <f t="shared" si="105"/>
        <v>7.4000000000000003E-3</v>
      </c>
      <c r="AC39" s="2904"/>
      <c r="AD39" s="2028">
        <f t="shared" si="105"/>
        <v>2.5999999999999999E-3</v>
      </c>
    </row>
    <row r="40" spans="1:30" s="2045" customFormat="1" ht="13.2">
      <c r="A40" s="2905" t="s">
        <v>3365</v>
      </c>
      <c r="B40" s="2031">
        <v>2022</v>
      </c>
      <c r="C40" s="2042">
        <v>3</v>
      </c>
      <c r="D40" s="2007"/>
      <c r="E40" s="2007">
        <v>0.3</v>
      </c>
      <c r="F40" s="2007">
        <v>0.28999999999999998</v>
      </c>
      <c r="G40" s="2007">
        <v>0.83</v>
      </c>
      <c r="H40" s="2917"/>
      <c r="I40" s="2008">
        <f t="shared" si="88"/>
        <v>0.28999999999999998</v>
      </c>
      <c r="J40" s="2906"/>
      <c r="K40" s="2043"/>
      <c r="L40" s="2028">
        <f t="shared" si="89"/>
        <v>3.0000000000000001E-3</v>
      </c>
      <c r="M40" s="2028">
        <f t="shared" si="89"/>
        <v>2.8999999999999998E-3</v>
      </c>
      <c r="N40" s="2028">
        <f t="shared" si="89"/>
        <v>8.3000000000000001E-3</v>
      </c>
      <c r="O40" s="2028"/>
      <c r="P40" s="2028">
        <f t="shared" si="103"/>
        <v>2.8999999999999998E-3</v>
      </c>
      <c r="Q40" s="2906"/>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6"/>
      <c r="Y40" s="2028"/>
      <c r="Z40" s="2902">
        <f t="shared" si="105"/>
        <v>3.8999999999999998E-3</v>
      </c>
      <c r="AA40" s="2903">
        <f t="shared" si="105"/>
        <v>2.7000000000000001E-3</v>
      </c>
      <c r="AB40" s="2028">
        <f t="shared" si="105"/>
        <v>7.9000000000000008E-3</v>
      </c>
      <c r="AC40" s="2904"/>
      <c r="AD40" s="2028">
        <f t="shared" si="105"/>
        <v>2.7000000000000001E-3</v>
      </c>
    </row>
    <row r="41" spans="1:30" s="2045" customFormat="1" ht="13.2">
      <c r="A41" s="2905" t="s">
        <v>3355</v>
      </c>
      <c r="B41" s="2031">
        <v>2022</v>
      </c>
      <c r="C41" s="2042">
        <v>2</v>
      </c>
      <c r="D41" s="2007"/>
      <c r="E41" s="2007">
        <v>-0.11</v>
      </c>
      <c r="F41" s="2007">
        <v>-0.13</v>
      </c>
      <c r="G41" s="2007">
        <v>0.53</v>
      </c>
      <c r="H41" s="2917"/>
      <c r="I41" s="2008">
        <f t="shared" si="88"/>
        <v>-0.13</v>
      </c>
      <c r="J41" s="2906"/>
      <c r="K41" s="2043"/>
      <c r="L41" s="2028">
        <f t="shared" si="89"/>
        <v>-1.1000000000000001E-3</v>
      </c>
      <c r="M41" s="2028">
        <f t="shared" si="89"/>
        <v>-1.2999999999999999E-3</v>
      </c>
      <c r="N41" s="2028">
        <f t="shared" si="89"/>
        <v>5.3E-3</v>
      </c>
      <c r="O41" s="2028"/>
      <c r="P41" s="2028">
        <f t="shared" si="103"/>
        <v>-1.2999999999999999E-3</v>
      </c>
      <c r="Q41" s="2906"/>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6"/>
      <c r="Y41" s="2028"/>
      <c r="Z41" s="2902">
        <f t="shared" si="105"/>
        <v>4.1000000000000003E-3</v>
      </c>
      <c r="AA41" s="2903">
        <f t="shared" si="105"/>
        <v>2.7000000000000001E-3</v>
      </c>
      <c r="AB41" s="2028">
        <f t="shared" si="105"/>
        <v>7.9000000000000008E-3</v>
      </c>
      <c r="AC41" s="2904"/>
      <c r="AD41" s="2028">
        <f t="shared" si="105"/>
        <v>2.7000000000000001E-3</v>
      </c>
    </row>
    <row r="42" spans="1:30" s="2045" customFormat="1" ht="13.2">
      <c r="A42" s="2905" t="s">
        <v>2835</v>
      </c>
      <c r="B42" s="2031">
        <v>2022</v>
      </c>
      <c r="C42" s="2042">
        <v>1</v>
      </c>
      <c r="D42" s="2007"/>
      <c r="E42" s="2007">
        <v>0.6</v>
      </c>
      <c r="F42" s="2007">
        <v>0.45</v>
      </c>
      <c r="G42" s="2007">
        <v>0.53</v>
      </c>
      <c r="H42" s="2917"/>
      <c r="I42" s="2008">
        <f t="shared" si="88"/>
        <v>0.45</v>
      </c>
      <c r="J42" s="2906"/>
      <c r="K42" s="2043"/>
      <c r="L42" s="2028">
        <f t="shared" si="89"/>
        <v>6.0000000000000001E-3</v>
      </c>
      <c r="M42" s="2028">
        <f t="shared" si="89"/>
        <v>4.5000000000000005E-3</v>
      </c>
      <c r="N42" s="2028">
        <f t="shared" si="89"/>
        <v>5.3E-3</v>
      </c>
      <c r="O42" s="2028"/>
      <c r="P42" s="2028">
        <f t="shared" si="103"/>
        <v>4.5000000000000005E-3</v>
      </c>
      <c r="Q42" s="2906"/>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6"/>
      <c r="Y42" s="2028"/>
      <c r="Z42" s="2902">
        <f t="shared" si="105"/>
        <v>5.1000000000000004E-3</v>
      </c>
      <c r="AA42" s="2903">
        <f t="shared" si="105"/>
        <v>3.5000000000000001E-3</v>
      </c>
      <c r="AB42" s="2028">
        <f t="shared" si="105"/>
        <v>8.3999999999999995E-3</v>
      </c>
      <c r="AC42" s="2904"/>
      <c r="AD42" s="2028">
        <f t="shared" si="105"/>
        <v>3.5000000000000001E-3</v>
      </c>
    </row>
    <row r="43" spans="1:30" s="2045" customFormat="1" ht="13.2">
      <c r="A43" s="2905" t="s">
        <v>2836</v>
      </c>
      <c r="B43" s="2031">
        <v>2021</v>
      </c>
      <c r="C43" s="2042">
        <v>4</v>
      </c>
      <c r="D43" s="2007"/>
      <c r="E43" s="2007">
        <v>0.57999999999999996</v>
      </c>
      <c r="F43" s="2007">
        <v>0.08</v>
      </c>
      <c r="G43" s="2007">
        <v>0.68</v>
      </c>
      <c r="H43" s="2917"/>
      <c r="I43" s="2008">
        <f t="shared" si="88"/>
        <v>0.08</v>
      </c>
      <c r="J43" s="2906"/>
      <c r="K43" s="2043"/>
      <c r="L43" s="2028">
        <f t="shared" si="89"/>
        <v>5.7999999999999996E-3</v>
      </c>
      <c r="M43" s="2028">
        <f t="shared" si="89"/>
        <v>8.0000000000000004E-4</v>
      </c>
      <c r="N43" s="2028">
        <f t="shared" si="89"/>
        <v>6.8000000000000005E-3</v>
      </c>
      <c r="O43" s="2028"/>
      <c r="P43" s="2028">
        <f t="shared" si="103"/>
        <v>8.0000000000000004E-4</v>
      </c>
      <c r="Q43" s="2906"/>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6"/>
      <c r="Y43" s="2028"/>
      <c r="Z43" s="2902">
        <f t="shared" si="105"/>
        <v>4.8999999999999998E-3</v>
      </c>
      <c r="AA43" s="2903">
        <f t="shared" si="105"/>
        <v>3.3E-3</v>
      </c>
      <c r="AB43" s="2028">
        <f t="shared" si="105"/>
        <v>9.1999999999999998E-3</v>
      </c>
      <c r="AC43" s="2904"/>
      <c r="AD43" s="2028">
        <f t="shared" si="105"/>
        <v>3.3E-3</v>
      </c>
    </row>
    <row r="44" spans="1:30" s="2045" customFormat="1" ht="13.2">
      <c r="A44" s="2905" t="s">
        <v>2837</v>
      </c>
      <c r="B44" s="2031">
        <v>2021</v>
      </c>
      <c r="C44" s="2042">
        <v>3</v>
      </c>
      <c r="D44" s="2007"/>
      <c r="E44" s="2007">
        <v>0.47</v>
      </c>
      <c r="F44" s="2007">
        <v>0.28000000000000003</v>
      </c>
      <c r="G44" s="2007">
        <v>0.91</v>
      </c>
      <c r="H44" s="2917"/>
      <c r="I44" s="2008">
        <f t="shared" si="88"/>
        <v>0.28000000000000003</v>
      </c>
      <c r="J44" s="2906"/>
      <c r="K44" s="2043"/>
      <c r="L44" s="2028">
        <f t="shared" si="89"/>
        <v>4.6999999999999993E-3</v>
      </c>
      <c r="M44" s="2028">
        <f t="shared" si="89"/>
        <v>2.8000000000000004E-3</v>
      </c>
      <c r="N44" s="2028">
        <f t="shared" si="89"/>
        <v>9.1000000000000004E-3</v>
      </c>
      <c r="O44" s="2028"/>
      <c r="P44" s="2028">
        <f t="shared" si="103"/>
        <v>2.8000000000000004E-3</v>
      </c>
      <c r="Q44" s="2906"/>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6"/>
      <c r="Y44" s="2028"/>
      <c r="Z44" s="2902">
        <f t="shared" si="105"/>
        <v>4.5999999999999999E-3</v>
      </c>
      <c r="AA44" s="2903">
        <f t="shared" si="105"/>
        <v>4.1000000000000003E-3</v>
      </c>
      <c r="AB44" s="2028">
        <f t="shared" si="105"/>
        <v>0.01</v>
      </c>
      <c r="AC44" s="2904"/>
      <c r="AD44" s="2028">
        <f t="shared" si="105"/>
        <v>4.1000000000000003E-3</v>
      </c>
    </row>
    <row r="45" spans="1:30" s="2045" customFormat="1" ht="13.2">
      <c r="A45" s="2905" t="s">
        <v>2838</v>
      </c>
      <c r="B45" s="2031">
        <v>2021</v>
      </c>
      <c r="C45" s="2042">
        <v>2</v>
      </c>
      <c r="D45" s="2007"/>
      <c r="E45" s="2007">
        <v>0.55000000000000004</v>
      </c>
      <c r="F45" s="2007">
        <v>0.46</v>
      </c>
      <c r="G45" s="2007">
        <v>1.1000000000000001</v>
      </c>
      <c r="H45" s="2917"/>
      <c r="I45" s="2008">
        <f t="shared" si="88"/>
        <v>0.46</v>
      </c>
      <c r="J45" s="2906"/>
      <c r="K45" s="2043"/>
      <c r="L45" s="2028">
        <f t="shared" si="89"/>
        <v>5.5000000000000005E-3</v>
      </c>
      <c r="M45" s="2028">
        <f t="shared" si="89"/>
        <v>4.5999999999999999E-3</v>
      </c>
      <c r="N45" s="2028">
        <f t="shared" si="89"/>
        <v>1.1000000000000001E-2</v>
      </c>
      <c r="O45" s="2028"/>
      <c r="P45" s="2028">
        <f t="shared" si="103"/>
        <v>4.5999999999999999E-3</v>
      </c>
      <c r="Q45" s="2906"/>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6"/>
      <c r="Y45" s="2028"/>
      <c r="Z45" s="2902">
        <f t="shared" si="105"/>
        <v>4.4999999999999997E-3</v>
      </c>
      <c r="AA45" s="2903">
        <f t="shared" si="105"/>
        <v>4.7000000000000002E-3</v>
      </c>
      <c r="AB45" s="2028">
        <f t="shared" si="105"/>
        <v>1.04E-2</v>
      </c>
      <c r="AC45" s="2904"/>
      <c r="AD45" s="2028">
        <f t="shared" si="105"/>
        <v>4.7000000000000002E-3</v>
      </c>
    </row>
    <row r="46" spans="1:30" s="2928" customFormat="1" ht="13.8" thickBot="1">
      <c r="A46" s="2918" t="s">
        <v>2824</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5" thickTop="1"/>
    <row r="48" spans="1:30">
      <c r="A48" s="3143"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15">
      <c r="A4" s="1403" t="str">
        <f>项目基本情况!S2</f>
        <v>北京市房地产</v>
      </c>
      <c r="B4" s="801">
        <f>项目基本情况!C17</f>
        <v>166.53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9" t="s">
        <v>927</v>
      </c>
      <c r="B5" s="3179"/>
      <c r="C5" s="3179"/>
      <c r="D5" s="3179" t="e">
        <f ca="1">结果表!D119</f>
        <v>#REF!</v>
      </c>
      <c r="E5" s="3179"/>
      <c r="F5" s="3179" t="e">
        <f ca="1">结果表!F119</f>
        <v>#REF!</v>
      </c>
      <c r="G5" s="3179"/>
      <c r="H5" s="3179" t="e">
        <f ca="1">结果表!H119</f>
        <v>#REF!</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t="e">
        <f ca="1">结果表!D122</f>
        <v>#REF!</v>
      </c>
      <c r="E8" s="3178"/>
      <c r="F8" s="3178"/>
      <c r="G8" s="3178"/>
      <c r="H8" s="3178"/>
      <c r="I8" s="3178"/>
    </row>
    <row r="9" spans="1:9" ht="15">
      <c r="A9" s="3179" t="s">
        <v>927</v>
      </c>
      <c r="B9" s="3179"/>
      <c r="C9" s="3179"/>
      <c r="D9" s="3179" t="e">
        <f ca="1">结果表!D123</f>
        <v>#REF!</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信息</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2025-03-18T03:14:08Z</dcterms:modified>
</cp:coreProperties>
</file>