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75" windowWidth="21600" windowHeight="478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结果表" sheetId="9" r:id="rId15"/>
    <sheet name="汇总5" sheetId="82" r:id="rId16"/>
    <sheet name="汇总0617" sheetId="88" r:id="rId17"/>
    <sheet name="面积拆分" sheetId="68" state="hidden" r:id="rId18"/>
    <sheet name="地块指标20210118" sheetId="77" state="hidden" r:id="rId19"/>
    <sheet name="估价对象房地状况" sheetId="20" r:id="rId20"/>
    <sheet name="剩余法-现房" sheetId="43" state="hidden" r:id="rId21"/>
    <sheet name="比较法-住宅、综合" sheetId="39"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剩余法-酒店" sheetId="80" state="hidden" r:id="rId32"/>
    <sheet name="不动产收益法-酒店" sheetId="78" state="hidden" r:id="rId33"/>
    <sheet name="酒店收入计算" sheetId="57" state="hidden" r:id="rId34"/>
    <sheet name="成本逼近法" sheetId="11" r:id="rId35"/>
    <sheet name="剩余法-车库+商业" sheetId="89" state="hidden" r:id="rId36"/>
    <sheet name="剩余法-车位" sheetId="87" state="hidden" r:id="rId37"/>
    <sheet name="剩余法-待开发" sheetId="12" r:id="rId38"/>
    <sheet name="剩余法-底商" sheetId="79" r:id="rId39"/>
    <sheet name="不动产收益法-住宅" sheetId="15" state="hidden" r:id="rId40"/>
    <sheet name="剩余法-住宅" sheetId="81" r:id="rId41"/>
    <sheet name="不动产收益法-车库" sheetId="86" state="hidden" r:id="rId42"/>
    <sheet name="不动产收益法-底商" sheetId="73" r:id="rId43"/>
    <sheet name="不动产收益法-独商" sheetId="74" state="hidden" r:id="rId44"/>
    <sheet name="不动产收益法-办公" sheetId="75" r:id="rId45"/>
    <sheet name="不动产收益法-公寓" sheetId="76" state="hidden" r:id="rId46"/>
    <sheet name="不动产比较法-住宅" sheetId="21" state="hidden" r:id="rId47"/>
    <sheet name="不动产比较法-商业" sheetId="33" r:id="rId48"/>
    <sheet name="商业案例" sheetId="72" r:id="rId49"/>
    <sheet name="不动产比较法-办公" sheetId="34"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 name="住宅案例-天津" sheetId="70" r:id="rId56"/>
    <sheet name="办公案例" sheetId="71" r:id="rId57"/>
    <sheet name="表-彩色" sheetId="69" r:id="rId58"/>
    <sheet name="系统读取表" sheetId="66" r:id="rId59"/>
  </sheets>
  <externalReferences>
    <externalReference r:id="rId60"/>
    <externalReference r:id="rId61"/>
    <externalReference r:id="rId62"/>
    <externalReference r:id="rId63"/>
    <externalReference r:id="rId64"/>
    <externalReference r:id="rId65"/>
    <externalReference r:id="rId66"/>
  </externalReferences>
  <definedNames>
    <definedName name="__xlfn.CUBEVALUE" hidden="1">#NAME?</definedName>
    <definedName name="__xlfn.SUMIFS" hidden="1">#NAME?</definedName>
    <definedName name="_Fill" localSheetId="44" hidden="1">#REF!</definedName>
    <definedName name="_Fill" localSheetId="41" hidden="1">#REF!</definedName>
    <definedName name="_Fill" localSheetId="42" hidden="1">#REF!</definedName>
    <definedName name="_Fill" localSheetId="43" hidden="1">#REF!</definedName>
    <definedName name="_Fill" localSheetId="45" hidden="1">#REF!</definedName>
    <definedName name="_Fill" localSheetId="32" hidden="1">#REF!</definedName>
    <definedName name="_Fill" localSheetId="16" hidden="1">#REF!</definedName>
    <definedName name="_Fill" localSheetId="35" hidden="1">#REF!</definedName>
    <definedName name="_Fill" localSheetId="36" hidden="1">#REF!</definedName>
    <definedName name="_Fill" localSheetId="38" hidden="1">#REF!</definedName>
    <definedName name="_Fill" localSheetId="31" hidden="1">#REF!</definedName>
    <definedName name="_Fill" localSheetId="40" hidden="1">#REF!</definedName>
    <definedName name="_Fill" hidden="1">#REF!</definedName>
    <definedName name="_xlnm._FilterDatabase" localSheetId="22" hidden="1">'比较法-工业'!$A$1:$L$45</definedName>
    <definedName name="_xlnm._FilterDatabase" localSheetId="21" hidden="1">'比较法-住宅、综合'!$A$1:$L$50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7" hidden="1">'不动产比较法-商业'!$A$1:$L$49</definedName>
    <definedName name="_xlnm._FilterDatabase" localSheetId="46" hidden="1">'不动产比较法-住宅'!$A$1:$L$49</definedName>
    <definedName name="_xlnm._FilterDatabase" localSheetId="10" hidden="1">'数据-基础表'!$A$12:$AT$572</definedName>
    <definedName name="_xlnm._FilterDatabase" localSheetId="9" hidden="1">项目基本情况!$A$48:$N$48</definedName>
    <definedName name="_Key1" localSheetId="44" hidden="1">#REF!</definedName>
    <definedName name="_Key1" localSheetId="41" hidden="1">#REF!</definedName>
    <definedName name="_Key1" localSheetId="42" hidden="1">#REF!</definedName>
    <definedName name="_Key1" localSheetId="43" hidden="1">#REF!</definedName>
    <definedName name="_Key1" localSheetId="45" hidden="1">#REF!</definedName>
    <definedName name="_Key1" localSheetId="32" hidden="1">#REF!</definedName>
    <definedName name="_Key1" localSheetId="16" hidden="1">#REF!</definedName>
    <definedName name="_Key1" localSheetId="35" hidden="1">#REF!</definedName>
    <definedName name="_Key1" localSheetId="36" hidden="1">#REF!</definedName>
    <definedName name="_Key1" localSheetId="38" hidden="1">#REF!</definedName>
    <definedName name="_Key1" localSheetId="31" hidden="1">#REF!</definedName>
    <definedName name="_Key1" localSheetId="40" hidden="1">#REF!</definedName>
    <definedName name="_Key1" hidden="1">#REF!</definedName>
    <definedName name="_Order1" hidden="1">255</definedName>
    <definedName name="_Sort" localSheetId="44" hidden="1">#REF!</definedName>
    <definedName name="_Sort" localSheetId="41" hidden="1">#REF!</definedName>
    <definedName name="_Sort" localSheetId="42" hidden="1">#REF!</definedName>
    <definedName name="_Sort" localSheetId="43" hidden="1">#REF!</definedName>
    <definedName name="_Sort" localSheetId="45" hidden="1">#REF!</definedName>
    <definedName name="_Sort" localSheetId="32" hidden="1">#REF!</definedName>
    <definedName name="_Sort" localSheetId="16" hidden="1">#REF!</definedName>
    <definedName name="_Sort" localSheetId="35" hidden="1">#REF!</definedName>
    <definedName name="_Sort" localSheetId="36" hidden="1">#REF!</definedName>
    <definedName name="_Sort" localSheetId="38" hidden="1">#REF!</definedName>
    <definedName name="_Sort" localSheetId="31" hidden="1">#REF!</definedName>
    <definedName name="_Sort" localSheetId="40" hidden="1">#REF!</definedName>
    <definedName name="_Sort" hidden="1">#REF!</definedName>
    <definedName name="Code" localSheetId="44" hidden="1">#REF!</definedName>
    <definedName name="Code" localSheetId="41" hidden="1">#REF!</definedName>
    <definedName name="Code" localSheetId="42" hidden="1">#REF!</definedName>
    <definedName name="Code" localSheetId="43" hidden="1">#REF!</definedName>
    <definedName name="Code" localSheetId="45" hidden="1">#REF!</definedName>
    <definedName name="Code" localSheetId="32" hidden="1">#REF!</definedName>
    <definedName name="Code" localSheetId="16" hidden="1">#REF!</definedName>
    <definedName name="Code" localSheetId="35" hidden="1">#REF!</definedName>
    <definedName name="Code" localSheetId="36" hidden="1">#REF!</definedName>
    <definedName name="Code" localSheetId="38" hidden="1">#REF!</definedName>
    <definedName name="Code" localSheetId="31" hidden="1">#REF!</definedName>
    <definedName name="Code" localSheetId="40" hidden="1">#REF!</definedName>
    <definedName name="Code" hidden="1">#REF!</definedName>
    <definedName name="data1" localSheetId="44" hidden="1">#REF!</definedName>
    <definedName name="data1" localSheetId="41" hidden="1">#REF!</definedName>
    <definedName name="data1" localSheetId="42" hidden="1">#REF!</definedName>
    <definedName name="data1" localSheetId="43" hidden="1">#REF!</definedName>
    <definedName name="data1" localSheetId="45" hidden="1">#REF!</definedName>
    <definedName name="data1" localSheetId="32" hidden="1">#REF!</definedName>
    <definedName name="data1" localSheetId="16" hidden="1">#REF!</definedName>
    <definedName name="data1" localSheetId="35" hidden="1">#REF!</definedName>
    <definedName name="data1" localSheetId="36" hidden="1">#REF!</definedName>
    <definedName name="data1" localSheetId="38" hidden="1">#REF!</definedName>
    <definedName name="data1" localSheetId="31" hidden="1">#REF!</definedName>
    <definedName name="data1" localSheetId="40" hidden="1">#REF!</definedName>
    <definedName name="data1" hidden="1">#REF!</definedName>
    <definedName name="data2" localSheetId="44" hidden="1">#REF!</definedName>
    <definedName name="data2" localSheetId="41" hidden="1">#REF!</definedName>
    <definedName name="data2" localSheetId="42" hidden="1">#REF!</definedName>
    <definedName name="data2" localSheetId="43" hidden="1">#REF!</definedName>
    <definedName name="data2" localSheetId="45" hidden="1">#REF!</definedName>
    <definedName name="data2" localSheetId="32" hidden="1">#REF!</definedName>
    <definedName name="data2" localSheetId="16" hidden="1">#REF!</definedName>
    <definedName name="data2" localSheetId="35" hidden="1">#REF!</definedName>
    <definedName name="data2" localSheetId="36" hidden="1">#REF!</definedName>
    <definedName name="data2" localSheetId="38" hidden="1">#REF!</definedName>
    <definedName name="data2" localSheetId="31" hidden="1">#REF!</definedName>
    <definedName name="data2" localSheetId="40" hidden="1">#REF!</definedName>
    <definedName name="data2" hidden="1">#REF!</definedName>
    <definedName name="data3" localSheetId="44" hidden="1">#REF!</definedName>
    <definedName name="data3" localSheetId="41" hidden="1">#REF!</definedName>
    <definedName name="data3" localSheetId="42" hidden="1">#REF!</definedName>
    <definedName name="data3" localSheetId="43" hidden="1">#REF!</definedName>
    <definedName name="data3" localSheetId="45" hidden="1">#REF!</definedName>
    <definedName name="data3" localSheetId="32" hidden="1">#REF!</definedName>
    <definedName name="data3" localSheetId="16" hidden="1">#REF!</definedName>
    <definedName name="data3" localSheetId="35" hidden="1">#REF!</definedName>
    <definedName name="data3" localSheetId="36" hidden="1">#REF!</definedName>
    <definedName name="data3" localSheetId="38" hidden="1">#REF!</definedName>
    <definedName name="data3" localSheetId="31" hidden="1">#REF!</definedName>
    <definedName name="data3" localSheetId="40" hidden="1">#REF!</definedName>
    <definedName name="data3" hidden="1">#REF!</definedName>
    <definedName name="Discount" localSheetId="44" hidden="1">#REF!</definedName>
    <definedName name="Discount" localSheetId="41" hidden="1">#REF!</definedName>
    <definedName name="Discount" localSheetId="42" hidden="1">#REF!</definedName>
    <definedName name="Discount" localSheetId="43" hidden="1">#REF!</definedName>
    <definedName name="Discount" localSheetId="45" hidden="1">#REF!</definedName>
    <definedName name="Discount" localSheetId="32" hidden="1">#REF!</definedName>
    <definedName name="Discount" localSheetId="16" hidden="1">#REF!</definedName>
    <definedName name="Discount" localSheetId="35" hidden="1">#REF!</definedName>
    <definedName name="Discount" localSheetId="36" hidden="1">#REF!</definedName>
    <definedName name="Discount" localSheetId="38" hidden="1">#REF!</definedName>
    <definedName name="Discount" localSheetId="31" hidden="1">#REF!</definedName>
    <definedName name="Discount" localSheetId="40" hidden="1">#REF!</definedName>
    <definedName name="Discount" hidden="1">#REF!</definedName>
    <definedName name="display_area_2" localSheetId="44" hidden="1">#REF!</definedName>
    <definedName name="display_area_2" localSheetId="41" hidden="1">#REF!</definedName>
    <definedName name="display_area_2" localSheetId="42" hidden="1">#REF!</definedName>
    <definedName name="display_area_2" localSheetId="43" hidden="1">#REF!</definedName>
    <definedName name="display_area_2" localSheetId="45" hidden="1">#REF!</definedName>
    <definedName name="display_area_2" localSheetId="32" hidden="1">#REF!</definedName>
    <definedName name="display_area_2" localSheetId="16" hidden="1">#REF!</definedName>
    <definedName name="display_area_2" localSheetId="35" hidden="1">#REF!</definedName>
    <definedName name="display_area_2" localSheetId="36" hidden="1">#REF!</definedName>
    <definedName name="display_area_2" localSheetId="38" hidden="1">#REF!</definedName>
    <definedName name="display_area_2" localSheetId="31" hidden="1">#REF!</definedName>
    <definedName name="display_area_2" localSheetId="40" hidden="1">#REF!</definedName>
    <definedName name="display_area_2" hidden="1">#REF!</definedName>
    <definedName name="FCode" localSheetId="44" hidden="1">#REF!</definedName>
    <definedName name="FCode" localSheetId="41" hidden="1">#REF!</definedName>
    <definedName name="FCode" localSheetId="42" hidden="1">#REF!</definedName>
    <definedName name="FCode" localSheetId="43" hidden="1">#REF!</definedName>
    <definedName name="FCode" localSheetId="45" hidden="1">#REF!</definedName>
    <definedName name="FCode" localSheetId="32" hidden="1">#REF!</definedName>
    <definedName name="FCode" localSheetId="16" hidden="1">#REF!</definedName>
    <definedName name="FCode" localSheetId="35" hidden="1">#REF!</definedName>
    <definedName name="FCode" localSheetId="36" hidden="1">#REF!</definedName>
    <definedName name="FCode" localSheetId="38" hidden="1">#REF!</definedName>
    <definedName name="FCode" localSheetId="31" hidden="1">#REF!</definedName>
    <definedName name="FCode" localSheetId="40" hidden="1">#REF!</definedName>
    <definedName name="FCode" hidden="1">#REF!</definedName>
    <definedName name="HiddenRows" localSheetId="44" hidden="1">#REF!</definedName>
    <definedName name="HiddenRows" localSheetId="41" hidden="1">#REF!</definedName>
    <definedName name="HiddenRows" localSheetId="42" hidden="1">#REF!</definedName>
    <definedName name="HiddenRows" localSheetId="43" hidden="1">#REF!</definedName>
    <definedName name="HiddenRows" localSheetId="45" hidden="1">#REF!</definedName>
    <definedName name="HiddenRows" localSheetId="32" hidden="1">#REF!</definedName>
    <definedName name="HiddenRows" localSheetId="16" hidden="1">#REF!</definedName>
    <definedName name="HiddenRows" localSheetId="35" hidden="1">#REF!</definedName>
    <definedName name="HiddenRows" localSheetId="36" hidden="1">#REF!</definedName>
    <definedName name="HiddenRows" localSheetId="38" hidden="1">#REF!</definedName>
    <definedName name="HiddenRows" localSheetId="31" hidden="1">#REF!</definedName>
    <definedName name="HiddenRows" localSheetId="40" hidden="1">#REF!</definedName>
    <definedName name="HiddenRows" hidden="1">#REF!</definedName>
    <definedName name="OrderTable" localSheetId="44" hidden="1">#REF!</definedName>
    <definedName name="OrderTable" localSheetId="41" hidden="1">#REF!</definedName>
    <definedName name="OrderTable" localSheetId="42" hidden="1">#REF!</definedName>
    <definedName name="OrderTable" localSheetId="43" hidden="1">#REF!</definedName>
    <definedName name="OrderTable" localSheetId="45" hidden="1">#REF!</definedName>
    <definedName name="OrderTable" localSheetId="32" hidden="1">#REF!</definedName>
    <definedName name="OrderTable" localSheetId="16" hidden="1">#REF!</definedName>
    <definedName name="OrderTable" localSheetId="35" hidden="1">#REF!</definedName>
    <definedName name="OrderTable" localSheetId="36" hidden="1">#REF!</definedName>
    <definedName name="OrderTable" localSheetId="38" hidden="1">#REF!</definedName>
    <definedName name="OrderTable" localSheetId="31" hidden="1">#REF!</definedName>
    <definedName name="OrderTable" localSheetId="40" hidden="1">#REF!</definedName>
    <definedName name="OrderTable" hidden="1">#REF!</definedName>
    <definedName name="_xlnm.Print_Area" localSheetId="22">'比较法-工业'!$A$1:$K$63,'比较法-工业'!$A$66:$N$123</definedName>
    <definedName name="_xlnm.Print_Area" localSheetId="21">'比较法-住宅、综合'!$A$1:$K$67,'比较法-住宅、综合'!$A$71:$N$134</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7">'不动产比较法-商业'!$A$1:$K$54,'不动产比较法-商业'!$A$57:$M$131</definedName>
    <definedName name="_xlnm.Print_Area" localSheetId="46">'不动产比较法-住宅'!$A$1:$K$54,'不动产比较法-住宅'!$A$57:$M$131</definedName>
    <definedName name="_xlnm.Print_Area" localSheetId="44">'不动产收益法-办公'!$A$1:$F$43,'不动产收益法-办公'!$H$3:$M$29,'不动产收益法-办公'!$A$46:$F$70,'不动产收益法-办公'!$I$46:$M$60</definedName>
    <definedName name="_xlnm.Print_Area" localSheetId="41">'不动产收益法-车库'!$A$1:$F$43,'不动产收益法-车库'!$H$3:$M$29,'不动产收益法-车库'!$A$46:$F$70,'不动产收益法-车库'!$I$46:$M$60</definedName>
    <definedName name="_xlnm.Print_Area" localSheetId="42">'不动产收益法-底商'!$A$1:$F$43,'不动产收益法-底商'!$H$3:$M$29,'不动产收益法-底商'!$A$46:$F$70,'不动产收益法-底商'!$I$46:$M$60</definedName>
    <definedName name="_xlnm.Print_Area" localSheetId="43">'不动产收益法-独商'!$A$1:$F$43,'不动产收益法-独商'!$H$3:$M$29,'不动产收益法-独商'!$A$46:$F$70,'不动产收益法-独商'!$I$46:$M$60</definedName>
    <definedName name="_xlnm.Print_Area" localSheetId="45">'不动产收益法-公寓'!$A$1:$F$43,'不动产收益法-公寓'!$H$3:$M$29,'不动产收益法-公寓'!$A$46:$F$70,'不动产收益法-公寓'!$I$46:$M$60</definedName>
    <definedName name="_xlnm.Print_Area" localSheetId="32">'不动产收益法-酒店'!$A$1:$F$43,'不动产收益法-酒店'!$H$3:$M$29,'不动产收益法-酒店'!$A$46:$F$70,'不动产收益法-酒店'!$I$46:$M$60</definedName>
    <definedName name="_xlnm.Print_Area" localSheetId="39">'不动产收益法-住宅'!$A$1:$F$43,'不动产收益法-住宅'!$H$3:$M$29,'不动产收益法-住宅'!$A$46:$F$70,'不动产收益法-住宅'!$I$46:$M$60</definedName>
    <definedName name="_xlnm.Print_Area" localSheetId="34">成本逼近法!$A$1:$G$23</definedName>
    <definedName name="_xlnm.Print_Area" localSheetId="19">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4">结果表!$A$1:$I$46,结果表!$K$25:$O$44,结果表!$A$62:$I$115,结果表!$K$64:$P$81</definedName>
    <definedName name="_xlnm.Print_Area" localSheetId="35">'剩余法-车库+商业'!$A$1:$K$36</definedName>
    <definedName name="_xlnm.Print_Area" localSheetId="36">'剩余法-车位'!$A$1:$K$36</definedName>
    <definedName name="_xlnm.Print_Area" localSheetId="37">'剩余法-待开发'!$A$1:$K$36</definedName>
    <definedName name="_xlnm.Print_Area" localSheetId="38">'剩余法-底商'!$A$1:$K$36</definedName>
    <definedName name="_xlnm.Print_Area" localSheetId="31">'剩余法-酒店'!$A$1:$K$36</definedName>
    <definedName name="_xlnm.Print_Area" localSheetId="20">'剩余法-现房'!$A$1:$K$32</definedName>
    <definedName name="_xlnm.Print_Area" localSheetId="40">'剩余法-住宅'!$A$1:$K$36</definedName>
    <definedName name="_xlnm.Print_Area" localSheetId="30">收益还原法!$A$1:$F$46,收益还原法!$H$3:$M$31,收益还原法!$I$47:$M$61</definedName>
    <definedName name="_xlnm.Print_Area" localSheetId="12">'数据-汇总表'!$A$1:$P$32</definedName>
    <definedName name="_xlnm.Print_Area" localSheetId="58">系统读取表!$A$1:$J$26</definedName>
    <definedName name="_xlnm.Print_Area" localSheetId="9">项目基本情况!$A$1:$J$44</definedName>
    <definedName name="ProdForm" localSheetId="44" hidden="1">#REF!</definedName>
    <definedName name="ProdForm" localSheetId="41" hidden="1">#REF!</definedName>
    <definedName name="ProdForm" localSheetId="42" hidden="1">#REF!</definedName>
    <definedName name="ProdForm" localSheetId="43" hidden="1">#REF!</definedName>
    <definedName name="ProdForm" localSheetId="45" hidden="1">#REF!</definedName>
    <definedName name="ProdForm" localSheetId="32" hidden="1">#REF!</definedName>
    <definedName name="ProdForm" localSheetId="16" hidden="1">#REF!</definedName>
    <definedName name="ProdForm" localSheetId="35" hidden="1">#REF!</definedName>
    <definedName name="ProdForm" localSheetId="36" hidden="1">#REF!</definedName>
    <definedName name="ProdForm" localSheetId="38" hidden="1">#REF!</definedName>
    <definedName name="ProdForm" localSheetId="31" hidden="1">#REF!</definedName>
    <definedName name="ProdForm" localSheetId="40" hidden="1">#REF!</definedName>
    <definedName name="ProdForm" hidden="1">#REF!</definedName>
    <definedName name="Product" localSheetId="44" hidden="1">#REF!</definedName>
    <definedName name="Product" localSheetId="41" hidden="1">#REF!</definedName>
    <definedName name="Product" localSheetId="42" hidden="1">#REF!</definedName>
    <definedName name="Product" localSheetId="43" hidden="1">#REF!</definedName>
    <definedName name="Product" localSheetId="45" hidden="1">#REF!</definedName>
    <definedName name="Product" localSheetId="32" hidden="1">#REF!</definedName>
    <definedName name="Product" localSheetId="16" hidden="1">#REF!</definedName>
    <definedName name="Product" localSheetId="35" hidden="1">#REF!</definedName>
    <definedName name="Product" localSheetId="36" hidden="1">#REF!</definedName>
    <definedName name="Product" localSheetId="38" hidden="1">#REF!</definedName>
    <definedName name="Product" localSheetId="31" hidden="1">#REF!</definedName>
    <definedName name="Product" localSheetId="40" hidden="1">#REF!</definedName>
    <definedName name="Product" hidden="1">#REF!</definedName>
    <definedName name="RCArea" localSheetId="44" hidden="1">#REF!</definedName>
    <definedName name="RCArea" localSheetId="41" hidden="1">#REF!</definedName>
    <definedName name="RCArea" localSheetId="42" hidden="1">#REF!</definedName>
    <definedName name="RCArea" localSheetId="43" hidden="1">#REF!</definedName>
    <definedName name="RCArea" localSheetId="45" hidden="1">#REF!</definedName>
    <definedName name="RCArea" localSheetId="32" hidden="1">#REF!</definedName>
    <definedName name="RCArea" localSheetId="16" hidden="1">#REF!</definedName>
    <definedName name="RCArea" localSheetId="35" hidden="1">#REF!</definedName>
    <definedName name="RCArea" localSheetId="36" hidden="1">#REF!</definedName>
    <definedName name="RCArea" localSheetId="38" hidden="1">#REF!</definedName>
    <definedName name="RCArea" localSheetId="31" hidden="1">#REF!</definedName>
    <definedName name="RCArea" localSheetId="40" hidden="1">#REF!</definedName>
    <definedName name="RCArea" hidden="1">#REF!</definedName>
    <definedName name="SpecialPrice" localSheetId="44" hidden="1">#REF!</definedName>
    <definedName name="SpecialPrice" localSheetId="41" hidden="1">#REF!</definedName>
    <definedName name="SpecialPrice" localSheetId="42" hidden="1">#REF!</definedName>
    <definedName name="SpecialPrice" localSheetId="43" hidden="1">#REF!</definedName>
    <definedName name="SpecialPrice" localSheetId="45" hidden="1">#REF!</definedName>
    <definedName name="SpecialPrice" localSheetId="32" hidden="1">#REF!</definedName>
    <definedName name="SpecialPrice" localSheetId="16" hidden="1">#REF!</definedName>
    <definedName name="SpecialPrice" localSheetId="35" hidden="1">#REF!</definedName>
    <definedName name="SpecialPrice" localSheetId="36" hidden="1">#REF!</definedName>
    <definedName name="SpecialPrice" localSheetId="38" hidden="1">#REF!</definedName>
    <definedName name="SpecialPrice" localSheetId="31" hidden="1">#REF!</definedName>
    <definedName name="SpecialPrice" localSheetId="40" hidden="1">#REF!</definedName>
    <definedName name="SpecialPrice" hidden="1">#REF!</definedName>
    <definedName name="tbl_ProdInfo" localSheetId="44" hidden="1">#REF!</definedName>
    <definedName name="tbl_ProdInfo" localSheetId="41" hidden="1">#REF!</definedName>
    <definedName name="tbl_ProdInfo" localSheetId="42" hidden="1">#REF!</definedName>
    <definedName name="tbl_ProdInfo" localSheetId="43" hidden="1">#REF!</definedName>
    <definedName name="tbl_ProdInfo" localSheetId="45" hidden="1">#REF!</definedName>
    <definedName name="tbl_ProdInfo" localSheetId="32" hidden="1">#REF!</definedName>
    <definedName name="tbl_ProdInfo" localSheetId="16" hidden="1">#REF!</definedName>
    <definedName name="tbl_ProdInfo" localSheetId="35" hidden="1">#REF!</definedName>
    <definedName name="tbl_ProdInfo" localSheetId="36" hidden="1">#REF!</definedName>
    <definedName name="tbl_ProdInfo" localSheetId="38" hidden="1">#REF!</definedName>
    <definedName name="tbl_ProdInfo" localSheetId="31" hidden="1">#REF!</definedName>
    <definedName name="tbl_ProdInfo" localSheetId="40" hidden="1">#REF!</definedName>
    <definedName name="tbl_ProdInfo" hidden="1">#REF!</definedName>
    <definedName name="啊发生的" localSheetId="44" hidden="1">#REF!</definedName>
    <definedName name="啊发生的" localSheetId="41" hidden="1">#REF!</definedName>
    <definedName name="啊发生的" localSheetId="42" hidden="1">#REF!</definedName>
    <definedName name="啊发生的" localSheetId="43" hidden="1">#REF!</definedName>
    <definedName name="啊发生的" localSheetId="45" hidden="1">#REF!</definedName>
    <definedName name="啊发生的" localSheetId="32" hidden="1">#REF!</definedName>
    <definedName name="啊发生的" localSheetId="16" hidden="1">#REF!</definedName>
    <definedName name="啊发生的" localSheetId="35" hidden="1">#REF!</definedName>
    <definedName name="啊发生的" localSheetId="36" hidden="1">#REF!</definedName>
    <definedName name="啊发生的" localSheetId="38" hidden="1">#REF!</definedName>
    <definedName name="啊发生的" localSheetId="31" hidden="1">#REF!</definedName>
    <definedName name="啊发生的" localSheetId="40" hidden="1">#REF!</definedName>
    <definedName name="啊发生的" hidden="1">#REF!</definedName>
    <definedName name="八级">区片价!$P$1:$P$40</definedName>
    <definedName name="办公层高" localSheetId="56">'[1]不动产比较法--商务办公'!$B$119:$M$119</definedName>
    <definedName name="办公层高" localSheetId="18">'[2]不动产比较法-办公'!$B$119:$M$119</definedName>
    <definedName name="办公层高" localSheetId="48">'[1]不动产比较法--商务办公'!$B$119:$M$119</definedName>
    <definedName name="办公层高">'不动产比较法-办公'!$B$119:$M$119</definedName>
    <definedName name="办公朝向" localSheetId="56">'[1]不动产比较法--商务办公'!$B$91:$M$91</definedName>
    <definedName name="办公朝向" localSheetId="18">'[2]不动产比较法-办公'!$B$91:$M$91</definedName>
    <definedName name="办公朝向" localSheetId="48">'[1]不动产比较法--商务办公'!$B$91:$M$91</definedName>
    <definedName name="办公朝向">'不动产比较法-办公'!$B$91:$M$91</definedName>
    <definedName name="办公道路级别" localSheetId="56">'[1]不动产比较法--商务办公'!$B$87:$M$87</definedName>
    <definedName name="办公道路级别" localSheetId="18">'[2]不动产比较法-办公'!$B$87:$M$87</definedName>
    <definedName name="办公道路级别" localSheetId="48">'[1]不动产比较法--商务办公'!$B$87:$M$87</definedName>
    <definedName name="办公道路级别">'不动产比较法-办公'!$B$87:$M$87</definedName>
    <definedName name="办公公共部分装修" localSheetId="56">'[1]不动产比较法--商务办公'!$B$108:$M$108</definedName>
    <definedName name="办公公共部分装修" localSheetId="18">'[2]不动产比较法-办公'!$B$108:$M$108</definedName>
    <definedName name="办公公共部分装修" localSheetId="48">'[1]不动产比较法--商务办公'!$B$108:$M$108</definedName>
    <definedName name="办公公共部分装修">'不动产比较法-办公'!$B$108:$M$108</definedName>
    <definedName name="办公基础设施水平" localSheetId="56">'[1]不动产比较法--商务办公'!$B$117:$M$117</definedName>
    <definedName name="办公基础设施水平" localSheetId="18">'[2]不动产比较法-办公'!$B$117:$M$117</definedName>
    <definedName name="办公基础设施水平" localSheetId="48">'[1]不动产比较法--商务办公'!$B$117:$M$117</definedName>
    <definedName name="办公基础设施水平">'不动产比较法-办公'!$B$117:$M$117</definedName>
    <definedName name="办公集聚程度" localSheetId="56">[1]定义!$M$1:$M$6</definedName>
    <definedName name="办公集聚程度" localSheetId="18">[2]定义!$M$1:$M$6</definedName>
    <definedName name="办公集聚程度" localSheetId="48">[1]定义!$M$1:$M$6</definedName>
    <definedName name="办公集聚程度">定义!$M$1:$M$6</definedName>
    <definedName name="办公建筑结构" localSheetId="56">'[1]不动产比较法--商务办公'!$B$106:$M$106</definedName>
    <definedName name="办公建筑结构" localSheetId="18">'[2]不动产比较法-办公'!$B$106:$M$106</definedName>
    <definedName name="办公建筑结构" localSheetId="48">'[1]不动产比较法--商务办公'!$B$106:$M$106</definedName>
    <definedName name="办公建筑结构">'不动产比较法-办公'!$B$106:$M$106</definedName>
    <definedName name="办公建筑类型" localSheetId="56">'[1]不动产比较法--商务办公'!$B$101:$M$101</definedName>
    <definedName name="办公建筑类型" localSheetId="18">'[2]不动产比较法-办公'!$B$101:$M$101</definedName>
    <definedName name="办公建筑类型" localSheetId="48">'[1]不动产比较法--商务办公'!$B$101:$M$101</definedName>
    <definedName name="办公建筑类型">'不动产比较法-办公'!$B$101:$M$101</definedName>
    <definedName name="办公交易情况" localSheetId="56">'[1]不动产比较法--商务办公'!$A$62:$M$62</definedName>
    <definedName name="办公交易情况" localSheetId="18">'[2]不动产比较法-办公'!$A$62:$M$62</definedName>
    <definedName name="办公交易情况" localSheetId="48">'[1]不动产比较法--商务办公'!$A$62:$M$62</definedName>
    <definedName name="办公交易情况">'不动产比较法-办公'!$A$62:$M$62</definedName>
    <definedName name="办公楼层" localSheetId="56">'[1]不动产比较法--商务办公'!$B$89:$M$89</definedName>
    <definedName name="办公楼层" localSheetId="18">'[2]不动产比较法-办公'!$B$89:$M$89</definedName>
    <definedName name="办公楼层" localSheetId="48">'[1]不动产比较法--商务办公'!$B$89:$M$89</definedName>
    <definedName name="办公楼层">'不动产比较法-办公'!$B$89:$M$89</definedName>
    <definedName name="办公内部装修" localSheetId="56">'[1]不动产比较法--商务办公'!$B$123:$M$123</definedName>
    <definedName name="办公内部装修" localSheetId="18">'[2]不动产比较法-办公'!$B$123:$M$123</definedName>
    <definedName name="办公内部装修" localSheetId="48">'[1]不动产比较法--商务办公'!$B$123:$M$123</definedName>
    <definedName name="办公内部装修">'不动产比较法-办公'!$B$123:$M$123</definedName>
    <definedName name="办公物业管理" localSheetId="56">'[1]不动产比较法--商务办公'!$B$115:$M$115</definedName>
    <definedName name="办公物业管理" localSheetId="18">'[2]不动产比较法-办公'!$B$115:$M$115</definedName>
    <definedName name="办公物业管理" localSheetId="48">'[1]不动产比较法--商务办公'!$B$115:$M$115</definedName>
    <definedName name="办公物业管理">'不动产比较法-办公'!$B$115:$M$115</definedName>
    <definedName name="办公用途" localSheetId="56">'[1]不动产比较法--商务办公'!$B$64:$M$64</definedName>
    <definedName name="办公用途" localSheetId="18">'[2]不动产比较法-办公'!$B$64:$M$64</definedName>
    <definedName name="办公用途" localSheetId="48">'[1]不动产比较法--商务办公'!$B$64:$M$64</definedName>
    <definedName name="办公用途">'不动产比较法-办公'!$B$64:$M$64</definedName>
    <definedName name="仓储公共部分装修" localSheetId="56">'[1]不动产比较法-仓储'!$B$77:$M$77</definedName>
    <definedName name="仓储公共部分装修" localSheetId="18">'[2]不动产比较法-仓储'!$B$77:$M$77</definedName>
    <definedName name="仓储公共部分装修" localSheetId="48">'[1]不动产比较法-仓储'!$B$77:$M$77</definedName>
    <definedName name="仓储公共部分装修">'不动产比较法-仓储'!$B$77:$M$77</definedName>
    <definedName name="仓储交易情况" localSheetId="56">'[1]不动产比较法-仓储'!$A$49:$M$49</definedName>
    <definedName name="仓储交易情况" localSheetId="18">'[2]不动产比较法-仓储'!$A$49:$M$49</definedName>
    <definedName name="仓储交易情况" localSheetId="48">'[1]不动产比较法-仓储'!$A$49:$M$49</definedName>
    <definedName name="仓储交易情况">'不动产比较法-仓储'!$A$49:$M$49</definedName>
    <definedName name="仓储楼层" localSheetId="56">'[1]不动产比较法-仓储'!$B$69:$M$69</definedName>
    <definedName name="仓储楼层" localSheetId="18">'[2]不动产比较法-仓储'!$B$69:$M$69</definedName>
    <definedName name="仓储楼层" localSheetId="48">'[1]不动产比较法-仓储'!$B$69:$M$69</definedName>
    <definedName name="仓储楼层">'不动产比较法-仓储'!$B$69:$M$69</definedName>
    <definedName name="仓储物业等级" localSheetId="56">'[1]不动产比较法-仓储'!$B$82:$M$82</definedName>
    <definedName name="仓储物业等级" localSheetId="18">'[2]不动产比较法-仓储'!$B$82:$M$82</definedName>
    <definedName name="仓储物业等级" localSheetId="48">'[1]不动产比较法-仓储'!$B$82:$M$82</definedName>
    <definedName name="仓储物业等级">'不动产比较法-仓储'!$B$82:$M$82</definedName>
    <definedName name="仓储用途" localSheetId="56">'[1]不动产比较法-仓储'!$B$51:$M$51</definedName>
    <definedName name="仓储用途" localSheetId="18">'[2]不动产比较法-仓储'!$B$51:$M$51</definedName>
    <definedName name="仓储用途" localSheetId="48">'[1]不动产比较法-仓储'!$B$51:$M$51</definedName>
    <definedName name="仓储用途">'不动产比较法-仓储'!$B$51:$M$51</definedName>
    <definedName name="产业集聚程度" localSheetId="56">[1]定义!$N$1:$N$6</definedName>
    <definedName name="产业集聚程度" localSheetId="18">[2]定义!$N$1:$N$6</definedName>
    <definedName name="产业集聚程度" localSheetId="48">[1]定义!$N$1:$N$6</definedName>
    <definedName name="产业集聚程度">定义!$N$1:$N$6</definedName>
    <definedName name="车位公共部分装修" localSheetId="56">'[1]不动产比较法-车位'!$B$83:$M$83</definedName>
    <definedName name="车位公共部分装修" localSheetId="18">'[2]不动产比较法-车位'!$B$83:$M$83</definedName>
    <definedName name="车位公共部分装修" localSheetId="48">'[1]不动产比较法-车位'!$B$83:$M$83</definedName>
    <definedName name="车位公共部分装修">'不动产比较法-车位'!$B$83:$M$83</definedName>
    <definedName name="车位交易情况" localSheetId="56">'[1]不动产比较法-车位'!$A$51:$M$51</definedName>
    <definedName name="车位交易情况" localSheetId="18">'[2]不动产比较法-车位'!$A$51:$M$51</definedName>
    <definedName name="车位交易情况" localSheetId="48">'[1]不动产比较法-车位'!$A$51:$M$51</definedName>
    <definedName name="车位交易情况">'不动产比较法-车位'!$A$51:$M$51</definedName>
    <definedName name="车位类型" localSheetId="56">'[1]不动产比较法-车位'!$B$93:$M$93</definedName>
    <definedName name="车位类型" localSheetId="18">'[2]不动产比较法-车位'!$B$93:$M$93</definedName>
    <definedName name="车位类型" localSheetId="48">'[1]不动产比较法-车位'!$B$93:$M$93</definedName>
    <definedName name="车位类型">'不动产比较法-车位'!$B$93:$M$93</definedName>
    <definedName name="车位楼层" localSheetId="56">'[1]不动产比较法-车位'!$B$71:$M$71</definedName>
    <definedName name="车位楼层" localSheetId="18">'[2]不动产比较法-车位'!$B$71:$M$71</definedName>
    <definedName name="车位楼层" localSheetId="48">'[1]不动产比较法-车位'!$B$71:$M$71</definedName>
    <definedName name="车位楼层">'不动产比较法-车位'!$B$71:$M$71</definedName>
    <definedName name="车位配套类型" localSheetId="56">'[1]不动产比较法-车位'!$B$79:$M$79</definedName>
    <definedName name="车位配套类型" localSheetId="18">'[2]不动产比较法-车位'!$B$79:$M$79</definedName>
    <definedName name="车位配套类型" localSheetId="48">'[1]不动产比较法-车位'!$B$79:$M$79</definedName>
    <definedName name="车位配套类型">'不动产比较法-车位'!$B$79:$M$79</definedName>
    <definedName name="车位物业等级" localSheetId="56">'[1]不动产比较法-车位'!$B$88:$M$88</definedName>
    <definedName name="车位物业等级" localSheetId="18">'[2]不动产比较法-车位'!$B$88:$M$88</definedName>
    <definedName name="车位物业等级" localSheetId="48">'[1]不动产比较法-车位'!$B$88:$M$88</definedName>
    <definedName name="车位物业等级">'不动产比较法-车位'!$B$88:$M$88</definedName>
    <definedName name="车位用途" localSheetId="56">'[1]不动产比较法-车位'!$B$53:$M$53</definedName>
    <definedName name="车位用途" localSheetId="18">'[2]不动产比较法-车位'!$B$53:$M$53</definedName>
    <definedName name="车位用途" localSheetId="48">'[1]不动产比较法-车位'!$B$53:$M$53</definedName>
    <definedName name="车位用途">'不动产比较法-车位'!$B$53:$M$53</definedName>
    <definedName name="城镇土地纳税等级分级范围" localSheetId="56">'[1]数据-取费表'!$A$53:$A$63</definedName>
    <definedName name="城镇土地纳税等级分级范围" localSheetId="18">'[2]数据-取费表'!$A$53:$A$63</definedName>
    <definedName name="城镇土地纳税等级分级范围" localSheetId="48">'[1]数据-取费表'!$A$53:$A$63</definedName>
    <definedName name="城镇土地纳税等级分级范围">'数据-取费表'!$A$53:$A$63</definedName>
    <definedName name="初评" localSheetId="44" hidden="1">#REF!</definedName>
    <definedName name="初评" localSheetId="41" hidden="1">#REF!</definedName>
    <definedName name="初评" localSheetId="42" hidden="1">#REF!</definedName>
    <definedName name="初评" localSheetId="43" hidden="1">#REF!</definedName>
    <definedName name="初评" localSheetId="45" hidden="1">#REF!</definedName>
    <definedName name="初评" localSheetId="32" hidden="1">#REF!</definedName>
    <definedName name="初评" localSheetId="16" hidden="1">#REF!</definedName>
    <definedName name="初评" localSheetId="35" hidden="1">#REF!</definedName>
    <definedName name="初评" localSheetId="36" hidden="1">#REF!</definedName>
    <definedName name="初评" localSheetId="38" hidden="1">#REF!</definedName>
    <definedName name="初评" localSheetId="31" hidden="1">#REF!</definedName>
    <definedName name="初评" localSheetId="40" hidden="1">#REF!</definedName>
    <definedName name="初评" hidden="1">#REF!</definedName>
    <definedName name="单价内涵" localSheetId="56">[1]定义!$V$1:$V$3</definedName>
    <definedName name="单价内涵" localSheetId="18">[2]定义!$V$1:$V$3</definedName>
    <definedName name="单价内涵" localSheetId="48">[1]定义!$V$1:$V$3</definedName>
    <definedName name="单价内涵">定义!$V$1:$V$3</definedName>
    <definedName name="地方" localSheetId="44" hidden="1">#REF!</definedName>
    <definedName name="地方" localSheetId="41" hidden="1">#REF!</definedName>
    <definedName name="地方" localSheetId="42" hidden="1">#REF!</definedName>
    <definedName name="地方" localSheetId="43" hidden="1">#REF!</definedName>
    <definedName name="地方" localSheetId="45" hidden="1">#REF!</definedName>
    <definedName name="地方" localSheetId="32" hidden="1">#REF!</definedName>
    <definedName name="地方" localSheetId="16" hidden="1">#REF!</definedName>
    <definedName name="地方" localSheetId="35" hidden="1">#REF!</definedName>
    <definedName name="地方" localSheetId="36" hidden="1">#REF!</definedName>
    <definedName name="地方" localSheetId="38" hidden="1">#REF!</definedName>
    <definedName name="地方" localSheetId="31" hidden="1">#REF!</definedName>
    <definedName name="地方" localSheetId="40" hidden="1">#REF!</definedName>
    <definedName name="地方" hidden="1">#REF!</definedName>
    <definedName name="地块一" localSheetId="44" hidden="1">#REF!</definedName>
    <definedName name="地块一" localSheetId="41" hidden="1">#REF!</definedName>
    <definedName name="地块一" localSheetId="42" hidden="1">#REF!</definedName>
    <definedName name="地块一" localSheetId="43" hidden="1">#REF!</definedName>
    <definedName name="地块一" localSheetId="45" hidden="1">#REF!</definedName>
    <definedName name="地块一" localSheetId="32" hidden="1">#REF!</definedName>
    <definedName name="地块一" localSheetId="16" hidden="1">#REF!</definedName>
    <definedName name="地块一" localSheetId="35" hidden="1">#REF!</definedName>
    <definedName name="地块一" localSheetId="36" hidden="1">#REF!</definedName>
    <definedName name="地块一" localSheetId="38" hidden="1">#REF!</definedName>
    <definedName name="地块一" localSheetId="31" hidden="1">#REF!</definedName>
    <definedName name="地块一" localSheetId="40" hidden="1">#REF!</definedName>
    <definedName name="地块一" hidden="1">#REF!</definedName>
    <definedName name="地类判定" localSheetId="56">[1]定义!$H$1:$H$9</definedName>
    <definedName name="地类判定" localSheetId="18">[2]定义!$H$1:$H$9</definedName>
    <definedName name="地类判定" localSheetId="48">[1]定义!$H$1:$H$9</definedName>
    <definedName name="地类判定">定义!$H$1:$H$9</definedName>
    <definedName name="二层商铺比较法" localSheetId="44" hidden="1">#REF!</definedName>
    <definedName name="二层商铺比较法" localSheetId="41" hidden="1">#REF!</definedName>
    <definedName name="二层商铺比较法" localSheetId="42" hidden="1">#REF!</definedName>
    <definedName name="二层商铺比较法" localSheetId="43" hidden="1">#REF!</definedName>
    <definedName name="二层商铺比较法" localSheetId="45" hidden="1">#REF!</definedName>
    <definedName name="二层商铺比较法" localSheetId="32" hidden="1">#REF!</definedName>
    <definedName name="二层商铺比较法" localSheetId="16" hidden="1">#REF!</definedName>
    <definedName name="二层商铺比较法" localSheetId="35" hidden="1">#REF!</definedName>
    <definedName name="二层商铺比较法" localSheetId="36" hidden="1">#REF!</definedName>
    <definedName name="二层商铺比较法" localSheetId="38" hidden="1">#REF!</definedName>
    <definedName name="二层商铺比较法" localSheetId="31" hidden="1">#REF!</definedName>
    <definedName name="二层商铺比较法" localSheetId="40" hidden="1">#REF!</definedName>
    <definedName name="二层商铺比较法" hidden="1">#REF!</definedName>
    <definedName name="二级">区片价!$J$1:$J$20</definedName>
    <definedName name="二级分类" localSheetId="56">[1]修正!$C$17:$C$39</definedName>
    <definedName name="二级分类" localSheetId="18">[2]修正!$C$17:$C$39</definedName>
    <definedName name="二级分类" localSheetId="48">[1]修正!$C$17:$C$39</definedName>
    <definedName name="二级分类">修正!$C$17:$C$39</definedName>
    <definedName name="法定最高年限" localSheetId="56">[1]定义!$G$2:$G$4</definedName>
    <definedName name="法定最高年限" localSheetId="18">[2]定义!$G$2:$G$4</definedName>
    <definedName name="法定最高年限" localSheetId="48">[1]定义!$G$2:$G$4</definedName>
    <definedName name="法定最高年限">定义!$G$2:$G$4</definedName>
    <definedName name="工业公共部分装修" localSheetId="56">'[1]不动产比较法-工业'!$B$95:$M$95</definedName>
    <definedName name="工业公共部分装修" localSheetId="18">'[2]不动产比较法-工业'!$B$95:$M$95</definedName>
    <definedName name="工业公共部分装修" localSheetId="48">'[1]不动产比较法-工业'!$B$95:$M$95</definedName>
    <definedName name="工业公共部分装修">'不动产比较法-工业'!$B$95:$M$95</definedName>
    <definedName name="工业基础设施水平" localSheetId="56">'[1]不动产比较法-工业'!$B$102:$M$102</definedName>
    <definedName name="工业基础设施水平" localSheetId="18">'[2]不动产比较法-工业'!$B$102:$M$102</definedName>
    <definedName name="工业基础设施水平" localSheetId="48">'[1]不动产比较法-工业'!$B$102:$M$102</definedName>
    <definedName name="工业基础设施水平">'不动产比较法-工业'!$B$102:$M$102</definedName>
    <definedName name="工业建筑结构" localSheetId="56">'[1]不动产比较法-工业'!$B$93:$M$93</definedName>
    <definedName name="工业建筑结构" localSheetId="18">'[2]不动产比较法-工业'!$B$93:$M$93</definedName>
    <definedName name="工业建筑结构" localSheetId="48">'[1]不动产比较法-工业'!$B$93:$M$93</definedName>
    <definedName name="工业建筑结构">'不动产比较法-工业'!$B$93:$M$93</definedName>
    <definedName name="工业建筑类型" localSheetId="56">'[1]不动产比较法-工业'!$B$88:$M$88</definedName>
    <definedName name="工业建筑类型" localSheetId="18">'[2]不动产比较法-工业'!$B$88:$M$88</definedName>
    <definedName name="工业建筑类型" localSheetId="48">'[1]不动产比较法-工业'!$B$88:$M$88</definedName>
    <definedName name="工业建筑类型">'不动产比较法-工业'!$B$88:$M$88</definedName>
    <definedName name="工业交易情况" localSheetId="56">'[1]不动产比较法-工业'!$A$55:$M$55</definedName>
    <definedName name="工业交易情况" localSheetId="18">'[2]不动产比较法-工业'!$A$55:$M$55</definedName>
    <definedName name="工业交易情况" localSheetId="48">'[1]不动产比较法-工业'!$A$55:$M$55</definedName>
    <definedName name="工业交易情况">'不动产比较法-工业'!$A$55:$M$55</definedName>
    <definedName name="工业内部装修" localSheetId="56">'[1]不动产比较法-工业'!$B$104:$M$104</definedName>
    <definedName name="工业内部装修" localSheetId="18">'[2]不动产比较法-工业'!$B$104:$M$104</definedName>
    <definedName name="工业内部装修" localSheetId="48">'[1]不动产比较法-工业'!$B$104:$M$104</definedName>
    <definedName name="工业内部装修">'不动产比较法-工业'!$B$104:$M$104</definedName>
    <definedName name="工业物业管理" localSheetId="56">'[1]不动产比较法-工业'!$B$100:$M$100</definedName>
    <definedName name="工业物业管理" localSheetId="18">'[2]不动产比较法-工业'!$B$100:$M$100</definedName>
    <definedName name="工业物业管理" localSheetId="48">'[1]不动产比较法-工业'!$B$100:$M$100</definedName>
    <definedName name="工业物业管理">'不动产比较法-工业'!$B$100:$M$100</definedName>
    <definedName name="工业用途" localSheetId="56">'[1]不动产比较法-工业'!$B$57:$M$57</definedName>
    <definedName name="工业用途" localSheetId="18">'[2]不动产比较法-工业'!$B$57:$M$57</definedName>
    <definedName name="工业用途" localSheetId="48">'[1]不动产比较法-工业'!$B$57:$M$57</definedName>
    <definedName name="工业用途">'不动产比较法-工业'!$B$57:$M$57</definedName>
    <definedName name="公共配套设施" localSheetId="56">[1]定义!$Q$1:$Q$6</definedName>
    <definedName name="公共配套设施" localSheetId="18">[2]定义!$Q$1:$Q$6</definedName>
    <definedName name="公共配套设施" localSheetId="48">[1]定义!$Q$1:$Q$6</definedName>
    <definedName name="公共配套设施">定义!$Q$1:$Q$6</definedName>
    <definedName name="估价方法" localSheetId="56">[1]定义!$B$1:$B$50</definedName>
    <definedName name="估价方法" localSheetId="18">[2]定义!$B$1:$B$50</definedName>
    <definedName name="估价方法" localSheetId="48">[1]定义!$B$1:$B$50</definedName>
    <definedName name="估价方法">定义!$B$1:$B$50</definedName>
    <definedName name="环境" localSheetId="56">[1]定义!$S$1:$S$6</definedName>
    <definedName name="环境" localSheetId="18">[2]定义!$S$1:$S$6</definedName>
    <definedName name="环境" localSheetId="48">[1]定义!$S$1:$S$6</definedName>
    <definedName name="环境">定义!$S$1:$S$6</definedName>
    <definedName name="基础设施水平" localSheetId="56">[1]定义!$R$1:$R$6</definedName>
    <definedName name="基础设施水平" localSheetId="18">[2]定义!$R$1:$R$6</definedName>
    <definedName name="基础设施水平" localSheetId="48">[1]定义!$R$1:$R$6</definedName>
    <definedName name="基础设施水平">定义!$R$1:$R$6</definedName>
    <definedName name="季度">基准地价!$N$19:$AB$19</definedName>
    <definedName name="季度2014">地价!$A$2:$A$32</definedName>
    <definedName name="价值类型2" localSheetId="56">[1]定义!$B$54:$B$56</definedName>
    <definedName name="价值类型2" localSheetId="18">[2]定义!$B$54:$B$56</definedName>
    <definedName name="价值类型2" localSheetId="48">[1]定义!$B$54:$B$56</definedName>
    <definedName name="价值类型2">定义!$B$54:$B$56</definedName>
    <definedName name="交通便捷度" localSheetId="56">[1]定义!$O$1:$O$6</definedName>
    <definedName name="交通便捷度" localSheetId="18">[2]定义!$O$1:$O$6</definedName>
    <definedName name="交通便捷度" localSheetId="48">[1]定义!$O$1:$O$6</definedName>
    <definedName name="交通便捷度">定义!$O$1:$O$6</definedName>
    <definedName name="净值表" localSheetId="44" hidden="1">#REF!</definedName>
    <definedName name="净值表" localSheetId="41" hidden="1">#REF!</definedName>
    <definedName name="净值表" localSheetId="42" hidden="1">#REF!</definedName>
    <definedName name="净值表" localSheetId="43" hidden="1">#REF!</definedName>
    <definedName name="净值表" localSheetId="45" hidden="1">#REF!</definedName>
    <definedName name="净值表" localSheetId="32" hidden="1">#REF!</definedName>
    <definedName name="净值表" localSheetId="16" hidden="1">#REF!</definedName>
    <definedName name="净值表" localSheetId="35" hidden="1">#REF!</definedName>
    <definedName name="净值表" localSheetId="36" hidden="1">#REF!</definedName>
    <definedName name="净值表" localSheetId="38" hidden="1">#REF!</definedName>
    <definedName name="净值表" localSheetId="31" hidden="1">#REF!</definedName>
    <definedName name="净值表" localSheetId="40" hidden="1">#REF!</definedName>
    <definedName name="净值表" hidden="1">#REF!</definedName>
    <definedName name="九级">区片价!$Q$1:$Q$46</definedName>
    <definedName name="居住社区成熟度" localSheetId="56">[1]定义!$K$1:$K$6</definedName>
    <definedName name="居住社区成熟度" localSheetId="18">[2]定义!$K$1:$K$6</definedName>
    <definedName name="居住社区成熟度" localSheetId="48">[1]定义!$K$1:$K$6</definedName>
    <definedName name="居住社区成熟度">定义!$K$1:$K$6</definedName>
    <definedName name="类别" localSheetId="56">[1]定义!$J$1:$J$3</definedName>
    <definedName name="类别" localSheetId="18">[2]定义!$J$1:$J$3</definedName>
    <definedName name="类别" localSheetId="48">[1]定义!$J$1:$J$3</definedName>
    <definedName name="类别">定义!$J$1:$J$3</definedName>
    <definedName name="临街状况" localSheetId="56">[1]定义!$T$1:$T$5</definedName>
    <definedName name="临街状况" localSheetId="18">[2]定义!$T$1:$T$5</definedName>
    <definedName name="临街状况" localSheetId="48">[1]定义!$T$1:$T$5</definedName>
    <definedName name="临街状况">定义!$T$1:$T$5</definedName>
    <definedName name="六级">区片价!$N$1:$N$49</definedName>
    <definedName name="内部装修维护情况" localSheetId="56">[1]定义!$U$1:$U$6</definedName>
    <definedName name="内部装修维护情况" localSheetId="18">[2]定义!$U$1:$U$6</definedName>
    <definedName name="内部装修维护情况" localSheetId="48">[1]定义!$U$1:$U$6</definedName>
    <definedName name="内部装修维护情况">定义!$U$1:$U$6</definedName>
    <definedName name="判定" localSheetId="56">[1]定义!$D$1:$D$4</definedName>
    <definedName name="判定" localSheetId="18">[2]定义!$D$1:$D$4</definedName>
    <definedName name="判定" localSheetId="48">[1]定义!$D$1:$D$4</definedName>
    <definedName name="判定">定义!$D$1:$D$4</definedName>
    <definedName name="七级">区片价!$O$1:$O$49</definedName>
    <definedName name="七通一平" localSheetId="56">[1]修正!$A$6:$A$14</definedName>
    <definedName name="七通一平" localSheetId="18">[2]修正!$A$6:$A$14</definedName>
    <definedName name="七通一平" localSheetId="48">[1]修正!$A$6:$A$14</definedName>
    <definedName name="七通一平">修正!$A$6:$A$14</definedName>
    <definedName name="区域土地利用方向" localSheetId="56">[1]定义!$P$1:$P$6</definedName>
    <definedName name="区域土地利用方向" localSheetId="18">[2]定义!$P$1:$P$6</definedName>
    <definedName name="区域土地利用方向" localSheetId="48">[1]定义!$P$1:$P$6</definedName>
    <definedName name="区域土地利用方向">定义!$P$1:$P$6</definedName>
    <definedName name="三级">区片价!$K$1:$K$21</definedName>
    <definedName name="商业层高" localSheetId="56">'[1]不动产比较法-商业'!$B$116:$M$116</definedName>
    <definedName name="商业层高" localSheetId="18">'[2]不动产比较法-商业'!$B$116:$M$116</definedName>
    <definedName name="商业层高" localSheetId="48">'[1]不动产比较法-商业'!$B$116:$M$116</definedName>
    <definedName name="商业层高">'不动产比较法-商业'!$B$116:$M$116</definedName>
    <definedName name="商业成新度">'不动产比较法-商业'!$B$109:$M$109</definedName>
    <definedName name="商业繁华度" localSheetId="56">[1]定义!$L$1:$L$6</definedName>
    <definedName name="商业繁华度" localSheetId="18">[2]定义!$L$1:$L$6</definedName>
    <definedName name="商业繁华度" localSheetId="48">[1]定义!$L$1:$L$6</definedName>
    <definedName name="商业繁华度">定义!$L$1:$L$6</definedName>
    <definedName name="商业公共部分装修" localSheetId="56">'[1]不动产比较法-商业'!$B$107:$M$107</definedName>
    <definedName name="商业公共部分装修" localSheetId="18">'[2]不动产比较法-商业'!$B$107:$M$107</definedName>
    <definedName name="商业公共部分装修" localSheetId="48">'[1]不动产比较法-商业'!$B$107:$M$107</definedName>
    <definedName name="商业公共部分装修">'不动产比较法-商业'!$B$107:$M$107</definedName>
    <definedName name="商业基础设施水平" localSheetId="56">'[1]不动产比较法-商业'!$B$112:$M$112</definedName>
    <definedName name="商业基础设施水平" localSheetId="18">'[2]不动产比较法-商业'!$B$112:$M$112</definedName>
    <definedName name="商业基础设施水平" localSheetId="48">'[1]不动产比较法-商业'!$B$112:$M$112</definedName>
    <definedName name="商业基础设施水平">'不动产比较法-商业'!$B$112:$M$112</definedName>
    <definedName name="商业建筑结构" localSheetId="56">'[1]不动产比较法-商业'!$B$105:$M$105</definedName>
    <definedName name="商业建筑结构" localSheetId="18">'[2]不动产比较法-商业'!$B$105:$M$105</definedName>
    <definedName name="商业建筑结构" localSheetId="48">'[1]不动产比较法-商业'!$B$105:$M$105</definedName>
    <definedName name="商业建筑结构">'不动产比较法-商业'!$B$105:$M$105</definedName>
    <definedName name="商业交易情况" localSheetId="56">'[1]不动产比较法-商业'!$A$61:$M$61</definedName>
    <definedName name="商业交易情况" localSheetId="18">'[2]不动产比较法-商业'!$A$61:$M$61</definedName>
    <definedName name="商业交易情况" localSheetId="48">'[1]不动产比较法-商业'!$A$61:$M$61</definedName>
    <definedName name="商业交易情况">'不动产比较法-商业'!$A$61:$M$61</definedName>
    <definedName name="商业街名称" localSheetId="56">[1]修正!$C$59:$C$119</definedName>
    <definedName name="商业街名称" localSheetId="18">[2]修正!$C$59:$C$119</definedName>
    <definedName name="商业街名称" localSheetId="48">[1]修正!$C$59:$C$119</definedName>
    <definedName name="商业街名称">修正!$C$59:$C$119</definedName>
    <definedName name="商业进深比" localSheetId="56">'[1]不动产比较法-商业'!$B$120:$M$120</definedName>
    <definedName name="商业进深比" localSheetId="18">'[2]不动产比较法-商业'!$B$120:$M$120</definedName>
    <definedName name="商业进深比" localSheetId="48">'[1]不动产比较法-商业'!$B$120:$M$120</definedName>
    <definedName name="商业进深比">'不动产比较法-商业'!$B$120:$M$120</definedName>
    <definedName name="商业类型" localSheetId="56">'[1]不动产比较法-商业'!$B$100:$M$100</definedName>
    <definedName name="商业类型" localSheetId="18">'[2]不动产比较法-商业'!$B$100:$M$100</definedName>
    <definedName name="商业类型" localSheetId="48">'[1]不动产比较法-商业'!$B$100:$M$100</definedName>
    <definedName name="商业类型">'不动产比较法-商业'!$B$100:$M$100</definedName>
    <definedName name="商业临街状况" localSheetId="56">'[1]不动产比较法-商业'!$B$86:$M$86</definedName>
    <definedName name="商业临街状况" localSheetId="18">'[2]不动产比较法-商业'!$B$86:$M$86</definedName>
    <definedName name="商业临街状况" localSheetId="48">'[1]不动产比较法-商业'!$B$86:$M$86</definedName>
    <definedName name="商业临街状况">'不动产比较法-商业'!$B$86:$M$86</definedName>
    <definedName name="商业楼层" localSheetId="56">'[1]不动产比较法-商业'!$B$92:$M$92</definedName>
    <definedName name="商业楼层" localSheetId="18">'[2]不动产比较法-商业'!$B$92:$M$92</definedName>
    <definedName name="商业楼层" localSheetId="48">'[1]不动产比较法-商业'!$B$92:$M$92</definedName>
    <definedName name="商业楼层">'不动产比较法-商业'!$B$92:$M$92</definedName>
    <definedName name="商业内部装修" localSheetId="56">'[1]不动产比较法-商业'!$B$122:$M$122</definedName>
    <definedName name="商业内部装修" localSheetId="18">'[2]不动产比较法-商业'!$B$122:$M$122</definedName>
    <definedName name="商业内部装修" localSheetId="48">'[1]不动产比较法-商业'!$B$122:$M$122</definedName>
    <definedName name="商业内部装修">'不动产比较法-商业'!$B$122:$M$122</definedName>
    <definedName name="商业人流量" localSheetId="56">'[1]不动产比较法-商业'!$B$90:$M$90</definedName>
    <definedName name="商业人流量" localSheetId="18">'[2]不动产比较法-商业'!$B$90:$M$90</definedName>
    <definedName name="商业人流量" localSheetId="48">'[1]不动产比较法-商业'!$B$90:$M$90</definedName>
    <definedName name="商业人流量">'不动产比较法-商业'!$B$90:$M$90</definedName>
    <definedName name="商业业态" localSheetId="56">'[1]不动产比较法-商业'!$B$114:$M$114</definedName>
    <definedName name="商业业态" localSheetId="18">'[2]不动产比较法-商业'!$B$114:$M$114</definedName>
    <definedName name="商业业态" localSheetId="48">'[1]不动产比较法-商业'!$B$114:$M$114</definedName>
    <definedName name="商业业态">'不动产比较法-商业'!$B$114:$M$114</definedName>
    <definedName name="商业用途" localSheetId="56">'[1]不动产比较法-商业'!$B$63:$M$63</definedName>
    <definedName name="商业用途" localSheetId="18">'[2]不动产比较法-商业'!$B$63:$M$63</definedName>
    <definedName name="商业用途" localSheetId="48">'[1]不动产比较法-商业'!$B$63:$M$63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'[3]#REF!'!$A$2:$D$39</definedName>
    <definedName name="是否封闭" localSheetId="56">'[1]不动产比较法-仓储'!$B$89:$M$89</definedName>
    <definedName name="是否封闭" localSheetId="18">'[2]不动产比较法-仓储'!$B$89:$M$89</definedName>
    <definedName name="是否封闭" localSheetId="48">'[1]不动产比较法-仓储'!$B$89:$M$89</definedName>
    <definedName name="是否封闭">'不动产比较法-仓储'!$B$89:$M$89</definedName>
    <definedName name="是否直接入户" localSheetId="56">'[1]不动产比较法-车位'!$B$95:$M$95</definedName>
    <definedName name="是否直接入户" localSheetId="18">'[2]不动产比较法-车位'!$B$95:$M$95</definedName>
    <definedName name="是否直接入户" localSheetId="48">'[1]不动产比较法-车位'!$B$95:$M$95</definedName>
    <definedName name="是否直接入户">'不动产比较法-车位'!$B$95:$M$95</definedName>
    <definedName name="四级">区片价!$L$1:$L$28</definedName>
    <definedName name="套工工程地质条件" localSheetId="56">'[1]比较法-工业'!$B$116:$M$116</definedName>
    <definedName name="套工工程地质条件" localSheetId="18">'[2]比较法-工业'!$B$116:$M$116</definedName>
    <definedName name="套工工程地质条件" localSheetId="48">'[1]比较法-工业'!$B$116:$M$116</definedName>
    <definedName name="套工工程地质条件">'比较法-工业'!$B$116:$M$116</definedName>
    <definedName name="套工交易情况" localSheetId="56">'[1]比较法-住宅、综合'!$A$75:$M$75</definedName>
    <definedName name="套工交易情况" localSheetId="18">'[2]比较法-住宅、综合'!$A$75:$M$75</definedName>
    <definedName name="套工交易情况" localSheetId="48">'[1]比较法-住宅、综合'!$A$75:$M$75</definedName>
    <definedName name="套工交易情况">'比较法-住宅、综合'!$A$75:$M$75</definedName>
    <definedName name="套工开发程度" localSheetId="56">'[1]比较法-工业'!$B$114:$M$114</definedName>
    <definedName name="套工开发程度" localSheetId="18">'[2]比较法-工业'!$B$114:$M$114</definedName>
    <definedName name="套工开发程度" localSheetId="48">'[1]比较法-工业'!$B$114:$M$114</definedName>
    <definedName name="套工开发程度">'比较法-工业'!$B$114:$M$114</definedName>
    <definedName name="套工临街等级" localSheetId="56">'[1]比较法-工业'!$B$99:$M$99</definedName>
    <definedName name="套工临街等级" localSheetId="18">'[2]比较法-工业'!$B$99:$M$99</definedName>
    <definedName name="套工临街等级" localSheetId="48">'[1]比较法-工业'!$B$99:$M$99</definedName>
    <definedName name="套工临街等级">'比较法-工业'!$B$99:$M$99</definedName>
    <definedName name="套工土地级别" localSheetId="56">'[1]比较法-工业'!$B$101:$M$101</definedName>
    <definedName name="套工土地级别" localSheetId="18">'[2]比较法-工业'!$B$101:$M$101</definedName>
    <definedName name="套工土地级别" localSheetId="48">'[1]比较法-工业'!$B$101:$M$101</definedName>
    <definedName name="套工土地级别">'比较法-工业'!$B$101:$M$101</definedName>
    <definedName name="套工用途" localSheetId="56">'[1]比较法-工业'!$B$72:$M$72</definedName>
    <definedName name="套工用途" localSheetId="18">'[2]比较法-工业'!$B$72:$M$72</definedName>
    <definedName name="套工用途" localSheetId="48">'[1]比较法-工业'!$B$72:$M$72</definedName>
    <definedName name="套工用途">'比较法-工业'!$B$72:$M$72</definedName>
    <definedName name="套工宗地形状" localSheetId="56">'[1]比较法-工业'!$B$112:$M$112</definedName>
    <definedName name="套工宗地形状" localSheetId="18">'[2]比较法-工业'!$B$112:$M$112</definedName>
    <definedName name="套工宗地形状" localSheetId="48">'[1]比较法-工业'!$B$112:$M$112</definedName>
    <definedName name="套工宗地形状">'比较法-工业'!$B$112:$M$112</definedName>
    <definedName name="套综道路等级" localSheetId="56">'[1]比较法-住宅、综合'!$B$108:$M$108</definedName>
    <definedName name="套综道路等级" localSheetId="18">'[2]比较法-住宅、综合'!$B$108:$M$108</definedName>
    <definedName name="套综道路等级" localSheetId="48">'[1]比较法-住宅、综合'!$B$108:$M$108</definedName>
    <definedName name="套综道路等级">'比较法-住宅、综合'!$B$108:$M$108</definedName>
    <definedName name="套综工程地质条件" localSheetId="56">'[1]比较法-住宅、综合'!$B$127:$M$127</definedName>
    <definedName name="套综工程地质条件" localSheetId="18">'[2]比较法-住宅、综合'!$B$127:$M$127</definedName>
    <definedName name="套综工程地质条件" localSheetId="48">'[1]比较法-住宅、综合'!$B$127:$M$127</definedName>
    <definedName name="套综工程地质条件">'比较法-住宅、综合'!$B$127:$M$127</definedName>
    <definedName name="套综交易情况" localSheetId="56">'[1]比较法-住宅、综合'!$A$75:$M$75</definedName>
    <definedName name="套综交易情况" localSheetId="18">'[2]比较法-住宅、综合'!$A$75:$M$75</definedName>
    <definedName name="套综交易情况" localSheetId="48">'[1]比较法-住宅、综合'!$A$75:$M$75</definedName>
    <definedName name="套综交易情况">'比较法-住宅、综合'!$A$75:$M$75</definedName>
    <definedName name="套综临街宽度及深度" localSheetId="56">'[1]比较法-住宅、综合'!$B$123:$M$123</definedName>
    <definedName name="套综临街宽度及深度" localSheetId="18">'[2]比较法-住宅、综合'!$B$123:$M$123</definedName>
    <definedName name="套综临街宽度及深度" localSheetId="48">'[1]比较法-住宅、综合'!$B$123:$M$123</definedName>
    <definedName name="套综临街宽度及深度">'比较法-住宅、综合'!$B$123:$M$123</definedName>
    <definedName name="套综土地级别" localSheetId="56">'[1]比较法-住宅、综合'!$B$110:$M$110</definedName>
    <definedName name="套综土地级别" localSheetId="18">'[2]比较法-住宅、综合'!$B$110:$M$110</definedName>
    <definedName name="套综土地级别" localSheetId="48">'[1]比较法-住宅、综合'!$B$110:$M$110</definedName>
    <definedName name="套综土地级别">'比较法-住宅、综合'!$B$110:$M$110</definedName>
    <definedName name="套综用途" localSheetId="56">'[1]比较法-住宅、综合'!$B$77:$M$77</definedName>
    <definedName name="套综用途" localSheetId="18">'[2]比较法-住宅、综合'!$B$77:$M$77</definedName>
    <definedName name="套综用途" localSheetId="48">'[1]比较法-住宅、综合'!$B$77:$M$77</definedName>
    <definedName name="套综用途">'比较法-住宅、综合'!$B$77:$M$77</definedName>
    <definedName name="套综宗地内开发程度" localSheetId="56">'[1]比较法-住宅、综合'!$B$125:$M$125</definedName>
    <definedName name="套综宗地内开发程度" localSheetId="18">'[2]比较法-住宅、综合'!$B$125:$M$125</definedName>
    <definedName name="套综宗地内开发程度" localSheetId="48">'[1]比较法-住宅、综合'!$B$125:$M$125</definedName>
    <definedName name="套综宗地内开发程度">'比较法-住宅、综合'!$B$125:$M$125</definedName>
    <definedName name="套综宗地形状" localSheetId="56">'[1]比较法-住宅、综合'!$B$121:$M$121</definedName>
    <definedName name="套综宗地形状" localSheetId="18">'[2]比较法-住宅、综合'!$B$121:$M$121</definedName>
    <definedName name="套综宗地形状" localSheetId="48">'[1]比较法-住宅、综合'!$B$121:$M$121</definedName>
    <definedName name="套综宗地形状">'比较法-住宅、综合'!$B$121:$M$121</definedName>
    <definedName name="土地估价师" localSheetId="56">[1]估价师及机构信息!$D$3:$D$24</definedName>
    <definedName name="土地估价师" localSheetId="18">[2]估价师及机构信息!$D$3:$D$16</definedName>
    <definedName name="土地估价师" localSheetId="48">[1]估价师及机构信息!$D$3:$D$24</definedName>
    <definedName name="土地估价师">估价师及机构信息!$D$3:$D$16</definedName>
    <definedName name="土地级别" localSheetId="56">[1]定义!$C$1:$C$14</definedName>
    <definedName name="土地级别" localSheetId="18">[2]定义!$C$1:$C$14</definedName>
    <definedName name="土地级别" localSheetId="48">[1]定义!$C$1:$C$14</definedName>
    <definedName name="土地级别">定义!$C$1:$C$14</definedName>
    <definedName name="土地利用方向">定义!$P$1:$P$6</definedName>
    <definedName name="土地年限区间" localSheetId="56">[1]定义!$I$1:$I$8</definedName>
    <definedName name="土地年限区间" localSheetId="18">[2]定义!$I$1:$I$8</definedName>
    <definedName name="土地年限区间" localSheetId="48">[1]定义!$I$1:$I$8</definedName>
    <definedName name="土地年限区间">定义!$I$1:$I$8</definedName>
    <definedName name="位置" localSheetId="56">[1]定义!$E$2:$E$4</definedName>
    <definedName name="位置" localSheetId="18">[2]定义!$E$2:$E$4</definedName>
    <definedName name="位置" localSheetId="48">[1]定义!$E$2:$E$4</definedName>
    <definedName name="位置">定义!$E$2:$E$4</definedName>
    <definedName name="五等判定" localSheetId="56">[1]定义!$W$1:$W$6</definedName>
    <definedName name="五等判定" localSheetId="18">[2]定义!$W$1:$W$6</definedName>
    <definedName name="五等判定" localSheetId="48">[1]定义!$W$1:$W$6</definedName>
    <definedName name="五等判定">定义!$W$1:$W$6</definedName>
    <definedName name="五级">区片价!$M$1:$M$35</definedName>
    <definedName name="项目类型" localSheetId="56">'[1]数据-汇总表'!$C$17:$C$26</definedName>
    <definedName name="项目类型" localSheetId="18">'[2]数据-汇总表'!$C$17:$C$26</definedName>
    <definedName name="项目类型" localSheetId="48">'[1]数据-汇总表'!$C$17:$C$26</definedName>
    <definedName name="项目类型">'数据-汇总表'!$C$17:$C$26</definedName>
    <definedName name="写字楼等级" localSheetId="56">'[1]不动产比较法--商务办公'!$B$113:$M$113</definedName>
    <definedName name="写字楼等级" localSheetId="18">'[2]不动产比较法-办公'!$B$113:$M$113</definedName>
    <definedName name="写字楼等级" localSheetId="48">'[1]不动产比较法--商务办公'!$B$113:$M$113</definedName>
    <definedName name="写字楼等级">'不动产比较法-办公'!$B$113:$M$113</definedName>
    <definedName name="一级">区片价!$I$1:$I$6</definedName>
    <definedName name="一修多修正项2" localSheetId="56">[1]典型户型修正!$5:$5</definedName>
    <definedName name="一修多修正项2" localSheetId="18">[2]典型户型修正!$5:$5</definedName>
    <definedName name="一修多修正项2" localSheetId="48">[1]典型户型修正!$5:$5</definedName>
    <definedName name="一修多修正项2">典型户型修正!$5:$5</definedName>
    <definedName name="一修多修正项3" localSheetId="56">[1]典型户型修正!$7:$7</definedName>
    <definedName name="一修多修正项3" localSheetId="18">[2]典型户型修正!$7:$7</definedName>
    <definedName name="一修多修正项3" localSheetId="48">[1]典型户型修正!$7:$7</definedName>
    <definedName name="一修多修正项3">典型户型修正!$7:$7</definedName>
    <definedName name="一修多修正项4" localSheetId="56">[1]典型户型修正!$9:$9</definedName>
    <definedName name="一修多修正项4" localSheetId="18">[2]典型户型修正!$9:$9</definedName>
    <definedName name="一修多修正项4" localSheetId="48">[1]典型户型修正!$9:$9</definedName>
    <definedName name="一修多修正项4">典型户型修正!$9:$9</definedName>
    <definedName name="一修多修正项5" localSheetId="56">[1]典型户型修正!$11:$11</definedName>
    <definedName name="一修多修正项5" localSheetId="18">[2]典型户型修正!$11:$11</definedName>
    <definedName name="一修多修正项5" localSheetId="48">[1]典型户型修正!$11:$11</definedName>
    <definedName name="一修多修正项5">典型户型修正!$11:$11</definedName>
    <definedName name="一修多修正项6" localSheetId="56">[1]典型户型修正!$13:$13</definedName>
    <definedName name="一修多修正项6" localSheetId="18">[2]典型户型修正!$13:$13</definedName>
    <definedName name="一修多修正项6" localSheetId="48">[1]典型户型修正!$13:$13</definedName>
    <definedName name="一修多修正项6">典型户型修正!$13:$13</definedName>
    <definedName name="一修多修正项7" localSheetId="56">[1]典型户型修正!$15:$15</definedName>
    <definedName name="一修多修正项7" localSheetId="18">[2]典型户型修正!$15:$15</definedName>
    <definedName name="一修多修正项7" localSheetId="48">[1]典型户型修正!$15:$15</definedName>
    <definedName name="一修多修正项7">典型户型修正!$15:$15</definedName>
    <definedName name="一修多修正项8" localSheetId="56">[1]典型户型修正!$17:$17</definedName>
    <definedName name="一修多修正项8" localSheetId="18">[2]典型户型修正!$17:$17</definedName>
    <definedName name="一修多修正项8" localSheetId="48">[1]典型户型修正!$17:$17</definedName>
    <definedName name="一修多修正项8">典型户型修正!$17:$17</definedName>
    <definedName name="用途类型" localSheetId="56">[1]定义!$A$1:$A$50</definedName>
    <definedName name="用途类型" localSheetId="18">[2]定义!$A$1:$A$50</definedName>
    <definedName name="用途类型" localSheetId="48">[1]定义!$A$1:$A$50</definedName>
    <definedName name="用途类型">定义!$A$1:$A$50</definedName>
    <definedName name="有无电梯" localSheetId="56">'[1]不动产比较法-仓储'!$B$84:$M$84</definedName>
    <definedName name="有无电梯" localSheetId="18">'[2]不动产比较法-仓储'!$B$84:$M$84</definedName>
    <definedName name="有无电梯" localSheetId="48">'[1]不动产比较法-仓储'!$B$84:$M$84</definedName>
    <definedName name="有无电梯">'不动产比较法-仓储'!$B$84:$M$84</definedName>
    <definedName name="主用途" localSheetId="56">[1]定义!$F$1:$F$10</definedName>
    <definedName name="主用途" localSheetId="18">[2]定义!$F$1:$F$10</definedName>
    <definedName name="主用途" localSheetId="48">[1]定义!$F$1:$F$10</definedName>
    <definedName name="主用途">定义!$F$1:$F$10</definedName>
    <definedName name="住宅朝向" localSheetId="56">'[1]不动产比较法-住宅-天津'!$B$88:$M$88</definedName>
    <definedName name="住宅朝向" localSheetId="18">'[2]不动产比较法-住宅'!$B$88:$M$88</definedName>
    <definedName name="住宅朝向" localSheetId="48">'[1]不动产比较法-住宅-天津'!$B$88:$M$88</definedName>
    <definedName name="住宅朝向">'不动产比较法-住宅'!$B$88:$M$88</definedName>
    <definedName name="住宅房型" localSheetId="56">'[1]不动产比较法-住宅-天津'!$B$118:$M$118</definedName>
    <definedName name="住宅房型" localSheetId="18">'[2]不动产比较法-住宅'!$B$118:$M$118</definedName>
    <definedName name="住宅房型" localSheetId="48">'[1]不动产比较法-住宅-天津'!$B$118:$M$118</definedName>
    <definedName name="住宅房型">'不动产比较法-住宅'!$B$118:$M$118</definedName>
    <definedName name="住宅公共部分装修" localSheetId="56">'[1]不动产比较法-住宅-天津'!$B$109:$M$109</definedName>
    <definedName name="住宅公共部分装修" localSheetId="18">'[2]不动产比较法-住宅'!$B$109:$M$109</definedName>
    <definedName name="住宅公共部分装修" localSheetId="48">'[1]不动产比较法-住宅-天津'!$B$109:$M$109</definedName>
    <definedName name="住宅公共部分装修">'不动产比较法-住宅'!$B$109:$M$109</definedName>
    <definedName name="住宅基础设施水平" localSheetId="56">'[1]不动产比较法-住宅-天津'!$B$116:$M$116</definedName>
    <definedName name="住宅基础设施水平" localSheetId="18">'[2]不动产比较法-住宅'!$B$116:$M$116</definedName>
    <definedName name="住宅基础设施水平" localSheetId="48">'[1]不动产比较法-住宅-天津'!$B$116:$M$116</definedName>
    <definedName name="住宅基础设施水平">'不动产比较法-住宅'!$B$116:$M$116</definedName>
    <definedName name="住宅建筑结构" localSheetId="56">'[1]不动产比较法-住宅-天津'!$B$105:$M$105</definedName>
    <definedName name="住宅建筑结构" localSheetId="18">'[2]不动产比较法-住宅'!$B$105:$M$105</definedName>
    <definedName name="住宅建筑结构" localSheetId="48">'[1]不动产比较法-住宅-天津'!$B$105:$M$105</definedName>
    <definedName name="住宅建筑结构">'不动产比较法-住宅'!$B$105:$M$105</definedName>
    <definedName name="住宅建筑类型" localSheetId="56">'[1]不动产比较法-住宅-天津'!$B$100:$M$100</definedName>
    <definedName name="住宅建筑类型" localSheetId="18">'[2]不动产比较法-住宅'!$B$100:$M$100</definedName>
    <definedName name="住宅建筑类型" localSheetId="48">'[1]不动产比较法-住宅-天津'!$B$100:$M$100</definedName>
    <definedName name="住宅建筑类型">'不动产比较法-住宅'!$B$100:$M$100</definedName>
    <definedName name="住宅建筑品质" localSheetId="56">'[1]不动产比较法-住宅-天津'!$B$107:$M$107</definedName>
    <definedName name="住宅建筑品质" localSheetId="18">'[2]不动产比较法-住宅'!$B$107:$M$107</definedName>
    <definedName name="住宅建筑品质" localSheetId="48">'[1]不动产比较法-住宅-天津'!$B$107:$M$107</definedName>
    <definedName name="住宅建筑品质">'不动产比较法-住宅'!$B$107:$M$107</definedName>
    <definedName name="住宅交易情况" localSheetId="56">'[1]不动产比较法-住宅-天津'!$A$61:$M$61</definedName>
    <definedName name="住宅交易情况" localSheetId="18">'[2]不动产比较法-住宅'!$A$61:$M$61</definedName>
    <definedName name="住宅交易情况" localSheetId="48">'[1]不动产比较法-住宅-天津'!$A$61:$M$61</definedName>
    <definedName name="住宅交易情况">'不动产比较法-住宅'!$A$61:$M$61</definedName>
    <definedName name="住宅楼层" localSheetId="56">'[1]不动产比较法-住宅-天津'!$B$86:$M$86</definedName>
    <definedName name="住宅楼层" localSheetId="18">'[2]不动产比较法-住宅'!$B$86:$M$86</definedName>
    <definedName name="住宅楼层" localSheetId="48">'[1]不动产比较法-住宅-天津'!$B$86:$M$86</definedName>
    <definedName name="住宅楼层">'不动产比较法-住宅'!$B$86:$M$86</definedName>
    <definedName name="住宅内部装修" localSheetId="56">'[1]不动产比较法-住宅-天津'!$B$122:$M$122</definedName>
    <definedName name="住宅内部装修" localSheetId="18">'[2]不动产比较法-住宅'!$B$122:$M$122</definedName>
    <definedName name="住宅内部装修" localSheetId="48">'[1]不动产比较法-住宅-天津'!$B$122:$M$122</definedName>
    <definedName name="住宅内部装修">'不动产比较法-住宅'!$B$122:$M$122</definedName>
    <definedName name="住宅物业管理" localSheetId="56">'[1]不动产比较法-住宅-天津'!$B$114:$M$114</definedName>
    <definedName name="住宅物业管理" localSheetId="18">'[2]不动产比较法-住宅'!$B$114:$M$114</definedName>
    <definedName name="住宅物业管理" localSheetId="48">'[1]不动产比较法-住宅-天津'!$B$114:$M$114</definedName>
    <definedName name="住宅物业管理">'不动产比较法-住宅'!$B$114:$M$114</definedName>
    <definedName name="住宅用途" localSheetId="56">'[1]不动产比较法-住宅-天津'!$B$63:$M$63</definedName>
    <definedName name="住宅用途" localSheetId="18">'[2]不动产比较法-住宅'!$B$63:$M$63</definedName>
    <definedName name="住宅用途" localSheetId="48">'[1]不动产比较法-住宅-天津'!$B$63:$M$63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5" i="88" l="1"/>
  <c r="P45" i="88"/>
  <c r="Z45" i="88" s="1"/>
  <c r="AA45" i="88" s="1"/>
  <c r="L45" i="88"/>
  <c r="M45" i="88" s="1"/>
  <c r="D45" i="88"/>
  <c r="N45" i="88" s="1"/>
  <c r="T44" i="88"/>
  <c r="P44" i="88"/>
  <c r="Z44" i="88" s="1"/>
  <c r="AA44" i="88" s="1"/>
  <c r="L44" i="88"/>
  <c r="M44" i="88" s="1"/>
  <c r="D44" i="88"/>
  <c r="N44" i="88" s="1"/>
  <c r="T43" i="88"/>
  <c r="P43" i="88"/>
  <c r="Z43" i="88" s="1"/>
  <c r="AA43" i="88" s="1"/>
  <c r="N43" i="88"/>
  <c r="L43" i="88"/>
  <c r="M43" i="88" s="1"/>
  <c r="D43" i="88"/>
  <c r="T42" i="88"/>
  <c r="P42" i="88"/>
  <c r="Z42" i="88" s="1"/>
  <c r="AA42" i="88" s="1"/>
  <c r="N42" i="88"/>
  <c r="L42" i="88"/>
  <c r="M42" i="88" s="1"/>
  <c r="D42" i="88"/>
  <c r="T41" i="88"/>
  <c r="P41" i="88"/>
  <c r="Z41" i="88" s="1"/>
  <c r="AA41" i="88" s="1"/>
  <c r="N41" i="88"/>
  <c r="L41" i="88"/>
  <c r="M41" i="88" s="1"/>
  <c r="D41" i="88"/>
  <c r="E32" i="88"/>
  <c r="L32" i="88"/>
  <c r="M32" i="88"/>
  <c r="C33" i="88"/>
  <c r="M33" i="88" s="1"/>
  <c r="E33" i="88"/>
  <c r="L33" i="88"/>
  <c r="C34" i="88"/>
  <c r="F34" i="88"/>
  <c r="E34" i="88" s="1"/>
  <c r="M34" i="88" s="1"/>
  <c r="H34" i="88"/>
  <c r="L34" i="88"/>
  <c r="C35" i="88"/>
  <c r="M35" i="88" s="1"/>
  <c r="E35" i="88"/>
  <c r="L35" i="88"/>
  <c r="C36" i="88"/>
  <c r="M36" i="88" s="1"/>
  <c r="E36" i="88"/>
  <c r="L36" i="88"/>
  <c r="B23" i="88" l="1"/>
  <c r="B18" i="88"/>
  <c r="B13" i="88"/>
  <c r="B8" i="88"/>
  <c r="H34" i="82" l="1"/>
  <c r="F20" i="6"/>
  <c r="F19" i="6"/>
  <c r="AL13" i="3"/>
  <c r="R3" i="82" l="1"/>
  <c r="R7" i="82"/>
  <c r="Q7" i="82"/>
  <c r="P7" i="82"/>
  <c r="O7" i="82"/>
  <c r="F29" i="89"/>
  <c r="F25" i="89"/>
  <c r="C25" i="89" s="1"/>
  <c r="F24" i="89"/>
  <c r="F23" i="89"/>
  <c r="E22" i="89"/>
  <c r="E21" i="89"/>
  <c r="C21" i="89"/>
  <c r="E19" i="89"/>
  <c r="F17" i="89"/>
  <c r="E16" i="89"/>
  <c r="F15" i="89"/>
  <c r="F14" i="89"/>
  <c r="M10" i="89"/>
  <c r="M9" i="89"/>
  <c r="K9" i="89"/>
  <c r="J9" i="89"/>
  <c r="H9" i="89"/>
  <c r="G9" i="89"/>
  <c r="P10" i="89" s="1"/>
  <c r="F9" i="89"/>
  <c r="P9" i="89" s="1"/>
  <c r="E9" i="89"/>
  <c r="P8" i="89" s="1"/>
  <c r="C10" i="89"/>
  <c r="M8" i="89"/>
  <c r="M7" i="89"/>
  <c r="M6" i="89"/>
  <c r="K1" i="89"/>
  <c r="B4" i="88"/>
  <c r="D4" i="88"/>
  <c r="B9" i="88"/>
  <c r="P6" i="89" l="1"/>
  <c r="I14" i="88" l="1"/>
  <c r="I9" i="88"/>
  <c r="I4" i="88"/>
  <c r="I24" i="88"/>
  <c r="I23" i="88"/>
  <c r="A22" i="88"/>
  <c r="I19" i="88"/>
  <c r="B19" i="88"/>
  <c r="B24" i="88" s="1"/>
  <c r="I18" i="88"/>
  <c r="J17" i="88"/>
  <c r="I17" i="88"/>
  <c r="I20" i="88" s="1"/>
  <c r="A17" i="88"/>
  <c r="I13" i="88"/>
  <c r="I12" i="88"/>
  <c r="I15" i="88" s="1"/>
  <c r="A12" i="88"/>
  <c r="I8" i="88"/>
  <c r="I7" i="88"/>
  <c r="I10" i="88" s="1"/>
  <c r="A7" i="88"/>
  <c r="R6" i="88"/>
  <c r="Q6" i="88"/>
  <c r="P6" i="88"/>
  <c r="O3" i="88"/>
  <c r="I3" i="88"/>
  <c r="D3" i="88"/>
  <c r="D7" i="88" s="1"/>
  <c r="R2" i="88"/>
  <c r="Q2" i="88"/>
  <c r="O2" i="88"/>
  <c r="I2" i="88"/>
  <c r="I5" i="88" s="1"/>
  <c r="F2" i="88"/>
  <c r="F4" i="88" s="1"/>
  <c r="A2" i="88"/>
  <c r="I24" i="82"/>
  <c r="I19" i="82"/>
  <c r="I9" i="82"/>
  <c r="I4" i="82"/>
  <c r="L27" i="88" l="1"/>
  <c r="O18" i="88"/>
  <c r="O23" i="88"/>
  <c r="J2" i="88"/>
  <c r="I25" i="88"/>
  <c r="J12" i="88"/>
  <c r="J22" i="88"/>
  <c r="D8" i="88"/>
  <c r="D9" i="88" s="1"/>
  <c r="F7" i="88"/>
  <c r="F3" i="88"/>
  <c r="J7" i="88"/>
  <c r="F9" i="88" l="1"/>
  <c r="F8" i="88"/>
  <c r="D12" i="88" l="1"/>
  <c r="D13" i="88" s="1"/>
  <c r="D14" i="88" s="1"/>
  <c r="F14" i="88" s="1"/>
  <c r="D17" i="88" l="1"/>
  <c r="D19" i="88" l="1"/>
  <c r="D18" i="88"/>
  <c r="F17" i="88"/>
  <c r="F19" i="88" s="1"/>
  <c r="F18" i="88" l="1"/>
  <c r="D22" i="88"/>
  <c r="D24" i="88" l="1"/>
  <c r="D23" i="88"/>
  <c r="F23" i="88" s="1"/>
  <c r="F22" i="88"/>
  <c r="F24" i="88" s="1"/>
  <c r="E22" i="88" l="1"/>
  <c r="E24" i="88" l="1"/>
  <c r="E23" i="88"/>
  <c r="C24" i="88" l="1"/>
  <c r="G24" i="88" s="1"/>
  <c r="C24" i="82"/>
  <c r="F4" i="82" l="1"/>
  <c r="D4" i="82"/>
  <c r="B24" i="82"/>
  <c r="B19" i="82"/>
  <c r="B9" i="82"/>
  <c r="B4" i="82"/>
  <c r="I14" i="82" l="1"/>
  <c r="L36" i="82"/>
  <c r="L35" i="82"/>
  <c r="L34" i="82"/>
  <c r="L33" i="82"/>
  <c r="L32" i="82"/>
  <c r="F29" i="87"/>
  <c r="F25" i="87"/>
  <c r="C25" i="87"/>
  <c r="F24" i="87"/>
  <c r="F23" i="87"/>
  <c r="E22" i="87"/>
  <c r="E21" i="87"/>
  <c r="E19" i="87"/>
  <c r="F17" i="87"/>
  <c r="E16" i="87"/>
  <c r="F15" i="87"/>
  <c r="F14" i="87"/>
  <c r="M10" i="87"/>
  <c r="M9" i="87"/>
  <c r="K9" i="87"/>
  <c r="J9" i="87"/>
  <c r="H9" i="87"/>
  <c r="G9" i="87"/>
  <c r="P10" i="87" s="1"/>
  <c r="F9" i="87"/>
  <c r="P9" i="87" s="1"/>
  <c r="E9" i="87"/>
  <c r="P8" i="87" s="1"/>
  <c r="M8" i="87"/>
  <c r="M7" i="87"/>
  <c r="M6" i="87"/>
  <c r="K1" i="87"/>
  <c r="P75" i="86"/>
  <c r="Q73" i="86"/>
  <c r="P62" i="86"/>
  <c r="F61" i="86"/>
  <c r="Q60" i="86"/>
  <c r="F60" i="86"/>
  <c r="D60" i="86"/>
  <c r="Q59" i="86"/>
  <c r="K59" i="86"/>
  <c r="F59" i="86"/>
  <c r="F58" i="86"/>
  <c r="Q52" i="86"/>
  <c r="J51" i="86"/>
  <c r="J50" i="86"/>
  <c r="M47" i="86"/>
  <c r="F34" i="86"/>
  <c r="F33" i="86"/>
  <c r="F32" i="86"/>
  <c r="F31" i="86"/>
  <c r="F28" i="86"/>
  <c r="C28" i="86"/>
  <c r="F21" i="86"/>
  <c r="M20" i="86"/>
  <c r="F20" i="86"/>
  <c r="M19" i="86"/>
  <c r="M18" i="86"/>
  <c r="F18" i="86"/>
  <c r="M17" i="86"/>
  <c r="F17" i="86"/>
  <c r="F15" i="86"/>
  <c r="G1" i="86"/>
  <c r="F37" i="86"/>
  <c r="F8" i="86"/>
  <c r="F7" i="86"/>
  <c r="M6" i="86"/>
  <c r="M26" i="86"/>
  <c r="L48" i="86"/>
  <c r="C15" i="87"/>
  <c r="M23" i="86"/>
  <c r="M8" i="86"/>
  <c r="F6" i="86"/>
  <c r="C60" i="86"/>
  <c r="M9" i="86"/>
  <c r="M28" i="86"/>
  <c r="M27" i="86"/>
  <c r="J36" i="86"/>
  <c r="D21" i="87"/>
  <c r="M24" i="86"/>
  <c r="J15" i="86"/>
  <c r="C33" i="86"/>
  <c r="L47" i="86"/>
  <c r="F16" i="86"/>
  <c r="M22" i="86"/>
  <c r="F42" i="86"/>
  <c r="F13" i="86"/>
  <c r="F36" i="86"/>
  <c r="F40" i="86"/>
  <c r="F38" i="86"/>
  <c r="C21" i="87" l="1"/>
  <c r="M7" i="86"/>
  <c r="J6" i="86" s="1"/>
  <c r="F49" i="86"/>
  <c r="F50" i="86"/>
  <c r="Q72" i="86"/>
  <c r="F64" i="86"/>
  <c r="F65" i="86"/>
  <c r="F67" i="86"/>
  <c r="L60" i="86"/>
  <c r="L56" i="86"/>
  <c r="L57" i="86"/>
  <c r="F63" i="86"/>
  <c r="L59" i="86"/>
  <c r="L58" i="86"/>
  <c r="J59" i="86"/>
  <c r="J53" i="86"/>
  <c r="I54" i="86"/>
  <c r="J60" i="86"/>
  <c r="Q49" i="86" s="1"/>
  <c r="J57" i="86"/>
  <c r="J55" i="86" s="1"/>
  <c r="J58" i="86" s="1"/>
  <c r="Q51" i="86" s="1"/>
  <c r="C48" i="86" l="1"/>
  <c r="Q53" i="86"/>
  <c r="F1" i="86"/>
  <c r="Q75" i="86"/>
  <c r="Q62" i="86"/>
  <c r="J18" i="86"/>
  <c r="Q61" i="86"/>
  <c r="Q74" i="86"/>
  <c r="L46" i="86"/>
  <c r="Q67" i="86"/>
  <c r="Q58" i="86"/>
  <c r="W12" i="1" l="1"/>
  <c r="Q12" i="1"/>
  <c r="I12" i="1"/>
  <c r="G17" i="4"/>
  <c r="G25" i="6"/>
  <c r="F26" i="86"/>
  <c r="F9" i="86"/>
  <c r="F33" i="87"/>
  <c r="C34" i="87" l="1"/>
  <c r="D33" i="87" s="1"/>
  <c r="C27" i="86"/>
  <c r="C6" i="86"/>
  <c r="E17" i="88" l="1"/>
  <c r="E19" i="88" l="1"/>
  <c r="E18" i="88"/>
  <c r="C19" i="88" l="1"/>
  <c r="G19" i="88" s="1"/>
  <c r="C19" i="82"/>
  <c r="E2" i="88" l="1"/>
  <c r="E4" i="88" s="1"/>
  <c r="C4" i="88" l="1"/>
  <c r="G4" i="88" s="1"/>
  <c r="E3" i="88"/>
  <c r="L6" i="1" l="1"/>
  <c r="L14" i="1" l="1"/>
  <c r="O9" i="77"/>
  <c r="O8" i="77"/>
  <c r="O7" i="77"/>
  <c r="O6" i="77"/>
  <c r="O5" i="77"/>
  <c r="C18" i="68"/>
  <c r="M32" i="82"/>
  <c r="M33" i="82"/>
  <c r="M35" i="82"/>
  <c r="M36" i="82"/>
  <c r="C35" i="82"/>
  <c r="E33" i="82"/>
  <c r="E34" i="82"/>
  <c r="M34" i="82" s="1"/>
  <c r="E35" i="82"/>
  <c r="E36" i="82"/>
  <c r="C33" i="82"/>
  <c r="C36" i="82"/>
  <c r="C34" i="82"/>
  <c r="E32" i="82"/>
  <c r="C4" i="82" l="1"/>
  <c r="E17" i="82"/>
  <c r="E18" i="82" l="1"/>
  <c r="E19" i="82"/>
  <c r="E22" i="82"/>
  <c r="E23" i="82" l="1"/>
  <c r="E24" i="82"/>
  <c r="E2" i="82" l="1"/>
  <c r="E3" i="82" l="1"/>
  <c r="E4" i="82"/>
  <c r="L8" i="1"/>
  <c r="W8" i="1"/>
  <c r="W7" i="1"/>
  <c r="L7" i="1"/>
  <c r="D3" i="82" l="1"/>
  <c r="D7" i="82" s="1"/>
  <c r="D8" i="82" s="1"/>
  <c r="D9" i="82" s="1"/>
  <c r="D12" i="82" s="1"/>
  <c r="D13" i="82" s="1"/>
  <c r="D14" i="82" s="1"/>
  <c r="D17" i="82" s="1"/>
  <c r="D18" i="82" l="1"/>
  <c r="D22" i="82" s="1"/>
  <c r="D19" i="82"/>
  <c r="O2" i="82"/>
  <c r="D23" i="82" l="1"/>
  <c r="D24" i="82"/>
  <c r="R6" i="82"/>
  <c r="R2" i="82"/>
  <c r="Q6" i="82" l="1"/>
  <c r="Q2" i="82"/>
  <c r="P6" i="82"/>
  <c r="O3" i="82"/>
  <c r="I23" i="82" l="1"/>
  <c r="I22" i="82"/>
  <c r="I25" i="82" s="1"/>
  <c r="I18" i="82"/>
  <c r="I17" i="82"/>
  <c r="I20" i="82" s="1"/>
  <c r="I13" i="82"/>
  <c r="I15" i="82" s="1"/>
  <c r="I12" i="82"/>
  <c r="I8" i="82"/>
  <c r="I7" i="82"/>
  <c r="I3" i="82"/>
  <c r="O23" i="82" s="1"/>
  <c r="I2" i="82"/>
  <c r="O18" i="82" l="1"/>
  <c r="J12" i="82"/>
  <c r="J7" i="82"/>
  <c r="I10" i="82"/>
  <c r="F7" i="82"/>
  <c r="F8" i="82"/>
  <c r="F9" i="82"/>
  <c r="F14" i="82"/>
  <c r="F17" i="82"/>
  <c r="F19" i="82" s="1"/>
  <c r="G19" i="82" s="1"/>
  <c r="F18" i="82"/>
  <c r="F22" i="82"/>
  <c r="F24" i="82" s="1"/>
  <c r="G24" i="82" s="1"/>
  <c r="F23" i="82"/>
  <c r="A22" i="82"/>
  <c r="A17" i="82"/>
  <c r="A12" i="82"/>
  <c r="A7" i="82"/>
  <c r="A2" i="82"/>
  <c r="C22" i="88" l="1"/>
  <c r="G22" i="88" s="1"/>
  <c r="H24" i="88" s="1"/>
  <c r="J24" i="88" s="1"/>
  <c r="F3" i="82"/>
  <c r="I5" i="82"/>
  <c r="F2" i="82"/>
  <c r="C17" i="88" l="1"/>
  <c r="G17" i="88" s="1"/>
  <c r="H19" i="88" s="1"/>
  <c r="J19" i="88" s="1"/>
  <c r="C2" i="88"/>
  <c r="G2" i="88" s="1"/>
  <c r="H4" i="88" s="1"/>
  <c r="J4" i="88" s="1"/>
  <c r="J2" i="82"/>
  <c r="Q9" i="1" l="1"/>
  <c r="Q10" i="1" s="1"/>
  <c r="F25" i="81" l="1"/>
  <c r="C25" i="81" s="1"/>
  <c r="F24" i="81"/>
  <c r="F23" i="81"/>
  <c r="E22" i="81"/>
  <c r="E21" i="81"/>
  <c r="E19" i="81"/>
  <c r="F17" i="81"/>
  <c r="E16" i="81"/>
  <c r="F15" i="81"/>
  <c r="F14" i="81"/>
  <c r="M10" i="81"/>
  <c r="M9" i="81"/>
  <c r="K9" i="81"/>
  <c r="J9" i="81"/>
  <c r="I9" i="81"/>
  <c r="M8" i="81"/>
  <c r="M7" i="81"/>
  <c r="M6" i="81"/>
  <c r="F25" i="80"/>
  <c r="C25" i="80" s="1"/>
  <c r="F24" i="80"/>
  <c r="F23" i="80"/>
  <c r="E22" i="80"/>
  <c r="E21" i="80"/>
  <c r="E19" i="80"/>
  <c r="F17" i="80"/>
  <c r="E16" i="80"/>
  <c r="F15" i="80"/>
  <c r="F14" i="80"/>
  <c r="M10" i="80"/>
  <c r="M9" i="80"/>
  <c r="K9" i="80"/>
  <c r="J9" i="80"/>
  <c r="I9" i="80"/>
  <c r="M8" i="80"/>
  <c r="M7" i="80"/>
  <c r="M6" i="80"/>
  <c r="F25" i="79"/>
  <c r="C25" i="79" s="1"/>
  <c r="F24" i="79"/>
  <c r="F23" i="79"/>
  <c r="E22" i="79"/>
  <c r="E21" i="79"/>
  <c r="E19" i="79"/>
  <c r="F17" i="79"/>
  <c r="E16" i="79"/>
  <c r="F15" i="79"/>
  <c r="F14" i="79"/>
  <c r="M10" i="79"/>
  <c r="M9" i="79"/>
  <c r="K9" i="79"/>
  <c r="J9" i="79"/>
  <c r="I9" i="79"/>
  <c r="M8" i="79"/>
  <c r="M7" i="79"/>
  <c r="M6" i="79"/>
  <c r="K3" i="57" l="1"/>
  <c r="M4" i="57"/>
  <c r="N4" i="57" s="1"/>
  <c r="M3" i="57"/>
  <c r="N3" i="57" s="1"/>
  <c r="M5" i="57"/>
  <c r="H9" i="57"/>
  <c r="H5" i="57"/>
  <c r="H4" i="57"/>
  <c r="G5" i="57"/>
  <c r="G4" i="57"/>
  <c r="F5" i="57"/>
  <c r="K5" i="57" s="1"/>
  <c r="F4" i="57"/>
  <c r="K4" i="57" s="1"/>
  <c r="C18" i="88" l="1"/>
  <c r="C3" i="88"/>
  <c r="J6" i="88"/>
  <c r="N32" i="88" s="1"/>
  <c r="Q73" i="78"/>
  <c r="Q60" i="78"/>
  <c r="D60" i="78"/>
  <c r="Q59" i="78"/>
  <c r="K59" i="78"/>
  <c r="P75" i="78" s="1"/>
  <c r="F58" i="78"/>
  <c r="Q52" i="78"/>
  <c r="J50" i="78"/>
  <c r="J51" i="78" s="1"/>
  <c r="M47" i="78"/>
  <c r="F33" i="78"/>
  <c r="F60" i="78" s="1"/>
  <c r="F31" i="78"/>
  <c r="F21" i="78"/>
  <c r="F20" i="78"/>
  <c r="M19" i="78"/>
  <c r="F18" i="78"/>
  <c r="M17" i="78"/>
  <c r="F17" i="78"/>
  <c r="F15" i="78"/>
  <c r="R20" i="57"/>
  <c r="O32" i="88" l="1"/>
  <c r="P32" i="88" s="1"/>
  <c r="Q32" i="88"/>
  <c r="J11" i="88"/>
  <c r="N33" i="88" s="1"/>
  <c r="P62" i="78"/>
  <c r="O33" i="88" l="1"/>
  <c r="P33" i="88" s="1"/>
  <c r="Q33" i="88"/>
  <c r="C8" i="88"/>
  <c r="J21" i="88"/>
  <c r="N35" i="88" s="1"/>
  <c r="G18" i="88"/>
  <c r="H18" i="88" s="1"/>
  <c r="G4" i="82"/>
  <c r="U10" i="1"/>
  <c r="U9" i="1"/>
  <c r="U8" i="1"/>
  <c r="U7" i="1"/>
  <c r="U6" i="1"/>
  <c r="D16" i="68"/>
  <c r="D15" i="68"/>
  <c r="D18" i="68"/>
  <c r="J11" i="1"/>
  <c r="A3" i="3"/>
  <c r="O35" i="88" l="1"/>
  <c r="P35" i="88" s="1"/>
  <c r="Q35" i="88"/>
  <c r="J18" i="88"/>
  <c r="H20" i="88"/>
  <c r="C20" i="68"/>
  <c r="C19" i="68"/>
  <c r="C17" i="68"/>
  <c r="C16" i="68"/>
  <c r="E17" i="68"/>
  <c r="E16" i="68"/>
  <c r="E15" i="68"/>
  <c r="E14" i="68"/>
  <c r="C15" i="68"/>
  <c r="C14" i="68"/>
  <c r="AA18" i="77"/>
  <c r="AL17" i="77"/>
  <c r="AM17" i="77" s="1"/>
  <c r="AJ17" i="77"/>
  <c r="AB17" i="77"/>
  <c r="AN17" i="77" s="1"/>
  <c r="AA17" i="77"/>
  <c r="U17" i="77"/>
  <c r="T17" i="77"/>
  <c r="E17" i="77"/>
  <c r="AL16" i="77"/>
  <c r="AM16" i="77" s="1"/>
  <c r="AJ16" i="77"/>
  <c r="AB16" i="77"/>
  <c r="AN16" i="77" s="1"/>
  <c r="AA16" i="77"/>
  <c r="U16" i="77"/>
  <c r="T16" i="77"/>
  <c r="E16" i="77"/>
  <c r="AL15" i="77"/>
  <c r="AJ15" i="77"/>
  <c r="AM15" i="77" s="1"/>
  <c r="AB15" i="77"/>
  <c r="AN15" i="77" s="1"/>
  <c r="AA15" i="77"/>
  <c r="U15" i="77"/>
  <c r="T15" i="77"/>
  <c r="E15" i="77"/>
  <c r="AL14" i="77"/>
  <c r="AJ14" i="77"/>
  <c r="AM14" i="77" s="1"/>
  <c r="AB14" i="77"/>
  <c r="AN14" i="77" s="1"/>
  <c r="AA14" i="77"/>
  <c r="U14" i="77"/>
  <c r="T14" i="77"/>
  <c r="E14" i="77"/>
  <c r="AL13" i="77"/>
  <c r="AJ13" i="77"/>
  <c r="AM13" i="77" s="1"/>
  <c r="AB13" i="77"/>
  <c r="AN13" i="77" s="1"/>
  <c r="AA13" i="77"/>
  <c r="U13" i="77"/>
  <c r="D13" i="77" s="1"/>
  <c r="T13" i="77"/>
  <c r="E13" i="77"/>
  <c r="AL12" i="77"/>
  <c r="AJ12" i="77"/>
  <c r="AM12" i="77" s="1"/>
  <c r="AD12" i="77"/>
  <c r="AA12" i="77"/>
  <c r="U12" i="77"/>
  <c r="T12" i="77"/>
  <c r="G12" i="77"/>
  <c r="F12" i="77"/>
  <c r="E12" i="77"/>
  <c r="D12" i="77"/>
  <c r="AL11" i="77"/>
  <c r="AJ11" i="77"/>
  <c r="AM11" i="77" s="1"/>
  <c r="AB11" i="77"/>
  <c r="AN11" i="77" s="1"/>
  <c r="AA11" i="77"/>
  <c r="U11" i="77"/>
  <c r="T11" i="77"/>
  <c r="E11" i="77"/>
  <c r="AL10" i="77"/>
  <c r="AJ10" i="77"/>
  <c r="AM10" i="77" s="1"/>
  <c r="AB10" i="77"/>
  <c r="AN10" i="77" s="1"/>
  <c r="AA10" i="77"/>
  <c r="U10" i="77"/>
  <c r="D10" i="77" s="1"/>
  <c r="T10" i="77"/>
  <c r="E10" i="77"/>
  <c r="AL9" i="77"/>
  <c r="AJ9" i="77"/>
  <c r="AM9" i="77" s="1"/>
  <c r="AA9" i="77"/>
  <c r="U9" i="77"/>
  <c r="AB9" i="77" s="1"/>
  <c r="AN9" i="77" s="1"/>
  <c r="T9" i="77"/>
  <c r="AL8" i="77"/>
  <c r="AM8" i="77" s="1"/>
  <c r="AJ8" i="77"/>
  <c r="AA8" i="77"/>
  <c r="U8" i="77"/>
  <c r="D8" i="77" s="1"/>
  <c r="T8" i="77"/>
  <c r="T7" i="77"/>
  <c r="E7" i="77"/>
  <c r="T6" i="77"/>
  <c r="E6" i="77"/>
  <c r="T5" i="77"/>
  <c r="E5" i="77"/>
  <c r="J20" i="88" l="1"/>
  <c r="K17" i="88" s="1"/>
  <c r="R35" i="88" s="1"/>
  <c r="S35" i="88" s="1"/>
  <c r="U18" i="77"/>
  <c r="Q13" i="3"/>
  <c r="F23" i="6"/>
  <c r="F22" i="6"/>
  <c r="O13" i="3"/>
  <c r="E8" i="77"/>
  <c r="AB8" i="77"/>
  <c r="AN8" i="77" s="1"/>
  <c r="D9" i="77"/>
  <c r="E9" i="77"/>
  <c r="M13" i="3"/>
  <c r="F21" i="6"/>
  <c r="R22" i="57"/>
  <c r="R23" i="57" s="1"/>
  <c r="N5" i="57" s="1"/>
  <c r="D5" i="57" s="1"/>
  <c r="D10" i="57" s="1"/>
  <c r="D23" i="57"/>
  <c r="F24" i="6"/>
  <c r="S13" i="3"/>
  <c r="AB12" i="77"/>
  <c r="AN12" i="77" s="1"/>
  <c r="D5" i="9"/>
  <c r="M10" i="12"/>
  <c r="M9" i="12"/>
  <c r="M8" i="12"/>
  <c r="M7" i="12"/>
  <c r="M6" i="12"/>
  <c r="K18" i="88" l="1"/>
  <c r="V35" i="88" s="1"/>
  <c r="W35" i="88" s="1"/>
  <c r="K19" i="88"/>
  <c r="M19" i="88" s="1"/>
  <c r="M17" i="88"/>
  <c r="AB18" i="77"/>
  <c r="F20" i="11"/>
  <c r="F18" i="11"/>
  <c r="E14" i="11"/>
  <c r="E8" i="11"/>
  <c r="AE35" i="88" l="1"/>
  <c r="AF35" i="88" s="1"/>
  <c r="M18" i="88"/>
  <c r="M20" i="88" s="1"/>
  <c r="B20" i="1"/>
  <c r="B19" i="1"/>
  <c r="AM7" i="1"/>
  <c r="AL6" i="1"/>
  <c r="AL11" i="1" s="1"/>
  <c r="AK6" i="1"/>
  <c r="AK11" i="1" s="1"/>
  <c r="F23" i="78" l="1"/>
  <c r="D22" i="78" s="1"/>
  <c r="F23" i="86"/>
  <c r="D24" i="78" l="1"/>
  <c r="D23" i="78"/>
  <c r="D22" i="86"/>
  <c r="D24" i="86"/>
  <c r="D23" i="86"/>
  <c r="Q73" i="76"/>
  <c r="Q60" i="76"/>
  <c r="D60" i="76"/>
  <c r="Q59" i="76"/>
  <c r="K59" i="76"/>
  <c r="P75" i="76" s="1"/>
  <c r="F58" i="76"/>
  <c r="Q52" i="76"/>
  <c r="J50" i="76"/>
  <c r="J51" i="76" s="1"/>
  <c r="M47" i="76"/>
  <c r="F33" i="76"/>
  <c r="F60" i="76" s="1"/>
  <c r="F31" i="76"/>
  <c r="F23" i="76"/>
  <c r="D23" i="76" s="1"/>
  <c r="F21" i="76"/>
  <c r="F20" i="76"/>
  <c r="M19" i="76"/>
  <c r="F18" i="76"/>
  <c r="M17" i="76"/>
  <c r="F17" i="76"/>
  <c r="F15" i="76"/>
  <c r="Q73" i="75"/>
  <c r="Q60" i="75"/>
  <c r="D60" i="75"/>
  <c r="Q59" i="75"/>
  <c r="K59" i="75"/>
  <c r="P75" i="75" s="1"/>
  <c r="F58" i="75"/>
  <c r="Q52" i="75"/>
  <c r="J50" i="75"/>
  <c r="J51" i="75" s="1"/>
  <c r="M47" i="75"/>
  <c r="F33" i="75"/>
  <c r="F60" i="75" s="1"/>
  <c r="F31" i="75"/>
  <c r="F23" i="75"/>
  <c r="D24" i="75" s="1"/>
  <c r="F21" i="75"/>
  <c r="F20" i="75"/>
  <c r="M19" i="75"/>
  <c r="F18" i="75"/>
  <c r="M17" i="75"/>
  <c r="F17" i="75"/>
  <c r="F15" i="75"/>
  <c r="Q73" i="74"/>
  <c r="Q60" i="74"/>
  <c r="D60" i="74"/>
  <c r="Q59" i="74"/>
  <c r="K59" i="74"/>
  <c r="P75" i="74" s="1"/>
  <c r="F58" i="74"/>
  <c r="Q52" i="74"/>
  <c r="J50" i="74"/>
  <c r="J51" i="74" s="1"/>
  <c r="M47" i="74"/>
  <c r="F33" i="74"/>
  <c r="F60" i="74" s="1"/>
  <c r="F31" i="74"/>
  <c r="F23" i="74"/>
  <c r="D24" i="74" s="1"/>
  <c r="F21" i="74"/>
  <c r="F20" i="74"/>
  <c r="M19" i="74"/>
  <c r="F18" i="74"/>
  <c r="M17" i="74"/>
  <c r="F17" i="74"/>
  <c r="F15" i="74"/>
  <c r="Q73" i="73"/>
  <c r="Q60" i="73"/>
  <c r="D60" i="73"/>
  <c r="Q59" i="73"/>
  <c r="K59" i="73"/>
  <c r="P75" i="73" s="1"/>
  <c r="F58" i="73"/>
  <c r="Q52" i="73"/>
  <c r="J50" i="73"/>
  <c r="J51" i="73" s="1"/>
  <c r="M47" i="73"/>
  <c r="F33" i="73"/>
  <c r="F60" i="73" s="1"/>
  <c r="F31" i="73"/>
  <c r="F23" i="73"/>
  <c r="D24" i="73" s="1"/>
  <c r="F21" i="73"/>
  <c r="F20" i="73"/>
  <c r="M19" i="73"/>
  <c r="F18" i="73"/>
  <c r="M17" i="73"/>
  <c r="F17" i="73"/>
  <c r="F15" i="73"/>
  <c r="AM10" i="1"/>
  <c r="AM9" i="1"/>
  <c r="AM8" i="1"/>
  <c r="AL10" i="1"/>
  <c r="AL9" i="1"/>
  <c r="AL8" i="1"/>
  <c r="AK10" i="1"/>
  <c r="AK9" i="1"/>
  <c r="AK8" i="1"/>
  <c r="Y10" i="1"/>
  <c r="Y9" i="1"/>
  <c r="Y8" i="1"/>
  <c r="Y7" i="1"/>
  <c r="I37" i="34"/>
  <c r="G37" i="34"/>
  <c r="I46" i="34"/>
  <c r="G46" i="34"/>
  <c r="J10" i="1"/>
  <c r="I10" i="1"/>
  <c r="H10" i="1"/>
  <c r="J8" i="1"/>
  <c r="I8" i="1"/>
  <c r="H8" i="1"/>
  <c r="N10" i="1"/>
  <c r="N9" i="1"/>
  <c r="N8" i="1"/>
  <c r="N7" i="1"/>
  <c r="L10" i="1"/>
  <c r="D19" i="68" s="1"/>
  <c r="L9" i="1"/>
  <c r="D17" i="68" s="1"/>
  <c r="D22" i="73" l="1"/>
  <c r="D23" i="73"/>
  <c r="D23" i="74"/>
  <c r="D22" i="75"/>
  <c r="D22" i="74"/>
  <c r="D23" i="75"/>
  <c r="D24" i="76"/>
  <c r="D22" i="76"/>
  <c r="P62" i="76"/>
  <c r="P62" i="75"/>
  <c r="P62" i="74"/>
  <c r="P62" i="73"/>
  <c r="F17" i="4" l="1"/>
  <c r="I45" i="33"/>
  <c r="G45" i="33"/>
  <c r="I46" i="33"/>
  <c r="G46" i="33"/>
  <c r="C45" i="33"/>
  <c r="E44" i="33"/>
  <c r="I44" i="33" s="1"/>
  <c r="C126" i="33"/>
  <c r="C44" i="33" s="1"/>
  <c r="I36" i="33"/>
  <c r="G36" i="33"/>
  <c r="B44" i="33"/>
  <c r="E33" i="33"/>
  <c r="I33" i="33"/>
  <c r="G33" i="33"/>
  <c r="I11" i="33"/>
  <c r="G11" i="33"/>
  <c r="E11" i="33"/>
  <c r="E45" i="34"/>
  <c r="I45" i="34" s="1"/>
  <c r="C45" i="34"/>
  <c r="C37" i="34"/>
  <c r="I34" i="34"/>
  <c r="G34" i="34"/>
  <c r="E34" i="34"/>
  <c r="B45" i="34"/>
  <c r="I11" i="34"/>
  <c r="G11" i="34"/>
  <c r="E11" i="34"/>
  <c r="I6" i="34"/>
  <c r="G6" i="34"/>
  <c r="D8" i="70"/>
  <c r="E44" i="21"/>
  <c r="I44" i="21" s="1"/>
  <c r="C44" i="21"/>
  <c r="C7" i="20"/>
  <c r="E18" i="70"/>
  <c r="D18" i="70" s="1"/>
  <c r="E17" i="70"/>
  <c r="D17" i="70" s="1"/>
  <c r="E16" i="70"/>
  <c r="D16" i="70" s="1"/>
  <c r="E15" i="70"/>
  <c r="D15" i="70" s="1"/>
  <c r="E14" i="70"/>
  <c r="D14" i="70" s="1"/>
  <c r="E13" i="70"/>
  <c r="D13" i="70" s="1"/>
  <c r="E12" i="70"/>
  <c r="D12" i="70" s="1"/>
  <c r="E11" i="70"/>
  <c r="D11" i="70" s="1"/>
  <c r="E10" i="70"/>
  <c r="D10" i="70" s="1"/>
  <c r="E9" i="70"/>
  <c r="D9" i="70" s="1"/>
  <c r="E8" i="70"/>
  <c r="E7" i="70"/>
  <c r="D7" i="70" s="1"/>
  <c r="E6" i="70"/>
  <c r="D6" i="70" s="1"/>
  <c r="E5" i="70"/>
  <c r="D5" i="70" s="1"/>
  <c r="I47" i="21" s="1"/>
  <c r="E4" i="70"/>
  <c r="D4" i="70" s="1"/>
  <c r="G47" i="21" s="1"/>
  <c r="E3" i="70"/>
  <c r="D3" i="70" s="1"/>
  <c r="E47" i="21" s="1"/>
  <c r="C23" i="88" l="1"/>
  <c r="J26" i="88"/>
  <c r="N36" i="88" s="1"/>
  <c r="G23" i="88"/>
  <c r="H23" i="88" s="1"/>
  <c r="G44" i="33"/>
  <c r="G45" i="34"/>
  <c r="G44" i="21"/>
  <c r="O36" i="88" l="1"/>
  <c r="P36" i="88" s="1"/>
  <c r="Q36" i="88"/>
  <c r="J23" i="88"/>
  <c r="H25" i="88"/>
  <c r="Q8" i="69"/>
  <c r="L8" i="69"/>
  <c r="I8" i="69"/>
  <c r="H8" i="69"/>
  <c r="G8" i="69"/>
  <c r="D8" i="69"/>
  <c r="Q7" i="69"/>
  <c r="L7" i="69"/>
  <c r="G7" i="69" s="1"/>
  <c r="I7" i="69"/>
  <c r="H7" i="69"/>
  <c r="D7" i="69"/>
  <c r="Q6" i="69"/>
  <c r="G6" i="69" s="1"/>
  <c r="L6" i="69"/>
  <c r="I6" i="69"/>
  <c r="H6" i="69"/>
  <c r="D6" i="69"/>
  <c r="Q5" i="69"/>
  <c r="L5" i="69"/>
  <c r="I5" i="69"/>
  <c r="H5" i="69"/>
  <c r="G5" i="69"/>
  <c r="D5" i="69"/>
  <c r="I4" i="69"/>
  <c r="H4" i="69"/>
  <c r="G4" i="69"/>
  <c r="D4" i="69"/>
  <c r="Q3" i="69"/>
  <c r="L3" i="69"/>
  <c r="G3" i="69" s="1"/>
  <c r="I3" i="69"/>
  <c r="H3" i="69"/>
  <c r="D3" i="69"/>
  <c r="J25" i="88" l="1"/>
  <c r="K22" i="88" s="1"/>
  <c r="R36" i="88" s="1"/>
  <c r="S36" i="88" s="1"/>
  <c r="AH5" i="59"/>
  <c r="AG5" i="59"/>
  <c r="AE5" i="59"/>
  <c r="AF5" i="59" s="1"/>
  <c r="AD5" i="59"/>
  <c r="Q5" i="59"/>
  <c r="P5" i="59"/>
  <c r="O5" i="59"/>
  <c r="N5" i="59"/>
  <c r="K24" i="88" l="1"/>
  <c r="M24" i="88" s="1"/>
  <c r="K23" i="88"/>
  <c r="V36" i="88" s="1"/>
  <c r="W36" i="88" s="1"/>
  <c r="M22" i="88"/>
  <c r="F25" i="12"/>
  <c r="C25" i="12" s="1"/>
  <c r="M23" i="88" l="1"/>
  <c r="M25" i="88" s="1"/>
  <c r="AE36" i="88"/>
  <c r="AF36" i="88" s="1"/>
  <c r="C16" i="11"/>
  <c r="C15" i="11"/>
  <c r="C9"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c r="AD9" i="59"/>
  <c r="Q10" i="59"/>
  <c r="Q11" i="59"/>
  <c r="P10" i="59"/>
  <c r="P11" i="59"/>
  <c r="O10" i="59"/>
  <c r="O11" i="59"/>
  <c r="N10" i="59"/>
  <c r="N11" i="59"/>
  <c r="AH10" i="59"/>
  <c r="AG10" i="59"/>
  <c r="AE10" i="59"/>
  <c r="AF10" i="59" s="1"/>
  <c r="AD10" i="59"/>
  <c r="AH11" i="59"/>
  <c r="AG11" i="59"/>
  <c r="AE11" i="59"/>
  <c r="AF11" i="59" s="1"/>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s="1"/>
  <c r="AD14" i="59"/>
  <c r="Q15" i="59"/>
  <c r="P15" i="59"/>
  <c r="O15" i="59"/>
  <c r="N15" i="59"/>
  <c r="M19" i="46"/>
  <c r="J50" i="15"/>
  <c r="J51" i="15" s="1"/>
  <c r="D17" i="59"/>
  <c r="AH15" i="59"/>
  <c r="AG15" i="59"/>
  <c r="AE15" i="59"/>
  <c r="AF15" i="59" s="1"/>
  <c r="AD15" i="59"/>
  <c r="AE16" i="59"/>
  <c r="AF16" i="59" s="1"/>
  <c r="AG16" i="59"/>
  <c r="AH16" i="59"/>
  <c r="AD16" i="59"/>
  <c r="Q16" i="59"/>
  <c r="F16" i="59" s="1"/>
  <c r="V16" i="59" s="1"/>
  <c r="P16" i="59"/>
  <c r="O16" i="59"/>
  <c r="C16" i="59" s="1"/>
  <c r="N16" i="59"/>
  <c r="B16" i="59" s="1"/>
  <c r="B15" i="59" s="1"/>
  <c r="B14" i="59" s="1"/>
  <c r="N17" i="59"/>
  <c r="Q17" i="59"/>
  <c r="P17" i="59"/>
  <c r="O17" i="59"/>
  <c r="K59" i="15"/>
  <c r="P62" i="15" s="1"/>
  <c r="P75" i="15"/>
  <c r="Q74" i="44"/>
  <c r="Q61" i="44"/>
  <c r="Q60" i="44"/>
  <c r="Q53" i="44"/>
  <c r="J51" i="44"/>
  <c r="J52" i="44" s="1"/>
  <c r="M48" i="44"/>
  <c r="A16" i="55"/>
  <c r="A15" i="55"/>
  <c r="B66" i="63" s="1"/>
  <c r="A14" i="55"/>
  <c r="A11" i="55"/>
  <c r="A10" i="55"/>
  <c r="B61" i="63" s="1"/>
  <c r="A9" i="55"/>
  <c r="B60" i="63" s="1"/>
  <c r="A8" i="55"/>
  <c r="B59" i="63" s="1"/>
  <c r="A6" i="54"/>
  <c r="B49" i="63" s="1"/>
  <c r="A8" i="54"/>
  <c r="B53" i="63" s="1"/>
  <c r="A7" i="54"/>
  <c r="A28" i="51"/>
  <c r="A27" i="51"/>
  <c r="B20" i="63" s="1"/>
  <c r="Q18" i="59"/>
  <c r="O18" i="59"/>
  <c r="N19" i="59"/>
  <c r="O19" i="59"/>
  <c r="P19" i="59"/>
  <c r="Q19" i="59"/>
  <c r="N18" i="59"/>
  <c r="P18" i="59"/>
  <c r="K75" i="9"/>
  <c r="K6" i="4"/>
  <c r="L76" i="9" s="1"/>
  <c r="B22" i="31"/>
  <c r="E15" i="66"/>
  <c r="F15" i="66"/>
  <c r="E16" i="66"/>
  <c r="F16" i="66"/>
  <c r="E17" i="66"/>
  <c r="F17" i="66"/>
  <c r="E18" i="66"/>
  <c r="F18" i="66"/>
  <c r="E19" i="66"/>
  <c r="F19" i="66"/>
  <c r="E20" i="66"/>
  <c r="F20" i="66"/>
  <c r="E21" i="66"/>
  <c r="F21" i="66"/>
  <c r="E22" i="66"/>
  <c r="F22" i="66"/>
  <c r="E23" i="66"/>
  <c r="F23" i="66"/>
  <c r="B3" i="66"/>
  <c r="E16" i="59"/>
  <c r="E15" i="59" s="1"/>
  <c r="E14" i="59" s="1"/>
  <c r="E13" i="59" s="1"/>
  <c r="E12" i="59" s="1"/>
  <c r="E11" i="59" s="1"/>
  <c r="E10" i="59" s="1"/>
  <c r="E9" i="59" s="1"/>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H31" i="59"/>
  <c r="AG31" i="59"/>
  <c r="AE31" i="59"/>
  <c r="AF31" i="59" s="1"/>
  <c r="AD31" i="59"/>
  <c r="AD32" i="59"/>
  <c r="AE32" i="59"/>
  <c r="AF32" i="59"/>
  <c r="AG32" i="59"/>
  <c r="AH32" i="59"/>
  <c r="S2" i="31"/>
  <c r="M2" i="31"/>
  <c r="N2" i="31"/>
  <c r="O2" i="31"/>
  <c r="P2" i="31"/>
  <c r="Q2" i="31"/>
  <c r="R2" i="31"/>
  <c r="C3" i="65"/>
  <c r="C1" i="65"/>
  <c r="N1" i="65" s="1"/>
  <c r="B76" i="63"/>
  <c r="M5" i="54"/>
  <c r="B41" i="63" s="1"/>
  <c r="A23" i="51"/>
  <c r="B17" i="63" s="1"/>
  <c r="Y12" i="46"/>
  <c r="AA9" i="46"/>
  <c r="AA12" i="46" s="1"/>
  <c r="AB9" i="46"/>
  <c r="AB10" i="46" s="1"/>
  <c r="AC9" i="46"/>
  <c r="AC10" i="46" s="1"/>
  <c r="AD9" i="46"/>
  <c r="AD10" i="46"/>
  <c r="AE9" i="46"/>
  <c r="AE12" i="46" s="1"/>
  <c r="AF9" i="46"/>
  <c r="AF10" i="46" s="1"/>
  <c r="AG9" i="46"/>
  <c r="AG12" i="46" s="1"/>
  <c r="AH9" i="46"/>
  <c r="AH10" i="46" s="1"/>
  <c r="AI9" i="46"/>
  <c r="AI12" i="46" s="1"/>
  <c r="AJ9" i="46"/>
  <c r="AJ10" i="46" s="1"/>
  <c r="Z9" i="46"/>
  <c r="Z12" i="46" s="1"/>
  <c r="Y10" i="46"/>
  <c r="B73" i="63"/>
  <c r="A21" i="64"/>
  <c r="B75" i="63" s="1"/>
  <c r="A27" i="64"/>
  <c r="A15" i="64"/>
  <c r="A14" i="64"/>
  <c r="A11" i="64"/>
  <c r="A3" i="64"/>
  <c r="A45" i="9"/>
  <c r="K40" i="9" s="1"/>
  <c r="A44" i="9"/>
  <c r="K39" i="9" s="1"/>
  <c r="C57" i="10"/>
  <c r="A28" i="64" s="1"/>
  <c r="C56" i="10"/>
  <c r="A26" i="64" s="1"/>
  <c r="C55" i="10"/>
  <c r="C54" i="10"/>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c r="R2" i="54"/>
  <c r="B24" i="63" s="1"/>
  <c r="B49" i="50"/>
  <c r="B5" i="63" s="1"/>
  <c r="B40" i="50"/>
  <c r="B3" i="63"/>
  <c r="N4" i="63"/>
  <c r="B21" i="63"/>
  <c r="B67" i="63"/>
  <c r="I19" i="46"/>
  <c r="Q20" i="59"/>
  <c r="F20" i="59" s="1"/>
  <c r="P20" i="59"/>
  <c r="O20" i="59"/>
  <c r="N20" i="59"/>
  <c r="B20" i="59" s="1"/>
  <c r="S20" i="59" s="1"/>
  <c r="D81" i="59"/>
  <c r="F80" i="59"/>
  <c r="F79" i="59" s="1"/>
  <c r="F78" i="59" s="1"/>
  <c r="E80" i="59"/>
  <c r="E79" i="59"/>
  <c r="E78" i="59" s="1"/>
  <c r="C80" i="59"/>
  <c r="D80" i="59" s="1"/>
  <c r="B80" i="59"/>
  <c r="B79" i="59" s="1"/>
  <c r="B78" i="59" s="1"/>
  <c r="D77" i="59"/>
  <c r="F76" i="59"/>
  <c r="F75" i="59" s="1"/>
  <c r="F74" i="59" s="1"/>
  <c r="E76" i="59"/>
  <c r="E75" i="59" s="1"/>
  <c r="E74" i="59" s="1"/>
  <c r="C76" i="59"/>
  <c r="D76" i="59" s="1"/>
  <c r="B76" i="59"/>
  <c r="B75" i="59"/>
  <c r="B74" i="59" s="1"/>
  <c r="D73" i="59"/>
  <c r="Q72" i="59"/>
  <c r="P72" i="59"/>
  <c r="O72" i="59"/>
  <c r="N72" i="59"/>
  <c r="F72" i="59"/>
  <c r="V72" i="59" s="1"/>
  <c r="E72" i="59"/>
  <c r="U72" i="59" s="1"/>
  <c r="C72" i="59"/>
  <c r="T72" i="59" s="1"/>
  <c r="B72" i="59"/>
  <c r="B71" i="59" s="1"/>
  <c r="B70" i="59" s="1"/>
  <c r="S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Q64" i="59"/>
  <c r="P64" i="59"/>
  <c r="O64" i="59"/>
  <c r="N64" i="59"/>
  <c r="F64" i="59"/>
  <c r="V64" i="59" s="1"/>
  <c r="E64" i="59"/>
  <c r="U64" i="59" s="1"/>
  <c r="C64" i="59"/>
  <c r="T64" i="59" s="1"/>
  <c r="B64" i="59"/>
  <c r="B63" i="59" s="1"/>
  <c r="B62" i="59" s="1"/>
  <c r="Q63" i="59"/>
  <c r="P63" i="59"/>
  <c r="O63" i="59"/>
  <c r="N63" i="59"/>
  <c r="F63" i="59"/>
  <c r="F62" i="59" s="1"/>
  <c r="Q62" i="59"/>
  <c r="P62" i="59"/>
  <c r="O62" i="59"/>
  <c r="N62" i="59"/>
  <c r="Q61" i="59"/>
  <c r="P61" i="59"/>
  <c r="O61" i="59"/>
  <c r="N61" i="59"/>
  <c r="D61" i="59"/>
  <c r="F60" i="59"/>
  <c r="Q60" i="59" s="1"/>
  <c r="E60" i="59"/>
  <c r="E59" i="59" s="1"/>
  <c r="C60" i="59"/>
  <c r="C59" i="59" s="1"/>
  <c r="B60" i="59"/>
  <c r="N60" i="59" s="1"/>
  <c r="F59" i="59"/>
  <c r="Q59" i="59" s="1"/>
  <c r="D57" i="59"/>
  <c r="Q56" i="59"/>
  <c r="P56" i="59"/>
  <c r="O56" i="59"/>
  <c r="N56" i="59"/>
  <c r="Q55" i="59"/>
  <c r="P55" i="59"/>
  <c r="O55" i="59"/>
  <c r="N55" i="59"/>
  <c r="Q54" i="59"/>
  <c r="P54" i="59"/>
  <c r="O54" i="59"/>
  <c r="N54" i="59"/>
  <c r="Q53" i="59"/>
  <c r="F54" i="59" s="1"/>
  <c r="F55" i="59" s="1"/>
  <c r="P53" i="59"/>
  <c r="E54" i="59" s="1"/>
  <c r="E55" i="59" s="1"/>
  <c r="E56" i="59" s="1"/>
  <c r="U56" i="59" s="1"/>
  <c r="O53" i="59"/>
  <c r="C54" i="59" s="1"/>
  <c r="N53" i="59"/>
  <c r="B54" i="59"/>
  <c r="D53" i="59"/>
  <c r="Q52" i="59"/>
  <c r="P52" i="59"/>
  <c r="O52" i="59"/>
  <c r="N52" i="59"/>
  <c r="Q51" i="59"/>
  <c r="P51" i="59"/>
  <c r="O51" i="59"/>
  <c r="N51" i="59"/>
  <c r="Q50" i="59"/>
  <c r="P50" i="59"/>
  <c r="O50" i="59"/>
  <c r="N50" i="59"/>
  <c r="Q49" i="59"/>
  <c r="F50" i="59" s="1"/>
  <c r="F51" i="59" s="1"/>
  <c r="F52" i="59" s="1"/>
  <c r="V52"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c r="E47" i="59" s="1"/>
  <c r="E48" i="59" s="1"/>
  <c r="U48" i="59" s="1"/>
  <c r="O45" i="59"/>
  <c r="C46" i="59" s="1"/>
  <c r="N45" i="59"/>
  <c r="B46" i="59" s="1"/>
  <c r="D45" i="59"/>
  <c r="Q44" i="59"/>
  <c r="P44" i="59"/>
  <c r="O44" i="59"/>
  <c r="N44" i="59"/>
  <c r="Q43" i="59"/>
  <c r="P43" i="59"/>
  <c r="O43" i="59"/>
  <c r="N43" i="59"/>
  <c r="Q42" i="59"/>
  <c r="P42" i="59"/>
  <c r="O42" i="59"/>
  <c r="N42" i="59"/>
  <c r="Q41" i="59"/>
  <c r="F42" i="59"/>
  <c r="F43" i="59" s="1"/>
  <c r="P41" i="59"/>
  <c r="E42" i="59"/>
  <c r="O41" i="59"/>
  <c r="C42" i="59" s="1"/>
  <c r="N41" i="59"/>
  <c r="B42" i="59"/>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c r="B39" i="59" s="1"/>
  <c r="D37" i="59"/>
  <c r="Q36" i="59"/>
  <c r="P36" i="59"/>
  <c r="O36" i="59"/>
  <c r="N36" i="59"/>
  <c r="Q35" i="59"/>
  <c r="P35" i="59"/>
  <c r="O35" i="59"/>
  <c r="N35" i="59"/>
  <c r="Q34" i="59"/>
  <c r="P34" i="59"/>
  <c r="O34" i="59"/>
  <c r="N34" i="59"/>
  <c r="Q33" i="59"/>
  <c r="F34" i="59"/>
  <c r="P33" i="59"/>
  <c r="E34" i="59" s="1"/>
  <c r="O33" i="59"/>
  <c r="C34" i="59"/>
  <c r="D34" i="59" s="1"/>
  <c r="N33" i="59"/>
  <c r="B34" i="59" s="1"/>
  <c r="D33" i="59"/>
  <c r="Q32" i="59"/>
  <c r="P32" i="59"/>
  <c r="O32" i="59"/>
  <c r="N32" i="59"/>
  <c r="Q31" i="59"/>
  <c r="AB31" i="59" s="1"/>
  <c r="P31" i="59"/>
  <c r="O31" i="59"/>
  <c r="N31" i="59"/>
  <c r="Q30" i="59"/>
  <c r="P30" i="59"/>
  <c r="O30" i="59"/>
  <c r="N30" i="59"/>
  <c r="Q29" i="59"/>
  <c r="F30" i="59" s="1"/>
  <c r="F31" i="59" s="1"/>
  <c r="F32" i="59" s="1"/>
  <c r="V32" i="59" s="1"/>
  <c r="P29" i="59"/>
  <c r="AA29" i="59" s="1"/>
  <c r="O29" i="59"/>
  <c r="C30" i="59" s="1"/>
  <c r="N29" i="59"/>
  <c r="B30" i="59" s="1"/>
  <c r="B31" i="59" s="1"/>
  <c r="B32" i="59" s="1"/>
  <c r="S32" i="59" s="1"/>
  <c r="D29" i="59"/>
  <c r="Q28" i="59"/>
  <c r="P28" i="59"/>
  <c r="O28" i="59"/>
  <c r="N28" i="59"/>
  <c r="Q27" i="59"/>
  <c r="P27" i="59"/>
  <c r="O27" i="59"/>
  <c r="N27" i="59"/>
  <c r="Q26" i="59"/>
  <c r="P26" i="59"/>
  <c r="O26" i="59"/>
  <c r="N26" i="59"/>
  <c r="Q25" i="59"/>
  <c r="F26"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F23" i="59" s="1"/>
  <c r="F24" i="59" s="1"/>
  <c r="V24" i="59" s="1"/>
  <c r="P21" i="59"/>
  <c r="O21" i="59"/>
  <c r="C22" i="59"/>
  <c r="D22" i="59" s="1"/>
  <c r="N21" i="59"/>
  <c r="D21" i="59"/>
  <c r="E22" i="59"/>
  <c r="E23" i="59"/>
  <c r="O60" i="59"/>
  <c r="D60" i="59"/>
  <c r="C67" i="59"/>
  <c r="C66" i="59" s="1"/>
  <c r="D66" i="59" s="1"/>
  <c r="D68" i="59"/>
  <c r="E71" i="59"/>
  <c r="E70" i="59" s="1"/>
  <c r="C75" i="59"/>
  <c r="C74" i="59" s="1"/>
  <c r="D74" i="59" s="1"/>
  <c r="U16" i="4"/>
  <c r="S16" i="4"/>
  <c r="Q16" i="4"/>
  <c r="O16" i="4"/>
  <c r="M16" i="4"/>
  <c r="K16" i="4"/>
  <c r="O27" i="6"/>
  <c r="N27" i="6"/>
  <c r="P26" i="6"/>
  <c r="L26" i="6"/>
  <c r="P25" i="6"/>
  <c r="L25" i="6"/>
  <c r="P24" i="6"/>
  <c r="L24" i="6"/>
  <c r="P23" i="6"/>
  <c r="L23" i="6"/>
  <c r="P22" i="6"/>
  <c r="L22" i="6"/>
  <c r="P21" i="6"/>
  <c r="L21" i="6"/>
  <c r="P20" i="6"/>
  <c r="P19" i="6"/>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Z31" i="39"/>
  <c r="Q31" i="39"/>
  <c r="D105" i="39"/>
  <c r="E105" i="39" s="1"/>
  <c r="F105" i="39" s="1"/>
  <c r="F31" i="39"/>
  <c r="S31" i="39" s="1"/>
  <c r="G20" i="20"/>
  <c r="B85" i="46" s="1"/>
  <c r="C22" i="20"/>
  <c r="B65" i="46" s="1"/>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I23" i="57"/>
  <c r="D20" i="57"/>
  <c r="I19" i="57"/>
  <c r="I18" i="57"/>
  <c r="I17" i="57"/>
  <c r="E15" i="57"/>
  <c r="I14" i="57"/>
  <c r="I13" i="57"/>
  <c r="I12" i="57"/>
  <c r="I15" i="57" s="1"/>
  <c r="I9" i="57"/>
  <c r="I8" i="57"/>
  <c r="I7" i="57"/>
  <c r="I6" i="57"/>
  <c r="I5" i="57"/>
  <c r="I4" i="57"/>
  <c r="I3"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c r="M85" i="46"/>
  <c r="N85" i="46" s="1"/>
  <c r="D85" i="46"/>
  <c r="K85" i="46"/>
  <c r="J85" i="46" s="1"/>
  <c r="M84" i="46"/>
  <c r="N84" i="46" s="1"/>
  <c r="K84" i="46"/>
  <c r="J84" i="46" s="1"/>
  <c r="M83" i="46"/>
  <c r="N83" i="46" s="1"/>
  <c r="K83" i="46"/>
  <c r="J83" i="46"/>
  <c r="M82" i="46"/>
  <c r="N82" i="46" s="1"/>
  <c r="K82" i="46"/>
  <c r="J82" i="46" s="1"/>
  <c r="D82" i="46"/>
  <c r="M81" i="46"/>
  <c r="N81" i="46" s="1"/>
  <c r="K81" i="46"/>
  <c r="J81" i="46"/>
  <c r="M80" i="46"/>
  <c r="N80" i="46" s="1"/>
  <c r="K80" i="46"/>
  <c r="J80" i="46" s="1"/>
  <c r="M77" i="46"/>
  <c r="N77" i="46" s="1"/>
  <c r="K77" i="46"/>
  <c r="J77" i="46" s="1"/>
  <c r="M76" i="46"/>
  <c r="N76" i="46" s="1"/>
  <c r="D76" i="46"/>
  <c r="K76" i="46"/>
  <c r="J76" i="46" s="1"/>
  <c r="M75" i="46"/>
  <c r="N75" i="46" s="1"/>
  <c r="K75" i="46"/>
  <c r="J75" i="46"/>
  <c r="M74" i="46"/>
  <c r="N74" i="46" s="1"/>
  <c r="K74" i="46"/>
  <c r="J74" i="46" s="1"/>
  <c r="D74" i="46"/>
  <c r="M73" i="46"/>
  <c r="N73" i="46" s="1"/>
  <c r="D73" i="46"/>
  <c r="K73" i="46"/>
  <c r="J73" i="46" s="1"/>
  <c r="M72" i="46"/>
  <c r="N72" i="46" s="1"/>
  <c r="K72" i="46"/>
  <c r="J72" i="46" s="1"/>
  <c r="D72" i="46"/>
  <c r="M71" i="46"/>
  <c r="N71" i="46" s="1"/>
  <c r="K71" i="46"/>
  <c r="J71" i="46"/>
  <c r="M70" i="46"/>
  <c r="N70" i="46" s="1"/>
  <c r="K70" i="46"/>
  <c r="J70" i="46" s="1"/>
  <c r="D70" i="46"/>
  <c r="M69" i="46"/>
  <c r="N69" i="46" s="1"/>
  <c r="K69" i="46"/>
  <c r="J69" i="46" s="1"/>
  <c r="M66" i="46"/>
  <c r="N66" i="46"/>
  <c r="K66" i="46"/>
  <c r="M65" i="46"/>
  <c r="N65" i="46" s="1"/>
  <c r="K65" i="46"/>
  <c r="J65" i="46"/>
  <c r="D65" i="46"/>
  <c r="M64" i="46"/>
  <c r="N64" i="46" s="1"/>
  <c r="K64" i="46"/>
  <c r="J64" i="46" s="1"/>
  <c r="D64" i="46"/>
  <c r="M63" i="46"/>
  <c r="N63" i="46" s="1"/>
  <c r="K63" i="46"/>
  <c r="J63" i="46" s="1"/>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J66" i="46"/>
  <c r="D66" i="46"/>
  <c r="J50" i="46"/>
  <c r="D50" i="46"/>
  <c r="D54" i="46"/>
  <c r="Q73" i="15"/>
  <c r="Q60" i="15"/>
  <c r="Q59" i="15"/>
  <c r="Q52" i="15"/>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3" i="1"/>
  <c r="AP13" i="1" s="1"/>
  <c r="D11" i="1"/>
  <c r="D12" i="1"/>
  <c r="D13" i="1"/>
  <c r="D6" i="1"/>
  <c r="D7" i="1"/>
  <c r="D8" i="1"/>
  <c r="D9" i="1"/>
  <c r="D10"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A262" i="3" s="1"/>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G367" i="3" s="1"/>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2" i="1" s="1"/>
  <c r="F19" i="4"/>
  <c r="F10" i="1" s="1"/>
  <c r="AP10" i="1" s="1"/>
  <c r="F8" i="1"/>
  <c r="AP8" i="1" s="1"/>
  <c r="E19" i="4"/>
  <c r="B2" i="52"/>
  <c r="I2" i="46"/>
  <c r="N12" i="46" s="1"/>
  <c r="A7" i="46"/>
  <c r="F41" i="4"/>
  <c r="J52" i="40" s="1"/>
  <c r="H61" i="49"/>
  <c r="H39" i="46"/>
  <c r="H38" i="46"/>
  <c r="H37" i="46"/>
  <c r="H36" i="46"/>
  <c r="H35" i="46"/>
  <c r="H34" i="46"/>
  <c r="H33" i="46"/>
  <c r="J20" i="46"/>
  <c r="C18" i="46"/>
  <c r="F15" i="46"/>
  <c r="E15" i="46"/>
  <c r="D15" i="46"/>
  <c r="C15" i="46"/>
  <c r="C10" i="46"/>
  <c r="C11" i="46" s="1"/>
  <c r="C9" i="46"/>
  <c r="E19" i="6"/>
  <c r="C9" i="87" s="1"/>
  <c r="P6" i="87" s="1"/>
  <c r="E20" i="6"/>
  <c r="E21" i="6"/>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C18" i="9" s="1"/>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A19" i="3" s="1"/>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A482" i="3" s="1"/>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A487" i="3" s="1"/>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A532" i="3" s="1"/>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A555" i="3" s="1"/>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L559" i="3" s="1"/>
  <c r="BR559" i="3"/>
  <c r="BS559" i="3"/>
  <c r="BT559" i="3"/>
  <c r="H560" i="3"/>
  <c r="AC560" i="3"/>
  <c r="BB560" i="3"/>
  <c r="BC560" i="3"/>
  <c r="BD560" i="3"/>
  <c r="BE560" i="3"/>
  <c r="BF560" i="3"/>
  <c r="BG560" i="3"/>
  <c r="BH560" i="3"/>
  <c r="BA560" i="3" s="1"/>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A563" i="3" s="1"/>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AB30" i="36" s="1"/>
  <c r="U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W38" i="34" s="1"/>
  <c r="D114" i="34"/>
  <c r="F38" i="34"/>
  <c r="S38" i="34" s="1"/>
  <c r="D112" i="34"/>
  <c r="E112" i="34" s="1"/>
  <c r="F112" i="34" s="1"/>
  <c r="F40" i="33"/>
  <c r="AA40" i="33" s="1"/>
  <c r="J41" i="33"/>
  <c r="AC41" i="33" s="1"/>
  <c r="D113" i="33"/>
  <c r="F37" i="33"/>
  <c r="AA37" i="33" s="1"/>
  <c r="D111" i="33"/>
  <c r="E111" i="33" s="1"/>
  <c r="F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c r="Q38" i="40"/>
  <c r="Z38" i="40" s="1"/>
  <c r="Q37" i="40"/>
  <c r="Z37" i="40" s="1"/>
  <c r="Q36" i="40"/>
  <c r="Z36" i="40" s="1"/>
  <c r="Q35" i="40"/>
  <c r="Z35" i="40" s="1"/>
  <c r="Q34" i="40"/>
  <c r="Z34" i="40" s="1"/>
  <c r="Q33" i="40"/>
  <c r="Z33" i="40" s="1"/>
  <c r="Q32" i="40"/>
  <c r="Z32" i="40" s="1"/>
  <c r="Q30" i="40"/>
  <c r="Z30" i="40" s="1"/>
  <c r="Q29" i="40"/>
  <c r="Z29" i="40"/>
  <c r="Q25" i="40"/>
  <c r="Z25" i="40" s="1"/>
  <c r="Q23" i="40"/>
  <c r="Z23" i="40" s="1"/>
  <c r="Q21" i="40"/>
  <c r="Z21" i="40"/>
  <c r="Q19" i="40"/>
  <c r="Z19" i="40"/>
  <c r="Q17" i="40"/>
  <c r="Z17" i="40" s="1"/>
  <c r="Q16" i="40"/>
  <c r="Z16" i="40" s="1"/>
  <c r="Q15" i="40"/>
  <c r="Z15" i="40"/>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Z43" i="39" s="1"/>
  <c r="Q44" i="39"/>
  <c r="Z44" i="39" s="1"/>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s="1"/>
  <c r="Q27" i="39"/>
  <c r="Z27" i="39"/>
  <c r="Q25" i="39"/>
  <c r="Z25" i="39" s="1"/>
  <c r="Q23" i="39"/>
  <c r="Z23" i="39" s="1"/>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H40" i="37" s="1"/>
  <c r="AB40" i="37" s="1"/>
  <c r="D107" i="37"/>
  <c r="E107" i="37" s="1"/>
  <c r="F107" i="37" s="1"/>
  <c r="G107" i="37" s="1"/>
  <c r="H107" i="37" s="1"/>
  <c r="I107" i="37" s="1"/>
  <c r="D105" i="37"/>
  <c r="E105" i="37" s="1"/>
  <c r="F105" i="37" s="1"/>
  <c r="G105" i="37" s="1"/>
  <c r="H36" i="37"/>
  <c r="AB36" i="37" s="1"/>
  <c r="D103" i="37"/>
  <c r="E103" i="37" s="1"/>
  <c r="F103" i="37" s="1"/>
  <c r="G103" i="37" s="1"/>
  <c r="H103" i="37" s="1"/>
  <c r="I103" i="37" s="1"/>
  <c r="J103" i="37" s="1"/>
  <c r="K103" i="37" s="1"/>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Q23" i="37"/>
  <c r="Z23" i="37"/>
  <c r="Q19" i="37"/>
  <c r="Z19" i="37" s="1"/>
  <c r="Q17" i="37"/>
  <c r="Z17" i="37" s="1"/>
  <c r="Q15" i="37"/>
  <c r="Z15" i="37" s="1"/>
  <c r="Q14" i="37"/>
  <c r="Z14" i="37"/>
  <c r="Q13" i="37"/>
  <c r="Z13" i="37" s="1"/>
  <c r="Q12" i="37"/>
  <c r="Z12" i="37" s="1"/>
  <c r="Q11" i="37"/>
  <c r="Z11" i="37" s="1"/>
  <c r="Q10" i="37"/>
  <c r="Z10" i="37" s="1"/>
  <c r="F10" i="37"/>
  <c r="AA10" i="37"/>
  <c r="Q9" i="37"/>
  <c r="Z9" i="37" s="1"/>
  <c r="J8" i="37"/>
  <c r="H8" i="37"/>
  <c r="AB8" i="37"/>
  <c r="F8" i="37"/>
  <c r="C7" i="37"/>
  <c r="J31" i="36"/>
  <c r="W31" i="36" s="1"/>
  <c r="H31" i="36"/>
  <c r="AB31" i="36" s="1"/>
  <c r="F31" i="36"/>
  <c r="S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H25" i="36" s="1"/>
  <c r="AB25" i="36" s="1"/>
  <c r="B73" i="36"/>
  <c r="F24" i="36" s="1"/>
  <c r="B71" i="36"/>
  <c r="D70" i="36"/>
  <c r="H22" i="36"/>
  <c r="AB22" i="36" s="1"/>
  <c r="D68" i="36"/>
  <c r="E68" i="36"/>
  <c r="D64" i="36"/>
  <c r="E64" i="36" s="1"/>
  <c r="F64" i="36" s="1"/>
  <c r="G64" i="36" s="1"/>
  <c r="J16" i="36"/>
  <c r="D62" i="36"/>
  <c r="E62" i="36" s="1"/>
  <c r="B59" i="36"/>
  <c r="B57" i="36"/>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c r="Q29" i="36"/>
  <c r="Z29" i="36"/>
  <c r="Q28" i="36"/>
  <c r="Z28" i="36"/>
  <c r="J28" i="36"/>
  <c r="AC28" i="36" s="1"/>
  <c r="Q27" i="36"/>
  <c r="Z27" i="36" s="1"/>
  <c r="Q26" i="36"/>
  <c r="Z26" i="36" s="1"/>
  <c r="H26" i="36"/>
  <c r="U26" i="36" s="1"/>
  <c r="Q25" i="36"/>
  <c r="Z25" i="36" s="1"/>
  <c r="Q24" i="36"/>
  <c r="Z24" i="36" s="1"/>
  <c r="Q23" i="36"/>
  <c r="Z23" i="36" s="1"/>
  <c r="Q22" i="36"/>
  <c r="Z22" i="36" s="1"/>
  <c r="J22" i="36"/>
  <c r="AC22" i="36" s="1"/>
  <c r="Q20" i="36"/>
  <c r="Z20" i="36"/>
  <c r="Q16" i="36"/>
  <c r="Z16" i="36" s="1"/>
  <c r="Q14" i="36"/>
  <c r="Z14" i="36" s="1"/>
  <c r="Q13" i="36"/>
  <c r="Z13" i="36"/>
  <c r="Q12" i="36"/>
  <c r="Z12" i="36"/>
  <c r="Q11" i="36"/>
  <c r="Z11" i="36"/>
  <c r="Q10" i="36"/>
  <c r="Z10" i="36" s="1"/>
  <c r="F10" i="36"/>
  <c r="Q9" i="36"/>
  <c r="Z9" i="36" s="1"/>
  <c r="F9" i="36"/>
  <c r="AA9" i="36" s="1"/>
  <c r="J8" i="36"/>
  <c r="AC8" i="36" s="1"/>
  <c r="H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U36" i="35" s="1"/>
  <c r="B99" i="35"/>
  <c r="H35" i="35" s="1"/>
  <c r="U35" i="35" s="1"/>
  <c r="B97" i="35"/>
  <c r="H34" i="35" s="1"/>
  <c r="B77" i="35"/>
  <c r="B75" i="35"/>
  <c r="J24" i="35" s="1"/>
  <c r="B73" i="35"/>
  <c r="B57" i="35"/>
  <c r="B61" i="35"/>
  <c r="H13" i="35" s="1"/>
  <c r="AB13" i="35" s="1"/>
  <c r="B59" i="35"/>
  <c r="B131" i="34"/>
  <c r="F47" i="34" s="1"/>
  <c r="AA47" i="34" s="1"/>
  <c r="B129" i="34"/>
  <c r="B127" i="34"/>
  <c r="B99" i="34"/>
  <c r="B97" i="34"/>
  <c r="H31" i="34" s="1"/>
  <c r="AB31" i="34" s="1"/>
  <c r="B95" i="34"/>
  <c r="J30" i="34" s="1"/>
  <c r="W30" i="34" s="1"/>
  <c r="B93" i="34"/>
  <c r="B75" i="34"/>
  <c r="J14" i="34" s="1"/>
  <c r="B73" i="34"/>
  <c r="B71" i="34"/>
  <c r="J12" i="34" s="1"/>
  <c r="B130" i="33"/>
  <c r="B128" i="33"/>
  <c r="H45" i="33"/>
  <c r="U45" i="33" s="1"/>
  <c r="B126" i="33"/>
  <c r="B98" i="33"/>
  <c r="F31" i="33" s="1"/>
  <c r="AA31" i="33" s="1"/>
  <c r="B96" i="33"/>
  <c r="B94" i="33"/>
  <c r="B74" i="33"/>
  <c r="H14" i="33" s="1"/>
  <c r="U14" i="33" s="1"/>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c r="F32" i="35"/>
  <c r="AA32" i="35"/>
  <c r="Q31" i="35"/>
  <c r="Z31" i="35"/>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c r="Q10" i="35"/>
  <c r="Z10" i="35" s="1"/>
  <c r="Q9" i="35"/>
  <c r="Z9" i="35" s="1"/>
  <c r="J9" i="35"/>
  <c r="W9" i="35" s="1"/>
  <c r="F9" i="35"/>
  <c r="AA9" i="35" s="1"/>
  <c r="J8" i="35"/>
  <c r="H8" i="35"/>
  <c r="F8" i="35"/>
  <c r="AA8" i="35"/>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H44" i="34" s="1"/>
  <c r="D124" i="34"/>
  <c r="E124" i="34" s="1"/>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F40" i="34"/>
  <c r="S40" i="34" s="1"/>
  <c r="Q39" i="34"/>
  <c r="Z39" i="34" s="1"/>
  <c r="J39" i="34"/>
  <c r="AC39" i="34" s="1"/>
  <c r="H39" i="34"/>
  <c r="U39" i="34" s="1"/>
  <c r="F39" i="34"/>
  <c r="AA39" i="34" s="1"/>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c r="Q25" i="34"/>
  <c r="Z25" i="34" s="1"/>
  <c r="Q23" i="34"/>
  <c r="Z23" i="34"/>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H28" i="33" s="1"/>
  <c r="B90" i="33"/>
  <c r="D87" i="33"/>
  <c r="E87" i="33"/>
  <c r="D85" i="33"/>
  <c r="E85" i="33" s="1"/>
  <c r="F85" i="33" s="1"/>
  <c r="G85" i="33" s="1"/>
  <c r="D81" i="33"/>
  <c r="D79" i="33"/>
  <c r="E79" i="33" s="1"/>
  <c r="F79" i="33" s="1"/>
  <c r="G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U40" i="33" s="1"/>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c r="Q11" i="33"/>
  <c r="Z11" i="33" s="1"/>
  <c r="Q10" i="33"/>
  <c r="Z10" i="33" s="1"/>
  <c r="Q9" i="33"/>
  <c r="Z9" i="33" s="1"/>
  <c r="J8" i="33"/>
  <c r="H8" i="33"/>
  <c r="AB8" i="33" s="1"/>
  <c r="F8" i="33"/>
  <c r="S8" i="33" s="1"/>
  <c r="C7" i="33"/>
  <c r="M102" i="21"/>
  <c r="D102" i="21"/>
  <c r="E102" i="21"/>
  <c r="F102" i="21"/>
  <c r="G102" i="21"/>
  <c r="H102" i="21"/>
  <c r="I102" i="21"/>
  <c r="J102" i="21"/>
  <c r="K102" i="21"/>
  <c r="L102" i="21"/>
  <c r="C102" i="21"/>
  <c r="C63" i="21"/>
  <c r="J9" i="21" s="1"/>
  <c r="AC9" i="21" s="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D77" i="21"/>
  <c r="E77" i="21" s="1"/>
  <c r="F77" i="21" s="1"/>
  <c r="G77" i="21" s="1"/>
  <c r="B130" i="21"/>
  <c r="B128" i="21"/>
  <c r="F45" i="21" s="1"/>
  <c r="AA45" i="21" s="1"/>
  <c r="B126" i="21"/>
  <c r="J44" i="21" s="1"/>
  <c r="AC44" i="21" s="1"/>
  <c r="B98" i="21"/>
  <c r="B96" i="21"/>
  <c r="H30" i="21" s="1"/>
  <c r="U30" i="21" s="1"/>
  <c r="B94" i="21"/>
  <c r="J29" i="21" s="1"/>
  <c r="AC29" i="21" s="1"/>
  <c r="B92" i="21"/>
  <c r="H28" i="21" s="1"/>
  <c r="B90" i="21"/>
  <c r="B74" i="21"/>
  <c r="J14" i="21" s="1"/>
  <c r="B72" i="21"/>
  <c r="J13" i="21" s="1"/>
  <c r="AC13" i="21" s="1"/>
  <c r="B70" i="21"/>
  <c r="F12" i="21" s="1"/>
  <c r="F10" i="21"/>
  <c r="C7" i="21"/>
  <c r="C19" i="21"/>
  <c r="C17" i="21"/>
  <c r="C23" i="21"/>
  <c r="Q9" i="21"/>
  <c r="Z9" i="21" s="1"/>
  <c r="Q10" i="21"/>
  <c r="Z10" i="21" s="1"/>
  <c r="Q11" i="21"/>
  <c r="Z11" i="21" s="1"/>
  <c r="Q12" i="21"/>
  <c r="Z12" i="2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c r="Q41" i="21"/>
  <c r="Z41" i="21" s="1"/>
  <c r="Q42" i="21"/>
  <c r="Z42" i="21" s="1"/>
  <c r="Q43" i="21"/>
  <c r="Z43" i="21" s="1"/>
  <c r="Q44" i="21"/>
  <c r="Z44" i="21" s="1"/>
  <c r="Q45" i="21"/>
  <c r="Z45" i="21" s="1"/>
  <c r="Q46" i="21"/>
  <c r="Z46" i="21"/>
  <c r="P47" i="21"/>
  <c r="R47" i="21"/>
  <c r="T47" i="21"/>
  <c r="V47" i="21"/>
  <c r="P48" i="21"/>
  <c r="P49" i="21"/>
  <c r="F8" i="21"/>
  <c r="AA8" i="21" s="1"/>
  <c r="C9" i="12"/>
  <c r="BB12" i="3"/>
  <c r="F9" i="12"/>
  <c r="P9" i="12" s="1"/>
  <c r="D9" i="12"/>
  <c r="P7" i="12" s="1"/>
  <c r="E9" i="12"/>
  <c r="P8" i="12" s="1"/>
  <c r="G9" i="12"/>
  <c r="P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H38" i="21"/>
  <c r="AB38" i="21" s="1"/>
  <c r="F32" i="21"/>
  <c r="AA32" i="21" s="1"/>
  <c r="F38" i="21"/>
  <c r="S38" i="21" s="1"/>
  <c r="F39" i="21"/>
  <c r="AA39" i="21" s="1"/>
  <c r="J40" i="21"/>
  <c r="W40" i="21" s="1"/>
  <c r="H35" i="21"/>
  <c r="AB35" i="21" s="1"/>
  <c r="J8" i="21"/>
  <c r="AC8" i="21" s="1"/>
  <c r="H8" i="21"/>
  <c r="H9" i="21"/>
  <c r="H10" i="21"/>
  <c r="U10" i="21" s="1"/>
  <c r="H39" i="21"/>
  <c r="AB39" i="21" s="1"/>
  <c r="J34" i="21"/>
  <c r="W34" i="21" s="1"/>
  <c r="F35" i="21"/>
  <c r="AA35" i="21"/>
  <c r="J33" i="21"/>
  <c r="W33" i="21" s="1"/>
  <c r="H33" i="21"/>
  <c r="U33" i="21" s="1"/>
  <c r="F33" i="21"/>
  <c r="J10" i="21"/>
  <c r="AC10" i="21" s="1"/>
  <c r="H26" i="21"/>
  <c r="AB26" i="21" s="1"/>
  <c r="F19" i="21"/>
  <c r="AA19" i="21" s="1"/>
  <c r="H19" i="21"/>
  <c r="AB19" i="21" s="1"/>
  <c r="J12" i="21"/>
  <c r="AC12" i="21" s="1"/>
  <c r="J26" i="21"/>
  <c r="W26" i="21" s="1"/>
  <c r="F26" i="21"/>
  <c r="AA26" i="21" s="1"/>
  <c r="AB41" i="21"/>
  <c r="W41" i="21"/>
  <c r="S10" i="39"/>
  <c r="U30" i="37"/>
  <c r="F39" i="37"/>
  <c r="S39" i="37" s="1"/>
  <c r="F29" i="36"/>
  <c r="AA29" i="36" s="1"/>
  <c r="F16" i="36"/>
  <c r="AA16" i="36" s="1"/>
  <c r="U22" i="36"/>
  <c r="J33" i="36"/>
  <c r="U31" i="35"/>
  <c r="W36" i="35"/>
  <c r="S31" i="35"/>
  <c r="W31" i="35"/>
  <c r="F36" i="34"/>
  <c r="S36" i="34" s="1"/>
  <c r="S34" i="34"/>
  <c r="W39" i="34"/>
  <c r="H39" i="33"/>
  <c r="AB39" i="33"/>
  <c r="S40" i="33"/>
  <c r="S8" i="21"/>
  <c r="AB27" i="35"/>
  <c r="S10" i="40"/>
  <c r="W10" i="40"/>
  <c r="S11" i="40"/>
  <c r="U11" i="40"/>
  <c r="S36" i="40"/>
  <c r="U36" i="40"/>
  <c r="S40" i="39"/>
  <c r="S36" i="39"/>
  <c r="F11" i="21"/>
  <c r="S11" i="21" s="1"/>
  <c r="C23" i="39"/>
  <c r="U36" i="39"/>
  <c r="S42" i="39"/>
  <c r="H11" i="21"/>
  <c r="U11" i="21" s="1"/>
  <c r="J11" i="21"/>
  <c r="W11" i="21" s="1"/>
  <c r="J27" i="36"/>
  <c r="W27" i="36" s="1"/>
  <c r="J34" i="36"/>
  <c r="AC34" i="36" s="1"/>
  <c r="J30" i="35"/>
  <c r="W30" i="35" s="1"/>
  <c r="F22" i="35"/>
  <c r="AA22" i="35" s="1"/>
  <c r="H10" i="35"/>
  <c r="U10" i="35" s="1"/>
  <c r="E85" i="36"/>
  <c r="F85" i="36" s="1"/>
  <c r="G85" i="36" s="1"/>
  <c r="H85" i="36" s="1"/>
  <c r="I85" i="36" s="1"/>
  <c r="J85" i="36" s="1"/>
  <c r="K85" i="36" s="1"/>
  <c r="L85" i="36" s="1"/>
  <c r="M85" i="36" s="1"/>
  <c r="J29" i="36"/>
  <c r="AC29" i="36"/>
  <c r="F12" i="36"/>
  <c r="S12" i="36" s="1"/>
  <c r="F34" i="36"/>
  <c r="S34" i="36" s="1"/>
  <c r="H16" i="35"/>
  <c r="H33" i="35"/>
  <c r="AB33" i="35" s="1"/>
  <c r="W8" i="35"/>
  <c r="AC8" i="35"/>
  <c r="F35" i="37"/>
  <c r="E101" i="37"/>
  <c r="F101" i="37" s="1"/>
  <c r="G101" i="37" s="1"/>
  <c r="H101" i="37" s="1"/>
  <c r="I101" i="37" s="1"/>
  <c r="J101" i="37" s="1"/>
  <c r="K101" i="37" s="1"/>
  <c r="L101" i="37" s="1"/>
  <c r="M101" i="37" s="1"/>
  <c r="J34" i="37"/>
  <c r="W34" i="37" s="1"/>
  <c r="U42" i="34"/>
  <c r="E114" i="34"/>
  <c r="H36" i="34"/>
  <c r="U36" i="34" s="1"/>
  <c r="F33" i="34"/>
  <c r="S33" i="34" s="1"/>
  <c r="F19" i="34"/>
  <c r="AA19" i="34" s="1"/>
  <c r="J10" i="34"/>
  <c r="AC10" i="34" s="1"/>
  <c r="J28" i="34"/>
  <c r="W28" i="34" s="1"/>
  <c r="E113" i="33"/>
  <c r="F113" i="33" s="1"/>
  <c r="G113" i="33" s="1"/>
  <c r="H113" i="33" s="1"/>
  <c r="I113" i="33" s="1"/>
  <c r="J113" i="33" s="1"/>
  <c r="K113" i="33" s="1"/>
  <c r="L113" i="33" s="1"/>
  <c r="M113" i="33" s="1"/>
  <c r="F19" i="33"/>
  <c r="S19" i="33" s="1"/>
  <c r="H29" i="35"/>
  <c r="S34" i="37"/>
  <c r="AA34" i="37"/>
  <c r="AB42" i="34"/>
  <c r="AB40" i="34"/>
  <c r="J19" i="34"/>
  <c r="AC19" i="34" s="1"/>
  <c r="H37" i="33"/>
  <c r="AB37" i="33" s="1"/>
  <c r="S37" i="33"/>
  <c r="AA42" i="34"/>
  <c r="S42" i="34"/>
  <c r="J37" i="33"/>
  <c r="W37" i="33" s="1"/>
  <c r="F44" i="34"/>
  <c r="S44" i="34" s="1"/>
  <c r="J10" i="35"/>
  <c r="W10" i="35" s="1"/>
  <c r="AL5" i="3"/>
  <c r="BQ13" i="3"/>
  <c r="J28" i="21"/>
  <c r="AC28" i="21" s="1"/>
  <c r="J30" i="21"/>
  <c r="AC30" i="21" s="1"/>
  <c r="H26" i="33"/>
  <c r="U26" i="33" s="1"/>
  <c r="F28" i="33"/>
  <c r="AA28" i="33" s="1"/>
  <c r="F33" i="35"/>
  <c r="S33" i="35" s="1"/>
  <c r="J33" i="35"/>
  <c r="W33" i="35" s="1"/>
  <c r="F30" i="35"/>
  <c r="AA30" i="35" s="1"/>
  <c r="H10" i="36"/>
  <c r="AB10" i="36" s="1"/>
  <c r="F28" i="36"/>
  <c r="S28" i="36" s="1"/>
  <c r="F27" i="36"/>
  <c r="S27" i="36" s="1"/>
  <c r="H13" i="21"/>
  <c r="U13" i="21" s="1"/>
  <c r="F13" i="21"/>
  <c r="AA13" i="21" s="1"/>
  <c r="H27" i="21"/>
  <c r="AB27" i="21" s="1"/>
  <c r="J27" i="21"/>
  <c r="W27" i="21" s="1"/>
  <c r="F27" i="21"/>
  <c r="AA27" i="21" s="1"/>
  <c r="H29" i="21"/>
  <c r="U29" i="21" s="1"/>
  <c r="F29" i="21"/>
  <c r="S29" i="21" s="1"/>
  <c r="J31" i="21"/>
  <c r="AC31" i="21" s="1"/>
  <c r="H31" i="21"/>
  <c r="U31" i="21" s="1"/>
  <c r="F31" i="21"/>
  <c r="S31" i="21" s="1"/>
  <c r="F13" i="33"/>
  <c r="S13" i="33" s="1"/>
  <c r="J29" i="33"/>
  <c r="W29" i="33" s="1"/>
  <c r="J31" i="33"/>
  <c r="AC31" i="33" s="1"/>
  <c r="H31" i="33"/>
  <c r="AB31" i="33" s="1"/>
  <c r="U31" i="33"/>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U40" i="37"/>
  <c r="J40" i="37"/>
  <c r="F40" i="37"/>
  <c r="AA40" i="37"/>
  <c r="H44" i="33"/>
  <c r="U44" i="33" s="1"/>
  <c r="J46" i="33"/>
  <c r="AC46" i="33" s="1"/>
  <c r="F46" i="33"/>
  <c r="AA46" i="33" s="1"/>
  <c r="H46" i="33"/>
  <c r="AB46" i="33" s="1"/>
  <c r="H13" i="34"/>
  <c r="U13" i="34" s="1"/>
  <c r="J13" i="34"/>
  <c r="W13" i="34" s="1"/>
  <c r="F13" i="34"/>
  <c r="AA13" i="34" s="1"/>
  <c r="J29" i="34"/>
  <c r="AC29" i="34" s="1"/>
  <c r="F29" i="34"/>
  <c r="S29" i="34" s="1"/>
  <c r="H29" i="34"/>
  <c r="U29" i="34" s="1"/>
  <c r="H45" i="34"/>
  <c r="U45" i="34" s="1"/>
  <c r="J45" i="34"/>
  <c r="W45" i="34" s="1"/>
  <c r="F45" i="34"/>
  <c r="S45" i="34" s="1"/>
  <c r="H47" i="34"/>
  <c r="U47" i="34" s="1"/>
  <c r="J47" i="34"/>
  <c r="AC47" i="34" s="1"/>
  <c r="F13" i="35"/>
  <c r="S13" i="35" s="1"/>
  <c r="J13" i="35"/>
  <c r="AC13" i="35" s="1"/>
  <c r="J25" i="35"/>
  <c r="AC25" i="35" s="1"/>
  <c r="F25" i="35"/>
  <c r="AA25" i="35" s="1"/>
  <c r="H25" i="35"/>
  <c r="AB25" i="35" s="1"/>
  <c r="J35" i="35"/>
  <c r="AC35" i="35" s="1"/>
  <c r="F35" i="35"/>
  <c r="S35" i="35" s="1"/>
  <c r="J25" i="36"/>
  <c r="W25" i="36" s="1"/>
  <c r="F25" i="36"/>
  <c r="AA25" i="36" s="1"/>
  <c r="H13" i="37"/>
  <c r="AB13" i="37" s="1"/>
  <c r="F13" i="37"/>
  <c r="S13" i="37" s="1"/>
  <c r="H38" i="37"/>
  <c r="AB38" i="37" s="1"/>
  <c r="J38" i="37"/>
  <c r="AC38" i="37" s="1"/>
  <c r="F38" i="37"/>
  <c r="AA38" i="37" s="1"/>
  <c r="S38" i="37"/>
  <c r="F14" i="37"/>
  <c r="AA14" i="37" s="1"/>
  <c r="J36" i="37"/>
  <c r="AC36" i="37" s="1"/>
  <c r="U36" i="37"/>
  <c r="AC13" i="36"/>
  <c r="G529" i="3"/>
  <c r="G508" i="3"/>
  <c r="G17" i="3"/>
  <c r="G565" i="3"/>
  <c r="G557" i="3"/>
  <c r="G549" i="3"/>
  <c r="G545" i="3"/>
  <c r="G539" i="3"/>
  <c r="BL569" i="3"/>
  <c r="BL557" i="3"/>
  <c r="BL545" i="3"/>
  <c r="BL527" i="3"/>
  <c r="BL519" i="3"/>
  <c r="G16" i="3"/>
  <c r="BL555" i="3"/>
  <c r="BL541" i="3"/>
  <c r="G518" i="3"/>
  <c r="G18" i="3"/>
  <c r="BA561" i="3"/>
  <c r="BA557" i="3"/>
  <c r="AZ557" i="3" s="1"/>
  <c r="BA543" i="3"/>
  <c r="BA541" i="3"/>
  <c r="BA493" i="3"/>
  <c r="BA562" i="3"/>
  <c r="AZ562" i="3" s="1"/>
  <c r="BA540" i="3"/>
  <c r="BA536" i="3"/>
  <c r="BA528" i="3"/>
  <c r="BA498" i="3"/>
  <c r="G562" i="3"/>
  <c r="G560" i="3"/>
  <c r="G558" i="3"/>
  <c r="G556" i="3"/>
  <c r="G554" i="3"/>
  <c r="G550" i="3"/>
  <c r="G546" i="3"/>
  <c r="BL543" i="3"/>
  <c r="AZ543" i="3" s="1"/>
  <c r="AC542" i="3"/>
  <c r="G542" i="3" s="1"/>
  <c r="BQ542" i="3"/>
  <c r="BQ568" i="3"/>
  <c r="BQ566" i="3"/>
  <c r="BQ564" i="3"/>
  <c r="BQ562" i="3"/>
  <c r="BL562" i="3" s="1"/>
  <c r="BQ560" i="3"/>
  <c r="BL560" i="3" s="1"/>
  <c r="BQ558" i="3"/>
  <c r="BL558" i="3" s="1"/>
  <c r="BQ556" i="3"/>
  <c r="BQ554" i="3"/>
  <c r="BQ552" i="3"/>
  <c r="BQ550" i="3"/>
  <c r="BQ548" i="3"/>
  <c r="BQ546" i="3"/>
  <c r="BL546" i="3" s="1"/>
  <c r="BQ544" i="3"/>
  <c r="BL544" i="3" s="1"/>
  <c r="G544" i="3"/>
  <c r="G538" i="3"/>
  <c r="G534" i="3"/>
  <c r="G530" i="3"/>
  <c r="G526" i="3"/>
  <c r="BQ540" i="3"/>
  <c r="BL540" i="3"/>
  <c r="BQ538" i="3"/>
  <c r="BQ536" i="3"/>
  <c r="BQ534" i="3"/>
  <c r="BQ532" i="3"/>
  <c r="BL532" i="3" s="1"/>
  <c r="BQ530" i="3"/>
  <c r="BQ528" i="3"/>
  <c r="BQ526" i="3"/>
  <c r="BL526" i="3" s="1"/>
  <c r="BQ524" i="3"/>
  <c r="BL524" i="3" s="1"/>
  <c r="BQ522" i="3"/>
  <c r="BQ520" i="3"/>
  <c r="BQ518" i="3"/>
  <c r="BQ516" i="3"/>
  <c r="BL516" i="3" s="1"/>
  <c r="BQ514" i="3"/>
  <c r="BL514" i="3" s="1"/>
  <c r="BQ512" i="3"/>
  <c r="BQ510" i="3"/>
  <c r="BQ508" i="3"/>
  <c r="AC506" i="3"/>
  <c r="BQ506" i="3"/>
  <c r="BQ504" i="3"/>
  <c r="BQ502" i="3"/>
  <c r="BQ500" i="3"/>
  <c r="BQ498" i="3"/>
  <c r="BQ496" i="3"/>
  <c r="BL496" i="3" s="1"/>
  <c r="AC494" i="3"/>
  <c r="G494" i="3" s="1"/>
  <c r="BQ494" i="3"/>
  <c r="BL494" i="3" s="1"/>
  <c r="G492" i="3"/>
  <c r="G484" i="3"/>
  <c r="BQ492" i="3"/>
  <c r="BL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H24" i="35"/>
  <c r="AB24" i="35"/>
  <c r="H23" i="37"/>
  <c r="J32" i="37"/>
  <c r="AC32" i="37" s="1"/>
  <c r="F36" i="37"/>
  <c r="S36" i="37" s="1"/>
  <c r="F37" i="37"/>
  <c r="AA37" i="37" s="1"/>
  <c r="H42" i="33"/>
  <c r="U42" i="33" s="1"/>
  <c r="J43" i="33"/>
  <c r="AC43" i="33" s="1"/>
  <c r="G79" i="37"/>
  <c r="J23" i="37"/>
  <c r="AC23" i="37" s="1"/>
  <c r="F17" i="37"/>
  <c r="AA17" i="37" s="1"/>
  <c r="D3" i="21"/>
  <c r="AB8" i="34"/>
  <c r="AC37" i="33"/>
  <c r="AA13" i="33"/>
  <c r="AC33" i="21"/>
  <c r="F43" i="33"/>
  <c r="AA43" i="33" s="1"/>
  <c r="AA23" i="37"/>
  <c r="J107" i="37"/>
  <c r="K107" i="37" s="1"/>
  <c r="L107" i="37" s="1"/>
  <c r="M107" i="37" s="1"/>
  <c r="H19" i="34"/>
  <c r="AB19" i="34" s="1"/>
  <c r="J10" i="37"/>
  <c r="W10" i="37" s="1"/>
  <c r="F36" i="35"/>
  <c r="S36" i="35" s="1"/>
  <c r="J9" i="37"/>
  <c r="W9" i="37" s="1"/>
  <c r="H9" i="37"/>
  <c r="U9" i="37" s="1"/>
  <c r="F9" i="37"/>
  <c r="S9" i="37" s="1"/>
  <c r="F11" i="37"/>
  <c r="S11" i="37" s="1"/>
  <c r="H15" i="37"/>
  <c r="AB15" i="37" s="1"/>
  <c r="U15" i="37"/>
  <c r="E94" i="37"/>
  <c r="F94" i="37" s="1"/>
  <c r="G94" i="37" s="1"/>
  <c r="H94" i="37" s="1"/>
  <c r="I94" i="37" s="1"/>
  <c r="J94" i="37" s="1"/>
  <c r="K94" i="37" s="1"/>
  <c r="L94" i="37" s="1"/>
  <c r="M94" i="37" s="1"/>
  <c r="F31" i="37"/>
  <c r="S31" i="37" s="1"/>
  <c r="H31" i="37"/>
  <c r="U31" i="37" s="1"/>
  <c r="J15" i="37"/>
  <c r="W15" i="37" s="1"/>
  <c r="AB10" i="37"/>
  <c r="J11" i="37"/>
  <c r="W11" i="37" s="1"/>
  <c r="E90" i="40"/>
  <c r="F21" i="40"/>
  <c r="S21" i="40" s="1"/>
  <c r="W36" i="40"/>
  <c r="U40" i="39"/>
  <c r="F90" i="40"/>
  <c r="G90" i="40" s="1"/>
  <c r="J21" i="40"/>
  <c r="AC21" i="40" s="1"/>
  <c r="S27" i="31"/>
  <c r="G483" i="3"/>
  <c r="G507" i="3"/>
  <c r="G501" i="3"/>
  <c r="BA15" i="3"/>
  <c r="BL17" i="3"/>
  <c r="BL15" i="3"/>
  <c r="BA14" i="3"/>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AZ327" i="3" s="1"/>
  <c r="G328" i="3"/>
  <c r="BA329" i="3"/>
  <c r="AZ329" i="3" s="1"/>
  <c r="G337" i="3"/>
  <c r="BL338" i="3"/>
  <c r="G339" i="3"/>
  <c r="BL340" i="3"/>
  <c r="BA342" i="3"/>
  <c r="BA343" i="3"/>
  <c r="AZ343" i="3" s="1"/>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AZ131" i="3" s="1"/>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AZ336" i="3" s="1"/>
  <c r="BA338" i="3"/>
  <c r="BA339" i="3"/>
  <c r="BL339" i="3"/>
  <c r="G340" i="3"/>
  <c r="G343" i="3"/>
  <c r="BL344" i="3"/>
  <c r="BA346" i="3"/>
  <c r="BA347" i="3"/>
  <c r="AZ347" i="3" s="1"/>
  <c r="BL347" i="3"/>
  <c r="G348" i="3"/>
  <c r="G351" i="3"/>
  <c r="BL352" i="3"/>
  <c r="BA354" i="3"/>
  <c r="AZ354" i="3" s="1"/>
  <c r="BA355" i="3"/>
  <c r="BL355" i="3"/>
  <c r="G356" i="3"/>
  <c r="BA358" i="3"/>
  <c r="BA359" i="3"/>
  <c r="BL359" i="3"/>
  <c r="G360" i="3"/>
  <c r="G361" i="3"/>
  <c r="BL362" i="3"/>
  <c r="BA364" i="3"/>
  <c r="BA365" i="3"/>
  <c r="AZ365" i="3" s="1"/>
  <c r="BL365" i="3"/>
  <c r="G366" i="3"/>
  <c r="G369" i="3"/>
  <c r="BL370" i="3"/>
  <c r="BA372" i="3"/>
  <c r="AZ372" i="3" s="1"/>
  <c r="BA373" i="3"/>
  <c r="AZ373" i="3" s="1"/>
  <c r="BL373" i="3"/>
  <c r="G374" i="3"/>
  <c r="G377" i="3"/>
  <c r="BL378" i="3"/>
  <c r="BA380" i="3"/>
  <c r="BA381" i="3"/>
  <c r="AZ381" i="3" s="1"/>
  <c r="BL381" i="3"/>
  <c r="G382" i="3"/>
  <c r="G385" i="3"/>
  <c r="G523" i="3"/>
  <c r="BL297" i="3"/>
  <c r="G298" i="3"/>
  <c r="BA300" i="3"/>
  <c r="BL301" i="3"/>
  <c r="G302" i="3"/>
  <c r="BA304" i="3"/>
  <c r="AZ304" i="3" s="1"/>
  <c r="BL305" i="3"/>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G338" i="3"/>
  <c r="BA340" i="3"/>
  <c r="BL341" i="3"/>
  <c r="G342" i="3"/>
  <c r="BA344" i="3"/>
  <c r="AZ344" i="3" s="1"/>
  <c r="BL345" i="3"/>
  <c r="G346" i="3"/>
  <c r="BA348" i="3"/>
  <c r="BL349" i="3"/>
  <c r="G350" i="3"/>
  <c r="BA352" i="3"/>
  <c r="BL353" i="3"/>
  <c r="G354" i="3"/>
  <c r="BA356" i="3"/>
  <c r="BL357" i="3"/>
  <c r="G358" i="3"/>
  <c r="BA362" i="3"/>
  <c r="AZ362" i="3" s="1"/>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13" i="40"/>
  <c r="E78" i="40"/>
  <c r="F78" i="40" s="1"/>
  <c r="G78" i="40" s="1"/>
  <c r="H78" i="40" s="1"/>
  <c r="I78" i="40" s="1"/>
  <c r="J78" i="40" s="1"/>
  <c r="K78" i="40" s="1"/>
  <c r="L78" i="40" s="1"/>
  <c r="M78" i="40" s="1"/>
  <c r="R16" i="4"/>
  <c r="P16" i="4"/>
  <c r="D3" i="35"/>
  <c r="G4" i="4"/>
  <c r="J16" i="35"/>
  <c r="W16" i="35" s="1"/>
  <c r="AC26" i="36"/>
  <c r="H13" i="39"/>
  <c r="AB13" i="39" s="1"/>
  <c r="F13" i="39"/>
  <c r="J13" i="39"/>
  <c r="AC13" i="39" s="1"/>
  <c r="H11" i="37"/>
  <c r="AB11" i="37"/>
  <c r="W37" i="37"/>
  <c r="AC29" i="33"/>
  <c r="AC11" i="36"/>
  <c r="AC10" i="36"/>
  <c r="AB45" i="34"/>
  <c r="AB35" i="35"/>
  <c r="S25" i="35"/>
  <c r="W32" i="36"/>
  <c r="AC32" i="36"/>
  <c r="U28" i="33"/>
  <c r="AB28" i="33"/>
  <c r="J33" i="34"/>
  <c r="AC33" i="34" s="1"/>
  <c r="J40" i="34"/>
  <c r="W40" i="34" s="1"/>
  <c r="F16" i="35"/>
  <c r="AA16" i="35" s="1"/>
  <c r="J35" i="34"/>
  <c r="W35" i="34" s="1"/>
  <c r="F107" i="34"/>
  <c r="G107" i="34" s="1"/>
  <c r="H107" i="34" s="1"/>
  <c r="I107" i="34" s="1"/>
  <c r="J107" i="34" s="1"/>
  <c r="K107" i="34" s="1"/>
  <c r="L107" i="34" s="1"/>
  <c r="M107" i="34" s="1"/>
  <c r="S30" i="36"/>
  <c r="H16" i="36"/>
  <c r="AB16" i="36" s="1"/>
  <c r="L103" i="37"/>
  <c r="M103" i="37" s="1"/>
  <c r="H35" i="37"/>
  <c r="AB35" i="37" s="1"/>
  <c r="S26" i="21"/>
  <c r="H32" i="21"/>
  <c r="U32" i="21" s="1"/>
  <c r="U26" i="21"/>
  <c r="AA33" i="21"/>
  <c r="S33" i="21"/>
  <c r="U39" i="21"/>
  <c r="J32" i="21"/>
  <c r="AC32" i="21" s="1"/>
  <c r="F17" i="21"/>
  <c r="S17" i="21" s="1"/>
  <c r="H17" i="21"/>
  <c r="AB17" i="21" s="1"/>
  <c r="J17" i="21"/>
  <c r="AC17" i="21" s="1"/>
  <c r="F40" i="21"/>
  <c r="S40" i="21" s="1"/>
  <c r="H40" i="21"/>
  <c r="AB40" i="21" s="1"/>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F29" i="33"/>
  <c r="AA29" i="33" s="1"/>
  <c r="H30" i="34"/>
  <c r="AB30" i="34" s="1"/>
  <c r="F30" i="34"/>
  <c r="S30" i="34" s="1"/>
  <c r="H46" i="34"/>
  <c r="AB46" i="34" s="1"/>
  <c r="F46" i="34"/>
  <c r="AA46" i="34" s="1"/>
  <c r="J46" i="34"/>
  <c r="AC46" i="34" s="1"/>
  <c r="H11" i="35"/>
  <c r="U11" i="35" s="1"/>
  <c r="J11" i="35"/>
  <c r="AC11" i="35" s="1"/>
  <c r="F96" i="37"/>
  <c r="H32" i="37"/>
  <c r="AB32" i="37" s="1"/>
  <c r="F19" i="39"/>
  <c r="S19" i="39" s="1"/>
  <c r="H19" i="39"/>
  <c r="J19" i="39"/>
  <c r="W19" i="39"/>
  <c r="F43" i="39"/>
  <c r="H43" i="39"/>
  <c r="U43" i="39" s="1"/>
  <c r="J43" i="39"/>
  <c r="AC43" i="39" s="1"/>
  <c r="F99" i="37"/>
  <c r="G99" i="37" s="1"/>
  <c r="H99" i="37" s="1"/>
  <c r="I99" i="37" s="1"/>
  <c r="J99" i="37" s="1"/>
  <c r="K99" i="37" s="1"/>
  <c r="L99" i="37" s="1"/>
  <c r="M99" i="37" s="1"/>
  <c r="AC27" i="37"/>
  <c r="U25" i="35"/>
  <c r="S28" i="33"/>
  <c r="AB29" i="35"/>
  <c r="U29" i="35"/>
  <c r="AC34" i="37"/>
  <c r="S35" i="37"/>
  <c r="AA35" i="37"/>
  <c r="AB10" i="35"/>
  <c r="S32" i="21"/>
  <c r="AB34" i="21"/>
  <c r="F42" i="21"/>
  <c r="AA42" i="21" s="1"/>
  <c r="AB40" i="33"/>
  <c r="S35" i="34"/>
  <c r="E90" i="34"/>
  <c r="F90" i="34" s="1"/>
  <c r="G90" i="34" s="1"/>
  <c r="H90" i="34" s="1"/>
  <c r="I90" i="34" s="1"/>
  <c r="J90" i="34" s="1"/>
  <c r="K90" i="34" s="1"/>
  <c r="L90" i="34" s="1"/>
  <c r="M90" i="34" s="1"/>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U11" i="36" s="1"/>
  <c r="F11" i="36"/>
  <c r="S11" i="36" s="1"/>
  <c r="E78" i="36"/>
  <c r="F78" i="36" s="1"/>
  <c r="G78" i="36" s="1"/>
  <c r="H78" i="36" s="1"/>
  <c r="I78" i="36" s="1"/>
  <c r="J78" i="36" s="1"/>
  <c r="K78" i="36" s="1"/>
  <c r="L78" i="36" s="1"/>
  <c r="M78" i="36" s="1"/>
  <c r="F26" i="36"/>
  <c r="S26" i="36" s="1"/>
  <c r="U34" i="36"/>
  <c r="AB34" i="36"/>
  <c r="H33" i="36"/>
  <c r="F33" i="36"/>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F34" i="39"/>
  <c r="AA34" i="39" s="1"/>
  <c r="H34" i="39"/>
  <c r="J34" i="39"/>
  <c r="AC34" i="39"/>
  <c r="F39" i="39"/>
  <c r="H39" i="39"/>
  <c r="AB39" i="39" s="1"/>
  <c r="J39" i="39"/>
  <c r="J29" i="35"/>
  <c r="AC29" i="35" s="1"/>
  <c r="F29" i="35"/>
  <c r="S29" i="35" s="1"/>
  <c r="W30" i="36"/>
  <c r="AC30" i="36"/>
  <c r="F37" i="39"/>
  <c r="S37" i="39" s="1"/>
  <c r="H37" i="39"/>
  <c r="U37" i="39" s="1"/>
  <c r="J37" i="39"/>
  <c r="W37" i="39" s="1"/>
  <c r="BL568" i="3"/>
  <c r="BL566" i="3"/>
  <c r="BL565" i="3"/>
  <c r="BA564" i="3"/>
  <c r="BL554" i="3"/>
  <c r="BL549" i="3"/>
  <c r="BA549" i="3"/>
  <c r="BA548" i="3"/>
  <c r="BL547" i="3"/>
  <c r="BA547" i="3"/>
  <c r="BL539" i="3"/>
  <c r="BA539" i="3"/>
  <c r="AZ539" i="3" s="1"/>
  <c r="BA538" i="3"/>
  <c r="BL537" i="3"/>
  <c r="BA537" i="3"/>
  <c r="AZ537" i="3" s="1"/>
  <c r="BL536" i="3"/>
  <c r="AZ536" i="3" s="1"/>
  <c r="BA535" i="3"/>
  <c r="BA534" i="3"/>
  <c r="BA533" i="3"/>
  <c r="BL531" i="3"/>
  <c r="BL530" i="3"/>
  <c r="BA526" i="3"/>
  <c r="AZ526" i="3" s="1"/>
  <c r="BA525" i="3"/>
  <c r="BL523" i="3"/>
  <c r="AZ523" i="3" s="1"/>
  <c r="BA523" i="3"/>
  <c r="BL522" i="3"/>
  <c r="BA522" i="3"/>
  <c r="BL518" i="3"/>
  <c r="BL517" i="3"/>
  <c r="BA517" i="3"/>
  <c r="BA515" i="3"/>
  <c r="BL513" i="3"/>
  <c r="BL509" i="3"/>
  <c r="BL507" i="3"/>
  <c r="BA507" i="3"/>
  <c r="AZ507" i="3" s="1"/>
  <c r="BL506" i="3"/>
  <c r="BA500" i="3"/>
  <c r="BL499" i="3"/>
  <c r="BL498" i="3"/>
  <c r="AZ498" i="3"/>
  <c r="BL497" i="3"/>
  <c r="BA491" i="3"/>
  <c r="BL490" i="3"/>
  <c r="BA490" i="3"/>
  <c r="BA489" i="3"/>
  <c r="BL487" i="3"/>
  <c r="AZ487" i="3" s="1"/>
  <c r="BA485" i="3"/>
  <c r="BA483" i="3"/>
  <c r="BL481" i="3"/>
  <c r="BJ5" i="3"/>
  <c r="BA481" i="3"/>
  <c r="BL19" i="3"/>
  <c r="AZ19" i="3" s="1"/>
  <c r="F114" i="34"/>
  <c r="G114" i="34" s="1"/>
  <c r="H114" i="34" s="1"/>
  <c r="I114" i="34" s="1"/>
  <c r="J114" i="34" s="1"/>
  <c r="K114" i="34" s="1"/>
  <c r="L114" i="34" s="1"/>
  <c r="M114" i="34" s="1"/>
  <c r="H38" i="34"/>
  <c r="U38" i="34"/>
  <c r="H30" i="40"/>
  <c r="AB30" i="40" s="1"/>
  <c r="G100" i="40"/>
  <c r="H100" i="40" s="1"/>
  <c r="I100" i="40" s="1"/>
  <c r="J100" i="40" s="1"/>
  <c r="K100" i="40" s="1"/>
  <c r="L100" i="40" s="1"/>
  <c r="M100" i="40" s="1"/>
  <c r="J30" i="40"/>
  <c r="AC30" i="40" s="1"/>
  <c r="F38" i="40"/>
  <c r="AA38" i="40" s="1"/>
  <c r="W12" i="21"/>
  <c r="S35" i="21"/>
  <c r="S34" i="21"/>
  <c r="U8" i="33"/>
  <c r="E106" i="33"/>
  <c r="F106" i="33" s="1"/>
  <c r="H34" i="33"/>
  <c r="U34" i="33" s="1"/>
  <c r="F34" i="33"/>
  <c r="S34" i="33" s="1"/>
  <c r="E121" i="33"/>
  <c r="F121" i="33" s="1"/>
  <c r="G121" i="33" s="1"/>
  <c r="H121" i="33" s="1"/>
  <c r="I121" i="33" s="1"/>
  <c r="J121" i="33" s="1"/>
  <c r="K121" i="33" s="1"/>
  <c r="L121" i="33" s="1"/>
  <c r="M121" i="33" s="1"/>
  <c r="F41" i="33"/>
  <c r="AC34" i="34"/>
  <c r="W34" i="34"/>
  <c r="S39" i="34"/>
  <c r="E78" i="34"/>
  <c r="F15" i="34"/>
  <c r="S15" i="34" s="1"/>
  <c r="AC28" i="35"/>
  <c r="W28" i="35"/>
  <c r="J20" i="35"/>
  <c r="AC20" i="35" s="1"/>
  <c r="E72" i="35"/>
  <c r="F72" i="35" s="1"/>
  <c r="G72" i="35" s="1"/>
  <c r="H22" i="35"/>
  <c r="AB22" i="35" s="1"/>
  <c r="H23" i="35"/>
  <c r="U23" i="35" s="1"/>
  <c r="F23" i="35"/>
  <c r="AA23" i="35" s="1"/>
  <c r="AB36" i="35"/>
  <c r="U31" i="36"/>
  <c r="S8" i="37"/>
  <c r="AA8" i="37"/>
  <c r="F14" i="39"/>
  <c r="AA14" i="39" s="1"/>
  <c r="H14" i="39"/>
  <c r="AB14" i="39"/>
  <c r="J14" i="39"/>
  <c r="W14" i="39" s="1"/>
  <c r="F16" i="39"/>
  <c r="AA16" i="39" s="1"/>
  <c r="H16" i="39"/>
  <c r="U16" i="39"/>
  <c r="J16" i="39"/>
  <c r="AC16" i="39"/>
  <c r="F23" i="39"/>
  <c r="AA23" i="39" s="1"/>
  <c r="E97" i="39"/>
  <c r="F97" i="39" s="1"/>
  <c r="G97" i="39" s="1"/>
  <c r="F27" i="39"/>
  <c r="AA27" i="39"/>
  <c r="H27" i="39"/>
  <c r="U27" i="39" s="1"/>
  <c r="J27" i="39"/>
  <c r="AC27" i="39"/>
  <c r="F15" i="40"/>
  <c r="AA15" i="40" s="1"/>
  <c r="J15" i="40"/>
  <c r="AC15" i="40" s="1"/>
  <c r="H15" i="40"/>
  <c r="AB15" i="40" s="1"/>
  <c r="E92" i="40"/>
  <c r="F92" i="40" s="1"/>
  <c r="G92" i="40" s="1"/>
  <c r="H23" i="40"/>
  <c r="U23" i="40" s="1"/>
  <c r="H41" i="40"/>
  <c r="U41" i="40" s="1"/>
  <c r="F41" i="40"/>
  <c r="AA41" i="40"/>
  <c r="J41" i="40"/>
  <c r="AC41" i="40" s="1"/>
  <c r="F15" i="39"/>
  <c r="AA15" i="39" s="1"/>
  <c r="H15" i="39"/>
  <c r="U15" i="39" s="1"/>
  <c r="J15" i="39"/>
  <c r="AC15" i="39"/>
  <c r="H25" i="39"/>
  <c r="U25" i="39" s="1"/>
  <c r="J25" i="39"/>
  <c r="AC25" i="39" s="1"/>
  <c r="F25" i="39"/>
  <c r="AA25" i="39" s="1"/>
  <c r="F45" i="39"/>
  <c r="AA45" i="39" s="1"/>
  <c r="H45" i="39"/>
  <c r="J45" i="39"/>
  <c r="AC45" i="39" s="1"/>
  <c r="F47" i="39"/>
  <c r="AA47" i="39" s="1"/>
  <c r="H47" i="39"/>
  <c r="AB47" i="39" s="1"/>
  <c r="J47" i="39"/>
  <c r="W47" i="39" s="1"/>
  <c r="F41" i="39"/>
  <c r="AA41" i="39" s="1"/>
  <c r="H41" i="39"/>
  <c r="J41" i="39"/>
  <c r="AC41" i="39" s="1"/>
  <c r="E94" i="40"/>
  <c r="F94" i="40" s="1"/>
  <c r="G94" i="40" s="1"/>
  <c r="J25" i="40"/>
  <c r="AC25" i="40" s="1"/>
  <c r="J32" i="40"/>
  <c r="H32" i="40"/>
  <c r="U32" i="40" s="1"/>
  <c r="H33" i="40"/>
  <c r="AB33" i="40" s="1"/>
  <c r="F33" i="40"/>
  <c r="AA33" i="40"/>
  <c r="J33" i="40"/>
  <c r="AC33" i="40" s="1"/>
  <c r="H35" i="40"/>
  <c r="U35" i="40" s="1"/>
  <c r="F35" i="40"/>
  <c r="J35" i="40"/>
  <c r="AC35" i="40" s="1"/>
  <c r="J38" i="39"/>
  <c r="W38" i="39" s="1"/>
  <c r="H38" i="39"/>
  <c r="U38" i="39"/>
  <c r="J16" i="40"/>
  <c r="W16" i="40" s="1"/>
  <c r="J14" i="40"/>
  <c r="AC14" i="40" s="1"/>
  <c r="W14" i="40"/>
  <c r="H42" i="40"/>
  <c r="AB42" i="40" s="1"/>
  <c r="H40" i="40"/>
  <c r="U40" i="40" s="1"/>
  <c r="H34" i="40"/>
  <c r="AB34" i="40" s="1"/>
  <c r="B41" i="1"/>
  <c r="J42" i="40"/>
  <c r="W42" i="40" s="1"/>
  <c r="J40" i="40"/>
  <c r="J34" i="40"/>
  <c r="AC34" i="40" s="1"/>
  <c r="H16" i="40"/>
  <c r="AB16" i="40" s="1"/>
  <c r="H14" i="40"/>
  <c r="AB14" i="40" s="1"/>
  <c r="U14" i="40"/>
  <c r="F32" i="40"/>
  <c r="AA32" i="40" s="1"/>
  <c r="M1" i="46"/>
  <c r="M6" i="46"/>
  <c r="M10" i="46"/>
  <c r="N2" i="46"/>
  <c r="N5" i="46"/>
  <c r="F58" i="46"/>
  <c r="H61" i="46" s="1"/>
  <c r="N7" i="46"/>
  <c r="M7" i="46"/>
  <c r="M11" i="46"/>
  <c r="N3" i="46"/>
  <c r="N6" i="46"/>
  <c r="N10" i="46"/>
  <c r="J13" i="40"/>
  <c r="W13" i="40" s="1"/>
  <c r="S33" i="40"/>
  <c r="J23" i="40"/>
  <c r="AC23" i="40" s="1"/>
  <c r="F23" i="40"/>
  <c r="S23" i="40" s="1"/>
  <c r="W15" i="40"/>
  <c r="W27" i="39"/>
  <c r="AB16" i="39"/>
  <c r="H20" i="35"/>
  <c r="F20" i="35"/>
  <c r="S20" i="35" s="1"/>
  <c r="H15" i="34"/>
  <c r="AB15" i="34" s="1"/>
  <c r="F78" i="34"/>
  <c r="G78" i="34" s="1"/>
  <c r="J15" i="34"/>
  <c r="AC15" i="34" s="1"/>
  <c r="H41" i="33"/>
  <c r="U41" i="33" s="1"/>
  <c r="F30" i="40"/>
  <c r="AA30" i="40" s="1"/>
  <c r="AB38" i="34"/>
  <c r="AA29" i="35"/>
  <c r="J29" i="39"/>
  <c r="AC29" i="39" s="1"/>
  <c r="U21" i="39"/>
  <c r="AB17" i="39"/>
  <c r="AA14" i="35"/>
  <c r="S14" i="35"/>
  <c r="F33" i="37"/>
  <c r="AB19" i="39"/>
  <c r="U19" i="39"/>
  <c r="AA11" i="34"/>
  <c r="H15" i="33"/>
  <c r="U15" i="33" s="1"/>
  <c r="AA11" i="33"/>
  <c r="S13" i="39"/>
  <c r="AA13" i="39"/>
  <c r="W34" i="40"/>
  <c r="AC16" i="40"/>
  <c r="H25" i="40"/>
  <c r="AB25" i="40"/>
  <c r="U47" i="39"/>
  <c r="W15" i="39"/>
  <c r="S41" i="40"/>
  <c r="H23" i="39"/>
  <c r="AB23" i="39" s="1"/>
  <c r="J23" i="39"/>
  <c r="AC23" i="39" s="1"/>
  <c r="G106" i="33"/>
  <c r="H106" i="33" s="1"/>
  <c r="I106" i="33" s="1"/>
  <c r="J106" i="33" s="1"/>
  <c r="K106" i="33" s="1"/>
  <c r="L106" i="33" s="1"/>
  <c r="M106" i="33" s="1"/>
  <c r="J34" i="33"/>
  <c r="AC34" i="33" s="1"/>
  <c r="AA37" i="39"/>
  <c r="W29" i="35"/>
  <c r="AC39" i="39"/>
  <c r="W39" i="39"/>
  <c r="AA39" i="39"/>
  <c r="S39" i="39"/>
  <c r="AB46" i="39"/>
  <c r="AB44" i="39"/>
  <c r="S17" i="39"/>
  <c r="F80" i="35"/>
  <c r="G80" i="35" s="1"/>
  <c r="H80" i="35" s="1"/>
  <c r="I80" i="35" s="1"/>
  <c r="J80" i="35" s="1"/>
  <c r="K80" i="35" s="1"/>
  <c r="L80" i="35" s="1"/>
  <c r="M80" i="35" s="1"/>
  <c r="W14" i="35"/>
  <c r="F27" i="34"/>
  <c r="S27" i="34" s="1"/>
  <c r="W43" i="39"/>
  <c r="AA19" i="39"/>
  <c r="G96" i="37"/>
  <c r="H96" i="37" s="1"/>
  <c r="I96" i="37" s="1"/>
  <c r="J96" i="37" s="1"/>
  <c r="K96" i="37" s="1"/>
  <c r="L96" i="37" s="1"/>
  <c r="M96" i="37" s="1"/>
  <c r="F32" i="37"/>
  <c r="AA32" i="37" s="1"/>
  <c r="S32" i="37"/>
  <c r="AB11" i="35"/>
  <c r="F17" i="34"/>
  <c r="AA17" i="34" s="1"/>
  <c r="J17" i="34"/>
  <c r="AC17" i="34" s="1"/>
  <c r="H11" i="34"/>
  <c r="AB11" i="34" s="1"/>
  <c r="J35" i="33"/>
  <c r="W35" i="33" s="1"/>
  <c r="AC15" i="33"/>
  <c r="H11" i="33"/>
  <c r="U11" i="33" s="1"/>
  <c r="H10" i="33"/>
  <c r="U10" i="33" s="1"/>
  <c r="I66" i="33"/>
  <c r="J10" i="33"/>
  <c r="AC10" i="33" s="1"/>
  <c r="U11" i="37"/>
  <c r="U13" i="39"/>
  <c r="AC16" i="35"/>
  <c r="J11" i="34"/>
  <c r="W11" i="34" s="1"/>
  <c r="F25" i="40"/>
  <c r="AA25" i="40" s="1"/>
  <c r="J11" i="33"/>
  <c r="H33" i="37"/>
  <c r="AB33" i="37" s="1"/>
  <c r="W23" i="40"/>
  <c r="B11" i="1"/>
  <c r="E11" i="1" s="1"/>
  <c r="K11" i="1"/>
  <c r="B9" i="1"/>
  <c r="E9" i="1" s="1"/>
  <c r="K9" i="1"/>
  <c r="B7" i="1"/>
  <c r="E7" i="1"/>
  <c r="K7" i="1"/>
  <c r="C20" i="43"/>
  <c r="F6" i="1"/>
  <c r="AP6" i="1" s="1"/>
  <c r="M22" i="44"/>
  <c r="D86" i="9"/>
  <c r="S8" i="36"/>
  <c r="AA26" i="36"/>
  <c r="AA28" i="36"/>
  <c r="U25" i="36"/>
  <c r="H20" i="36"/>
  <c r="U20" i="36" s="1"/>
  <c r="F68" i="36"/>
  <c r="G68" i="36"/>
  <c r="J20" i="36"/>
  <c r="W20" i="36" s="1"/>
  <c r="F20" i="36"/>
  <c r="S20" i="36" s="1"/>
  <c r="F62" i="36"/>
  <c r="G62" i="36" s="1"/>
  <c r="J14" i="36"/>
  <c r="H14" i="36"/>
  <c r="U14" i="36" s="1"/>
  <c r="F14" i="36"/>
  <c r="AA14" i="36" s="1"/>
  <c r="U27" i="36"/>
  <c r="U32"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26" i="35" s="1"/>
  <c r="AB9" i="37"/>
  <c r="AA9" i="37"/>
  <c r="S17" i="37"/>
  <c r="AB37" i="37"/>
  <c r="AA31" i="37"/>
  <c r="J33" i="37"/>
  <c r="W33" i="37" s="1"/>
  <c r="S29" i="37"/>
  <c r="J19" i="37"/>
  <c r="AC19" i="37" s="1"/>
  <c r="G75" i="37"/>
  <c r="F19" i="37"/>
  <c r="AA19" i="37" s="1"/>
  <c r="H19" i="37"/>
  <c r="AB19" i="37" s="1"/>
  <c r="J17" i="37"/>
  <c r="S15" i="37"/>
  <c r="AC10" i="37"/>
  <c r="AC21" i="37"/>
  <c r="W21" i="37"/>
  <c r="AC11" i="37"/>
  <c r="AC9" i="37"/>
  <c r="W32" i="37"/>
  <c r="U35" i="37"/>
  <c r="U8" i="37"/>
  <c r="AB25" i="37"/>
  <c r="AB21" i="37"/>
  <c r="U21" i="37"/>
  <c r="S37" i="37"/>
  <c r="S40" i="37"/>
  <c r="AA11" i="37"/>
  <c r="S10" i="37"/>
  <c r="U30" i="34"/>
  <c r="AB33" i="34"/>
  <c r="AA30" i="34"/>
  <c r="U34" i="34"/>
  <c r="J25" i="34"/>
  <c r="W25" i="34" s="1"/>
  <c r="H25" i="34"/>
  <c r="U25" i="34" s="1"/>
  <c r="F25" i="34"/>
  <c r="AA25" i="34" s="1"/>
  <c r="W29" i="34"/>
  <c r="AC21" i="34"/>
  <c r="W21" i="34"/>
  <c r="AB21" i="34"/>
  <c r="U21" i="34"/>
  <c r="U27" i="34"/>
  <c r="S13" i="34"/>
  <c r="AA41" i="34"/>
  <c r="U39" i="33"/>
  <c r="U37" i="33"/>
  <c r="AC12" i="33"/>
  <c r="W31" i="33"/>
  <c r="U46" i="33"/>
  <c r="W39" i="33"/>
  <c r="AB26" i="33"/>
  <c r="H25" i="33"/>
  <c r="AB25" i="33" s="1"/>
  <c r="J25" i="33"/>
  <c r="W25" i="33" s="1"/>
  <c r="F87" i="33"/>
  <c r="G87" i="33"/>
  <c r="H87" i="33" s="1"/>
  <c r="I87" i="33" s="1"/>
  <c r="J87" i="33" s="1"/>
  <c r="K87" i="33" s="1"/>
  <c r="L87" i="33" s="1"/>
  <c r="M87" i="33" s="1"/>
  <c r="F25" i="33"/>
  <c r="S25" i="33" s="1"/>
  <c r="J23" i="33"/>
  <c r="W23" i="33" s="1"/>
  <c r="F23" i="33"/>
  <c r="AA23" i="33" s="1"/>
  <c r="H23" i="33"/>
  <c r="U23" i="33" s="1"/>
  <c r="F17" i="33"/>
  <c r="S17" i="33" s="1"/>
  <c r="H17" i="33"/>
  <c r="U17" i="33" s="1"/>
  <c r="J17" i="33"/>
  <c r="AC17" i="33" s="1"/>
  <c r="AC21" i="33"/>
  <c r="W21" i="33"/>
  <c r="AB21" i="33"/>
  <c r="U21" i="33"/>
  <c r="AA21" i="33"/>
  <c r="S21" i="33"/>
  <c r="W39" i="21"/>
  <c r="U35" i="21"/>
  <c r="W28" i="21"/>
  <c r="AC26" i="21"/>
  <c r="F85" i="21"/>
  <c r="G85" i="21" s="1"/>
  <c r="J23" i="21"/>
  <c r="W23" i="21" s="1"/>
  <c r="F23" i="21"/>
  <c r="AA23" i="21" s="1"/>
  <c r="H23" i="21"/>
  <c r="AB23" i="21" s="1"/>
  <c r="F15" i="21"/>
  <c r="S15" i="21" s="1"/>
  <c r="J15" i="21"/>
  <c r="AC15" i="21" s="1"/>
  <c r="H15" i="21"/>
  <c r="U15" i="21" s="1"/>
  <c r="AC11" i="21"/>
  <c r="AB11" i="21"/>
  <c r="W13" i="21"/>
  <c r="AA11" i="21"/>
  <c r="AC21" i="21"/>
  <c r="W21" i="21"/>
  <c r="W10" i="21"/>
  <c r="AC38" i="21"/>
  <c r="AB21" i="21"/>
  <c r="U21" i="21"/>
  <c r="AB29" i="21"/>
  <c r="AA31" i="21"/>
  <c r="W33" i="40"/>
  <c r="U33" i="40"/>
  <c r="U15" i="40"/>
  <c r="S14" i="40"/>
  <c r="S15" i="40"/>
  <c r="AB13" i="40"/>
  <c r="S16" i="40"/>
  <c r="W11" i="40"/>
  <c r="AA21" i="40"/>
  <c r="U21" i="40"/>
  <c r="U25" i="40"/>
  <c r="F37" i="40"/>
  <c r="AA37" i="40" s="1"/>
  <c r="J37" i="40"/>
  <c r="AC37" i="40" s="1"/>
  <c r="H37" i="40"/>
  <c r="AB37" i="40" s="1"/>
  <c r="G113" i="40"/>
  <c r="H113" i="40" s="1"/>
  <c r="I113" i="40" s="1"/>
  <c r="J113" i="40" s="1"/>
  <c r="K113" i="40" s="1"/>
  <c r="L113" i="40" s="1"/>
  <c r="M113" i="40" s="1"/>
  <c r="F39" i="40"/>
  <c r="S39" i="40" s="1"/>
  <c r="S38" i="40"/>
  <c r="H39" i="40"/>
  <c r="J39" i="40"/>
  <c r="W39" i="40" s="1"/>
  <c r="W38" i="40"/>
  <c r="F29" i="40"/>
  <c r="S29" i="40" s="1"/>
  <c r="H29" i="40"/>
  <c r="J29" i="40"/>
  <c r="AC29" i="40" s="1"/>
  <c r="F98" i="40"/>
  <c r="G98" i="40" s="1"/>
  <c r="H98" i="40" s="1"/>
  <c r="I98" i="40" s="1"/>
  <c r="J98" i="40" s="1"/>
  <c r="K98" i="40" s="1"/>
  <c r="L98" i="40" s="1"/>
  <c r="M98" i="40" s="1"/>
  <c r="S30" i="40"/>
  <c r="S25" i="40"/>
  <c r="AA23" i="40"/>
  <c r="F88" i="40"/>
  <c r="G88" i="40" s="1"/>
  <c r="F19" i="40"/>
  <c r="S19" i="40" s="1"/>
  <c r="H19" i="40"/>
  <c r="J19" i="40"/>
  <c r="AC19" i="40" s="1"/>
  <c r="W17" i="40"/>
  <c r="AC17" i="40"/>
  <c r="F17" i="40"/>
  <c r="AA17" i="40"/>
  <c r="H17" i="40"/>
  <c r="U17" i="40" s="1"/>
  <c r="W21" i="40"/>
  <c r="AB40" i="40"/>
  <c r="U10" i="40"/>
  <c r="U27" i="40"/>
  <c r="AB27" i="40"/>
  <c r="AC44" i="39"/>
  <c r="W13" i="39"/>
  <c r="S11" i="39"/>
  <c r="S27" i="39"/>
  <c r="AA21" i="39"/>
  <c r="AC19" i="39"/>
  <c r="W29" i="39"/>
  <c r="S29" i="39"/>
  <c r="AC21" i="39"/>
  <c r="AC17" i="39"/>
  <c r="S14" i="39"/>
  <c r="AB15" i="39"/>
  <c r="U11" i="39"/>
  <c r="AB38" i="39"/>
  <c r="U31" i="39"/>
  <c r="AB31" i="39"/>
  <c r="S25" i="39"/>
  <c r="S38" i="39"/>
  <c r="S22" i="31"/>
  <c r="B20" i="31" s="1"/>
  <c r="D18" i="9"/>
  <c r="M44" i="9" s="1"/>
  <c r="M43" i="9"/>
  <c r="D96" i="9"/>
  <c r="A18" i="64"/>
  <c r="B74" i="63" s="1"/>
  <c r="C53" i="10"/>
  <c r="A25" i="64" s="1"/>
  <c r="A18" i="51"/>
  <c r="B14" i="63"/>
  <c r="BA16" i="3"/>
  <c r="BA17" i="3"/>
  <c r="AZ17" i="3" s="1"/>
  <c r="F3" i="35"/>
  <c r="K1" i="43"/>
  <c r="K1" i="12"/>
  <c r="G1" i="44"/>
  <c r="AZ15" i="3"/>
  <c r="BK5" i="3"/>
  <c r="BO5" i="3"/>
  <c r="BP5" i="3"/>
  <c r="BN5" i="3"/>
  <c r="BL18" i="3"/>
  <c r="BC5" i="3"/>
  <c r="BD5" i="3"/>
  <c r="BR5" i="3"/>
  <c r="BS5" i="3"/>
  <c r="BQ5" i="3"/>
  <c r="BL16" i="3"/>
  <c r="BM5" i="3"/>
  <c r="BA13" i="3"/>
  <c r="G28" i="12"/>
  <c r="G22" i="43"/>
  <c r="G26" i="12"/>
  <c r="D24" i="44"/>
  <c r="D26" i="44"/>
  <c r="G27" i="12"/>
  <c r="G23" i="43"/>
  <c r="G21" i="43"/>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s="1"/>
  <c r="A4" i="64"/>
  <c r="A4" i="51"/>
  <c r="B6" i="63" s="1"/>
  <c r="C51" i="10"/>
  <c r="I100" i="46"/>
  <c r="C24" i="46"/>
  <c r="N100" i="46"/>
  <c r="H100" i="46"/>
  <c r="F108" i="46"/>
  <c r="H80" i="46"/>
  <c r="B45" i="46"/>
  <c r="E100" i="46"/>
  <c r="G100" i="46"/>
  <c r="H84" i="46"/>
  <c r="C100" i="46"/>
  <c r="J100" i="46"/>
  <c r="M100" i="46"/>
  <c r="AA12" i="36"/>
  <c r="W11" i="35"/>
  <c r="AA11" i="35"/>
  <c r="S14" i="37"/>
  <c r="U13" i="37"/>
  <c r="S13" i="21"/>
  <c r="C24" i="9"/>
  <c r="C25" i="9"/>
  <c r="G8" i="1"/>
  <c r="L5" i="54"/>
  <c r="B39" i="63" s="1"/>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S13" i="1"/>
  <c r="B6" i="1"/>
  <c r="E6" i="1" s="1"/>
  <c r="B10" i="1"/>
  <c r="E10" i="1" s="1"/>
  <c r="B8" i="1"/>
  <c r="E8" i="1" s="1"/>
  <c r="B12" i="1"/>
  <c r="E12" i="1" s="1"/>
  <c r="K6" i="1"/>
  <c r="G1" i="15"/>
  <c r="F66" i="36"/>
  <c r="G66" i="36" s="1"/>
  <c r="H18" i="36"/>
  <c r="U18" i="36" s="1"/>
  <c r="U16" i="36"/>
  <c r="S25" i="36"/>
  <c r="AA34" i="36"/>
  <c r="AC27" i="36"/>
  <c r="W28" i="36"/>
  <c r="AA32" i="36"/>
  <c r="U13" i="36"/>
  <c r="AA22" i="36"/>
  <c r="U10" i="36"/>
  <c r="AA13" i="36"/>
  <c r="W29" i="36"/>
  <c r="S9" i="36"/>
  <c r="W8" i="36"/>
  <c r="AC30" i="35"/>
  <c r="U24" i="35"/>
  <c r="W32" i="35"/>
  <c r="AA33" i="35"/>
  <c r="U32" i="35"/>
  <c r="W22" i="35"/>
  <c r="S32" i="35"/>
  <c r="W35" i="37"/>
  <c r="AC33" i="37"/>
  <c r="U33" i="37"/>
  <c r="AC15" i="37"/>
  <c r="AA13" i="37"/>
  <c r="W38" i="37"/>
  <c r="W36" i="37"/>
  <c r="W13" i="37"/>
  <c r="U38" i="37"/>
  <c r="AB35" i="34"/>
  <c r="W47" i="34"/>
  <c r="AB29" i="34"/>
  <c r="AB47" i="34"/>
  <c r="AB13" i="34"/>
  <c r="S47" i="34"/>
  <c r="AA29" i="34"/>
  <c r="S8" i="34"/>
  <c r="AA19" i="33"/>
  <c r="S43" i="33"/>
  <c r="AB14" i="33"/>
  <c r="S39" i="21"/>
  <c r="AA25" i="21"/>
  <c r="AA29" i="21"/>
  <c r="W31" i="21"/>
  <c r="AC27" i="21"/>
  <c r="G96" i="40"/>
  <c r="J27" i="40"/>
  <c r="AC27" i="40" s="1"/>
  <c r="W37" i="40"/>
  <c r="S17" i="40"/>
  <c r="W30" i="40"/>
  <c r="S34" i="40"/>
  <c r="U38" i="40"/>
  <c r="S40" i="40"/>
  <c r="S42" i="40"/>
  <c r="G105" i="39"/>
  <c r="J31" i="39"/>
  <c r="W31" i="39" s="1"/>
  <c r="W41" i="39"/>
  <c r="AB43" i="39"/>
  <c r="AB33" i="39"/>
  <c r="AC46" i="39"/>
  <c r="S34" i="39"/>
  <c r="W42" i="39"/>
  <c r="W36"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C14" i="36"/>
  <c r="W14" i="36"/>
  <c r="AB14" i="36"/>
  <c r="AA26" i="35"/>
  <c r="S26" i="35"/>
  <c r="W26" i="35"/>
  <c r="AC26" i="35"/>
  <c r="W19" i="37"/>
  <c r="AC17" i="37"/>
  <c r="W17" i="37"/>
  <c r="S25" i="34"/>
  <c r="AB39" i="40"/>
  <c r="U39" i="40"/>
  <c r="AA39" i="40"/>
  <c r="S37" i="40"/>
  <c r="U29" i="40"/>
  <c r="AB29" i="40"/>
  <c r="W29" i="40"/>
  <c r="W19" i="40"/>
  <c r="AB19" i="40"/>
  <c r="U19" i="40"/>
  <c r="R22" i="31"/>
  <c r="B21" i="31" s="1"/>
  <c r="A17" i="51"/>
  <c r="B13" i="63" s="1"/>
  <c r="AT6" i="3"/>
  <c r="G29" i="6"/>
  <c r="A9" i="64"/>
  <c r="A9" i="51"/>
  <c r="B9" i="63" s="1"/>
  <c r="E4" i="4"/>
  <c r="B21" i="55" s="1"/>
  <c r="B72" i="63" s="1"/>
  <c r="C4" i="4"/>
  <c r="B20" i="55" s="1"/>
  <c r="B70" i="63" s="1"/>
  <c r="J18" i="36"/>
  <c r="W18" i="36" s="1"/>
  <c r="AG6" i="1"/>
  <c r="L20" i="6"/>
  <c r="C45" i="9"/>
  <c r="H14" i="66" s="1"/>
  <c r="B7" i="66" s="1"/>
  <c r="C44" i="9"/>
  <c r="G14" i="66" s="1"/>
  <c r="B6" i="66" s="1"/>
  <c r="O40" i="9"/>
  <c r="K31" i="9" s="1"/>
  <c r="K32" i="9" s="1"/>
  <c r="K29" i="9"/>
  <c r="K30" i="9" s="1"/>
  <c r="N76" i="9"/>
  <c r="C46" i="9"/>
  <c r="O41" i="9" s="1"/>
  <c r="R8" i="54" s="1"/>
  <c r="B54" i="63" s="1"/>
  <c r="K33" i="9"/>
  <c r="H58" i="46"/>
  <c r="J17" i="46"/>
  <c r="C17" i="46"/>
  <c r="F34" i="46"/>
  <c r="F38" i="46"/>
  <c r="F37" i="46"/>
  <c r="H113" i="46"/>
  <c r="H49" i="46"/>
  <c r="H53" i="46"/>
  <c r="U12" i="59"/>
  <c r="F15" i="59"/>
  <c r="F14" i="59" s="1"/>
  <c r="F13" i="59" s="1"/>
  <c r="F12" i="59" s="1"/>
  <c r="H1" i="65"/>
  <c r="H51" i="46"/>
  <c r="X7" i="46"/>
  <c r="E17" i="46"/>
  <c r="N17" i="46"/>
  <c r="O17" i="46"/>
  <c r="M17" i="46"/>
  <c r="L17" i="46"/>
  <c r="G13" i="1"/>
  <c r="H50" i="46"/>
  <c r="H48" i="46"/>
  <c r="F35" i="46"/>
  <c r="I17" i="46"/>
  <c r="H64" i="46"/>
  <c r="H66" i="46"/>
  <c r="D100" i="46"/>
  <c r="H62" i="46"/>
  <c r="AF12" i="46"/>
  <c r="K100" i="46"/>
  <c r="AB12" i="46"/>
  <c r="AJ12" i="46"/>
  <c r="H60" i="46"/>
  <c r="H65" i="46"/>
  <c r="E10" i="46"/>
  <c r="E9" i="46"/>
  <c r="E11" i="46"/>
  <c r="E8" i="46"/>
  <c r="H55" i="46"/>
  <c r="H54" i="46"/>
  <c r="H52" i="46"/>
  <c r="H47" i="46"/>
  <c r="AD12" i="46"/>
  <c r="AH12" i="46"/>
  <c r="B13" i="59"/>
  <c r="B12" i="59" s="1"/>
  <c r="F13" i="67"/>
  <c r="F7" i="15"/>
  <c r="F39" i="44"/>
  <c r="F11" i="44"/>
  <c r="F9" i="67"/>
  <c r="N3" i="65"/>
  <c r="F8" i="67"/>
  <c r="L48" i="44"/>
  <c r="B13" i="67"/>
  <c r="F10" i="44"/>
  <c r="E9" i="67"/>
  <c r="M24" i="44"/>
  <c r="N4" i="65"/>
  <c r="M11" i="44"/>
  <c r="M30" i="44"/>
  <c r="M22" i="15"/>
  <c r="M8" i="44"/>
  <c r="E8" i="67"/>
  <c r="I7" i="65"/>
  <c r="J17" i="44"/>
  <c r="F10" i="67"/>
  <c r="M29" i="44"/>
  <c r="N5" i="65"/>
  <c r="M28" i="44"/>
  <c r="M27" i="15"/>
  <c r="I3" i="65"/>
  <c r="N6" i="65"/>
  <c r="B14" i="67"/>
  <c r="F28" i="44"/>
  <c r="E10" i="67"/>
  <c r="E14" i="67"/>
  <c r="F8" i="44"/>
  <c r="M25" i="44"/>
  <c r="F43" i="15"/>
  <c r="F46" i="44"/>
  <c r="L48" i="15"/>
  <c r="B10" i="67"/>
  <c r="B9" i="67"/>
  <c r="M26" i="44"/>
  <c r="F43" i="44"/>
  <c r="J15" i="15"/>
  <c r="E13" i="67"/>
  <c r="F11" i="67"/>
  <c r="M9" i="15"/>
  <c r="B11" i="67"/>
  <c r="F45" i="44"/>
  <c r="E11" i="67"/>
  <c r="F14" i="67"/>
  <c r="J4" i="65"/>
  <c r="J3" i="65"/>
  <c r="N7" i="65"/>
  <c r="F40" i="44"/>
  <c r="F38" i="44"/>
  <c r="B8" i="67"/>
  <c r="M10" i="44"/>
  <c r="F15" i="44"/>
  <c r="L49" i="44"/>
  <c r="F26" i="15"/>
  <c r="F12" i="67"/>
  <c r="M8" i="15"/>
  <c r="B12" i="67"/>
  <c r="E12" i="67"/>
  <c r="I9" i="87" l="1"/>
  <c r="I9" i="89"/>
  <c r="D9" i="89"/>
  <c r="P7" i="89" s="1"/>
  <c r="D9" i="87"/>
  <c r="P7" i="87" s="1"/>
  <c r="G27" i="89"/>
  <c r="G28" i="89"/>
  <c r="G26" i="89"/>
  <c r="G27" i="87"/>
  <c r="G28" i="87"/>
  <c r="G26" i="87"/>
  <c r="AP12" i="1"/>
  <c r="G12" i="1"/>
  <c r="K12" i="1"/>
  <c r="AB44" i="34"/>
  <c r="U44" i="34"/>
  <c r="C7" i="46"/>
  <c r="F28" i="6"/>
  <c r="AZ16" i="3"/>
  <c r="W35" i="40"/>
  <c r="AZ355" i="3"/>
  <c r="AZ339" i="3"/>
  <c r="W23" i="37"/>
  <c r="AZ540" i="3"/>
  <c r="W41" i="40"/>
  <c r="F29" i="81"/>
  <c r="F29" i="80"/>
  <c r="F29" i="79"/>
  <c r="F28" i="78"/>
  <c r="C28" i="78" s="1"/>
  <c r="F32" i="78"/>
  <c r="F59" i="78" s="1"/>
  <c r="M18" i="78"/>
  <c r="AZ481" i="3"/>
  <c r="H9" i="34"/>
  <c r="AB9" i="34" s="1"/>
  <c r="J9" i="34"/>
  <c r="AC9" i="34" s="1"/>
  <c r="U39" i="39"/>
  <c r="AZ490" i="3"/>
  <c r="AZ549" i="3"/>
  <c r="AZ378" i="3"/>
  <c r="AZ356" i="3"/>
  <c r="AZ340" i="3"/>
  <c r="AZ322" i="3"/>
  <c r="AZ298" i="3"/>
  <c r="AZ377" i="3"/>
  <c r="AZ361" i="3"/>
  <c r="S22" i="35"/>
  <c r="BA559" i="3"/>
  <c r="BA558" i="3"/>
  <c r="AZ558" i="3" s="1"/>
  <c r="BA556" i="3"/>
  <c r="BA545" i="3"/>
  <c r="F34" i="78"/>
  <c r="F61" i="78" s="1"/>
  <c r="M20" i="78"/>
  <c r="D9" i="80"/>
  <c r="P7" i="80" s="1"/>
  <c r="D9" i="81"/>
  <c r="P7" i="81" s="1"/>
  <c r="D9" i="79"/>
  <c r="P7" i="79" s="1"/>
  <c r="BL385" i="3"/>
  <c r="BA218" i="3"/>
  <c r="BA236" i="3"/>
  <c r="AC27" i="35"/>
  <c r="BL572" i="3"/>
  <c r="BA572" i="3"/>
  <c r="BA571" i="3"/>
  <c r="BL570" i="3"/>
  <c r="F25" i="37"/>
  <c r="BL567" i="3"/>
  <c r="BA567" i="3"/>
  <c r="BA566" i="3"/>
  <c r="BA565" i="3"/>
  <c r="AZ565" i="3" s="1"/>
  <c r="G564" i="3"/>
  <c r="G555" i="3"/>
  <c r="G553" i="3"/>
  <c r="G551" i="3"/>
  <c r="G536" i="3"/>
  <c r="BA531" i="3"/>
  <c r="G528" i="3"/>
  <c r="G527" i="3"/>
  <c r="BA521" i="3"/>
  <c r="G519" i="3"/>
  <c r="G512" i="3"/>
  <c r="BL511" i="3"/>
  <c r="G498" i="3"/>
  <c r="G497" i="3"/>
  <c r="BA488" i="3"/>
  <c r="G486" i="3"/>
  <c r="G9" i="81"/>
  <c r="P10" i="81" s="1"/>
  <c r="G9" i="80"/>
  <c r="P10" i="80" s="1"/>
  <c r="G9" i="79"/>
  <c r="P10" i="79" s="1"/>
  <c r="E32" i="6"/>
  <c r="C9" i="81"/>
  <c r="C9" i="80"/>
  <c r="P6" i="80" s="1"/>
  <c r="C9" i="79"/>
  <c r="P6" i="79" s="1"/>
  <c r="F9" i="1"/>
  <c r="BA397" i="3"/>
  <c r="BL397" i="3"/>
  <c r="G411" i="3"/>
  <c r="G415" i="3"/>
  <c r="BA420" i="3"/>
  <c r="G423" i="3"/>
  <c r="G428" i="3"/>
  <c r="G432" i="3"/>
  <c r="G436" i="3"/>
  <c r="BL440" i="3"/>
  <c r="G449" i="3"/>
  <c r="BL452" i="3"/>
  <c r="G453" i="3"/>
  <c r="BL456" i="3"/>
  <c r="G457" i="3"/>
  <c r="G461" i="3"/>
  <c r="G465" i="3"/>
  <c r="BL471" i="3"/>
  <c r="BL302" i="3"/>
  <c r="AZ302" i="3" s="1"/>
  <c r="G307" i="3"/>
  <c r="BL314" i="3"/>
  <c r="AZ314" i="3" s="1"/>
  <c r="G320" i="3"/>
  <c r="G336" i="3"/>
  <c r="G352" i="3"/>
  <c r="C15" i="59"/>
  <c r="D16" i="59"/>
  <c r="BA568" i="3"/>
  <c r="BA550" i="3"/>
  <c r="BL548" i="3"/>
  <c r="AZ548" i="3" s="1"/>
  <c r="BA542" i="3"/>
  <c r="BL533" i="3"/>
  <c r="AZ533" i="3" s="1"/>
  <c r="BA509" i="3"/>
  <c r="BL493" i="3"/>
  <c r="BA492" i="3"/>
  <c r="AZ492" i="3" s="1"/>
  <c r="BL486" i="3"/>
  <c r="BA486" i="3"/>
  <c r="AZ486" i="3" s="1"/>
  <c r="BL485" i="3"/>
  <c r="AZ485" i="3" s="1"/>
  <c r="BA484" i="3"/>
  <c r="BL483" i="3"/>
  <c r="AZ483" i="3" s="1"/>
  <c r="BA18" i="3"/>
  <c r="AZ18" i="3" s="1"/>
  <c r="F9" i="80"/>
  <c r="P9" i="80" s="1"/>
  <c r="F9" i="81"/>
  <c r="P9" i="81" s="1"/>
  <c r="F9" i="79"/>
  <c r="P9" i="79" s="1"/>
  <c r="F7" i="1"/>
  <c r="G7" i="1" s="1"/>
  <c r="F11" i="1"/>
  <c r="G397" i="3"/>
  <c r="BL400" i="3"/>
  <c r="BL404" i="3"/>
  <c r="BA406" i="3"/>
  <c r="AZ406" i="3" s="1"/>
  <c r="BL409" i="3"/>
  <c r="BA411" i="3"/>
  <c r="AZ411" i="3" s="1"/>
  <c r="G418" i="3"/>
  <c r="G426" i="3"/>
  <c r="BL430" i="3"/>
  <c r="BL435" i="3"/>
  <c r="BA436" i="3"/>
  <c r="G439" i="3"/>
  <c r="G443" i="3"/>
  <c r="G448" i="3"/>
  <c r="G452" i="3"/>
  <c r="BL455" i="3"/>
  <c r="BA458" i="3"/>
  <c r="G468" i="3"/>
  <c r="G473" i="3"/>
  <c r="G315" i="3"/>
  <c r="G331" i="3"/>
  <c r="G347" i="3"/>
  <c r="H27" i="37"/>
  <c r="U27" i="37" s="1"/>
  <c r="G568" i="3"/>
  <c r="G566" i="3"/>
  <c r="BL553" i="3"/>
  <c r="BA553" i="3"/>
  <c r="BA552" i="3"/>
  <c r="BL551" i="3"/>
  <c r="G548" i="3"/>
  <c r="G547" i="3"/>
  <c r="BA544" i="3"/>
  <c r="G532" i="3"/>
  <c r="G531" i="3"/>
  <c r="BA530" i="3"/>
  <c r="AZ530" i="3" s="1"/>
  <c r="BL529" i="3"/>
  <c r="BA529" i="3"/>
  <c r="BA527" i="3"/>
  <c r="AZ527" i="3" s="1"/>
  <c r="BA524" i="3"/>
  <c r="G524" i="3"/>
  <c r="BL521" i="3"/>
  <c r="BA519" i="3"/>
  <c r="AZ519" i="3" s="1"/>
  <c r="BA518" i="3"/>
  <c r="AZ518" i="3" s="1"/>
  <c r="G517" i="3"/>
  <c r="G516" i="3"/>
  <c r="G515" i="3"/>
  <c r="BA513" i="3"/>
  <c r="BL512" i="3"/>
  <c r="BB5" i="3"/>
  <c r="BA511" i="3"/>
  <c r="AZ511" i="3" s="1"/>
  <c r="BA510" i="3"/>
  <c r="G510" i="3"/>
  <c r="BA506" i="3"/>
  <c r="AZ506" i="3" s="1"/>
  <c r="BL505" i="3"/>
  <c r="BL504" i="3"/>
  <c r="BL501" i="3"/>
  <c r="BA499" i="3"/>
  <c r="AZ499" i="3" s="1"/>
  <c r="BA495" i="3"/>
  <c r="K8" i="1"/>
  <c r="E9" i="79"/>
  <c r="P8" i="79" s="1"/>
  <c r="E9" i="81"/>
  <c r="P8" i="81" s="1"/>
  <c r="E9" i="80"/>
  <c r="P8" i="80" s="1"/>
  <c r="BA390" i="3"/>
  <c r="BL393" i="3"/>
  <c r="G400" i="3"/>
  <c r="BL402" i="3"/>
  <c r="AZ402" i="3" s="1"/>
  <c r="G404" i="3"/>
  <c r="G409" i="3"/>
  <c r="BL412" i="3"/>
  <c r="BL416" i="3"/>
  <c r="G417" i="3"/>
  <c r="G421" i="3"/>
  <c r="BA426" i="3"/>
  <c r="BL433" i="3"/>
  <c r="BA435" i="3"/>
  <c r="G438" i="3"/>
  <c r="G442" i="3"/>
  <c r="G446" i="3"/>
  <c r="G455" i="3"/>
  <c r="G459" i="3"/>
  <c r="BL466" i="3"/>
  <c r="G467" i="3"/>
  <c r="G477" i="3"/>
  <c r="BL479" i="3"/>
  <c r="G301" i="3"/>
  <c r="G305" i="3"/>
  <c r="G309" i="3"/>
  <c r="BA357" i="3"/>
  <c r="AZ357" i="3" s="1"/>
  <c r="BA247" i="3"/>
  <c r="O59" i="59"/>
  <c r="D59" i="59"/>
  <c r="C58" i="59"/>
  <c r="BA135" i="3"/>
  <c r="AZ135" i="3" s="1"/>
  <c r="BA199" i="3"/>
  <c r="BL85" i="3"/>
  <c r="G262" i="3"/>
  <c r="G270" i="3"/>
  <c r="G277" i="3"/>
  <c r="BL279" i="3"/>
  <c r="BL285" i="3"/>
  <c r="BA287" i="3"/>
  <c r="G121" i="3"/>
  <c r="BA121" i="3"/>
  <c r="G129" i="3"/>
  <c r="BL132" i="3"/>
  <c r="BL145" i="3"/>
  <c r="BA175" i="3"/>
  <c r="BA189" i="3"/>
  <c r="AZ189" i="3" s="1"/>
  <c r="BL191" i="3"/>
  <c r="G204" i="3"/>
  <c r="BA204" i="3"/>
  <c r="AZ204" i="3" s="1"/>
  <c r="BL25" i="3"/>
  <c r="G38" i="3"/>
  <c r="BL44" i="3"/>
  <c r="G46" i="3"/>
  <c r="BL53" i="3"/>
  <c r="G60" i="3"/>
  <c r="BA93" i="3"/>
  <c r="BA94" i="3"/>
  <c r="C27" i="40"/>
  <c r="D67" i="59"/>
  <c r="D64" i="59"/>
  <c r="X3" i="59"/>
  <c r="BL380" i="3"/>
  <c r="AZ380" i="3" s="1"/>
  <c r="BL211" i="3"/>
  <c r="BA213" i="3"/>
  <c r="BL240" i="3"/>
  <c r="BA253" i="3"/>
  <c r="BL259" i="3"/>
  <c r="BL272" i="3"/>
  <c r="BL278" i="3"/>
  <c r="BL282" i="3"/>
  <c r="BL284" i="3"/>
  <c r="BL113" i="3"/>
  <c r="BL114" i="3"/>
  <c r="AZ114" i="3" s="1"/>
  <c r="G115" i="3"/>
  <c r="BL117" i="3"/>
  <c r="BL118" i="3"/>
  <c r="AZ118" i="3" s="1"/>
  <c r="BA124" i="3"/>
  <c r="BA128" i="3"/>
  <c r="BA140" i="3"/>
  <c r="BL156" i="3"/>
  <c r="BA168" i="3"/>
  <c r="G188" i="3"/>
  <c r="BL190" i="3"/>
  <c r="BL43" i="3"/>
  <c r="BL52" i="3"/>
  <c r="BL70" i="3"/>
  <c r="BL71" i="3"/>
  <c r="G77" i="3"/>
  <c r="BL99" i="3"/>
  <c r="C63" i="59"/>
  <c r="T60" i="59"/>
  <c r="C39" i="59"/>
  <c r="D39" i="59" s="1"/>
  <c r="B55" i="59"/>
  <c r="B56" i="59" s="1"/>
  <c r="S56" i="59" s="1"/>
  <c r="AI10" i="46"/>
  <c r="BL366" i="3"/>
  <c r="AZ366" i="3" s="1"/>
  <c r="BA368" i="3"/>
  <c r="G375" i="3"/>
  <c r="G208" i="3"/>
  <c r="BA208" i="3"/>
  <c r="BL209" i="3"/>
  <c r="G218" i="3"/>
  <c r="G222" i="3"/>
  <c r="G227" i="3"/>
  <c r="G232" i="3"/>
  <c r="BL233" i="3"/>
  <c r="G242" i="3"/>
  <c r="G263" i="3"/>
  <c r="G267" i="3"/>
  <c r="G278" i="3"/>
  <c r="G294" i="3"/>
  <c r="G113" i="3"/>
  <c r="G126" i="3"/>
  <c r="G131" i="3"/>
  <c r="BA132" i="3"/>
  <c r="AZ132" i="3" s="1"/>
  <c r="G135" i="3"/>
  <c r="BA139" i="3"/>
  <c r="AZ139" i="3" s="1"/>
  <c r="G154" i="3"/>
  <c r="BA154" i="3"/>
  <c r="AZ154" i="3" s="1"/>
  <c r="BA155" i="3"/>
  <c r="BA163" i="3"/>
  <c r="BL164" i="3"/>
  <c r="BL165" i="3"/>
  <c r="AZ165" i="3" s="1"/>
  <c r="G166" i="3"/>
  <c r="BL169" i="3"/>
  <c r="AZ169" i="3" s="1"/>
  <c r="BA174" i="3"/>
  <c r="AZ174" i="3" s="1"/>
  <c r="G178" i="3"/>
  <c r="G181" i="3"/>
  <c r="BL38" i="3"/>
  <c r="G43" i="3"/>
  <c r="G52" i="3"/>
  <c r="BA52" i="3"/>
  <c r="G62" i="3"/>
  <c r="BA62" i="3"/>
  <c r="BA63" i="3"/>
  <c r="G66" i="3"/>
  <c r="G70" i="3"/>
  <c r="G79" i="3"/>
  <c r="G88" i="3"/>
  <c r="BL98" i="3"/>
  <c r="G103" i="3"/>
  <c r="BL108" i="3"/>
  <c r="G111" i="3"/>
  <c r="K1" i="81"/>
  <c r="K1" i="80"/>
  <c r="K1" i="79"/>
  <c r="G1" i="78"/>
  <c r="E67" i="59"/>
  <c r="E66" i="59" s="1"/>
  <c r="S60" i="59"/>
  <c r="X28" i="59"/>
  <c r="B47" i="59"/>
  <c r="B48" i="59" s="1"/>
  <c r="S48" i="59" s="1"/>
  <c r="C51" i="59"/>
  <c r="F71" i="59"/>
  <c r="F70" i="59" s="1"/>
  <c r="H9" i="81"/>
  <c r="H9" i="79"/>
  <c r="H9" i="80"/>
  <c r="C2" i="65"/>
  <c r="G27" i="81"/>
  <c r="G28" i="80"/>
  <c r="G26" i="80"/>
  <c r="G27" i="79"/>
  <c r="G28" i="81"/>
  <c r="G26" i="81"/>
  <c r="G27" i="80"/>
  <c r="G28" i="79"/>
  <c r="G26" i="79"/>
  <c r="M11" i="1"/>
  <c r="O11" i="1" s="1"/>
  <c r="P11" i="1" s="1"/>
  <c r="C10" i="12"/>
  <c r="P6" i="12"/>
  <c r="B11" i="59"/>
  <c r="B10" i="59" s="1"/>
  <c r="B9" i="59" s="1"/>
  <c r="S12" i="59"/>
  <c r="AB29" i="33"/>
  <c r="U29" i="33"/>
  <c r="AC25" i="34"/>
  <c r="U26" i="35"/>
  <c r="W25" i="40"/>
  <c r="W11" i="33"/>
  <c r="AC11" i="33"/>
  <c r="AA33" i="37"/>
  <c r="S33" i="37"/>
  <c r="AB23" i="35"/>
  <c r="AB35" i="40"/>
  <c r="AB11" i="36"/>
  <c r="F12" i="37"/>
  <c r="J12" i="37"/>
  <c r="H12" i="37"/>
  <c r="J28" i="37"/>
  <c r="H28" i="37"/>
  <c r="F28" i="37"/>
  <c r="AZ521" i="3"/>
  <c r="N69" i="9"/>
  <c r="M84" i="9" s="1"/>
  <c r="N84" i="9" s="1"/>
  <c r="AA19" i="40"/>
  <c r="U30" i="40"/>
  <c r="AB41" i="39"/>
  <c r="U41" i="39"/>
  <c r="U16" i="35"/>
  <c r="AB16" i="35"/>
  <c r="AB34" i="35"/>
  <c r="U34" i="35"/>
  <c r="W25" i="39"/>
  <c r="S45" i="39"/>
  <c r="E69" i="46"/>
  <c r="B67" i="46" s="1"/>
  <c r="U42" i="40"/>
  <c r="AZ553" i="3"/>
  <c r="R7" i="54"/>
  <c r="B52" i="63" s="1"/>
  <c r="AB18" i="36"/>
  <c r="F29" i="6"/>
  <c r="AC13" i="40"/>
  <c r="AA11" i="36"/>
  <c r="W8" i="33"/>
  <c r="AC8" i="33"/>
  <c r="H30" i="33"/>
  <c r="F30" i="33"/>
  <c r="J30" i="33"/>
  <c r="J32" i="34"/>
  <c r="W32" i="34" s="1"/>
  <c r="H32" i="34"/>
  <c r="F32" i="34"/>
  <c r="AA32" i="34" s="1"/>
  <c r="AA24" i="36"/>
  <c r="S24" i="36"/>
  <c r="AC8" i="37"/>
  <c r="W8" i="37"/>
  <c r="AZ560" i="3"/>
  <c r="AZ559" i="3"/>
  <c r="AZ555" i="3"/>
  <c r="W33" i="39"/>
  <c r="S16" i="39"/>
  <c r="U16" i="40"/>
  <c r="C29" i="39"/>
  <c r="B73" i="46"/>
  <c r="AZ566" i="3"/>
  <c r="K34" i="9"/>
  <c r="AC40" i="40"/>
  <c r="W40" i="40"/>
  <c r="AA33" i="36"/>
  <c r="S33" i="36"/>
  <c r="AZ568" i="3"/>
  <c r="AZ547" i="3"/>
  <c r="AB34" i="39"/>
  <c r="U34" i="39"/>
  <c r="AB33" i="36"/>
  <c r="U33" i="36"/>
  <c r="I14" i="66"/>
  <c r="B8" i="66" s="1"/>
  <c r="AC38" i="39"/>
  <c r="AB17" i="40"/>
  <c r="AC25" i="36"/>
  <c r="AB23" i="40"/>
  <c r="U45" i="39"/>
  <c r="AB45" i="39"/>
  <c r="H46" i="21"/>
  <c r="J46" i="21"/>
  <c r="F46" i="21"/>
  <c r="AA46" i="21" s="1"/>
  <c r="E101" i="33"/>
  <c r="F101" i="33" s="1"/>
  <c r="G101" i="33" s="1"/>
  <c r="H101" i="33" s="1"/>
  <c r="I101" i="33" s="1"/>
  <c r="J101" i="33" s="1"/>
  <c r="K101" i="33" s="1"/>
  <c r="L101" i="33" s="1"/>
  <c r="M101" i="33" s="1"/>
  <c r="H32" i="33"/>
  <c r="AB32" i="33" s="1"/>
  <c r="U19" i="37"/>
  <c r="S19" i="37"/>
  <c r="AC32" i="40"/>
  <c r="W32" i="40"/>
  <c r="AA43" i="39"/>
  <c r="S43" i="39"/>
  <c r="W16" i="36"/>
  <c r="AC16" i="36"/>
  <c r="U29" i="39"/>
  <c r="AB29" i="39"/>
  <c r="AC40" i="37"/>
  <c r="W40" i="37"/>
  <c r="AZ532" i="3"/>
  <c r="AZ509" i="3"/>
  <c r="BE5" i="3"/>
  <c r="S41" i="33"/>
  <c r="AA41" i="33"/>
  <c r="U8" i="21"/>
  <c r="AB8" i="21"/>
  <c r="AZ571" i="3"/>
  <c r="AZ544" i="3"/>
  <c r="AZ513" i="3"/>
  <c r="U20" i="35"/>
  <c r="AB20" i="35"/>
  <c r="AA35" i="40"/>
  <c r="S35" i="40"/>
  <c r="AZ300" i="3"/>
  <c r="AZ358" i="3"/>
  <c r="AZ303" i="3"/>
  <c r="BL520" i="3"/>
  <c r="BL550" i="3"/>
  <c r="AZ550" i="3" s="1"/>
  <c r="BL542" i="3"/>
  <c r="AZ542" i="3" s="1"/>
  <c r="W35" i="35"/>
  <c r="F31" i="34"/>
  <c r="H45" i="21"/>
  <c r="J42" i="21"/>
  <c r="AC42" i="21" s="1"/>
  <c r="U34" i="37"/>
  <c r="F26" i="33"/>
  <c r="BL563" i="3"/>
  <c r="AZ563" i="3" s="1"/>
  <c r="BA554" i="3"/>
  <c r="AZ554" i="3" s="1"/>
  <c r="BL515" i="3"/>
  <c r="AZ515" i="3" s="1"/>
  <c r="BA514" i="3"/>
  <c r="AZ514" i="3" s="1"/>
  <c r="BL510" i="3"/>
  <c r="AZ510" i="3" s="1"/>
  <c r="BA508" i="3"/>
  <c r="BA505" i="3"/>
  <c r="AZ505" i="3" s="1"/>
  <c r="U32" i="37"/>
  <c r="AB14" i="35"/>
  <c r="AB37" i="39"/>
  <c r="BA494" i="3"/>
  <c r="AZ494" i="3" s="1"/>
  <c r="AZ363" i="3"/>
  <c r="BL552" i="3"/>
  <c r="AZ552" i="3" s="1"/>
  <c r="J31" i="34"/>
  <c r="J45" i="21"/>
  <c r="AA39" i="37"/>
  <c r="AC31" i="36"/>
  <c r="J36" i="21"/>
  <c r="W36" i="21" s="1"/>
  <c r="E110" i="21"/>
  <c r="F110" i="21" s="1"/>
  <c r="G110" i="21" s="1"/>
  <c r="H110" i="21" s="1"/>
  <c r="I110" i="21" s="1"/>
  <c r="J110" i="21" s="1"/>
  <c r="K110" i="21" s="1"/>
  <c r="L110" i="21" s="1"/>
  <c r="M110" i="21" s="1"/>
  <c r="F12" i="33"/>
  <c r="AB26" i="36"/>
  <c r="AZ420" i="3"/>
  <c r="AA15" i="34"/>
  <c r="AA8" i="33"/>
  <c r="W25" i="35"/>
  <c r="AZ345" i="3"/>
  <c r="AB31" i="37"/>
  <c r="AZ524" i="3"/>
  <c r="F27" i="37"/>
  <c r="AA27" i="37" s="1"/>
  <c r="F44" i="21"/>
  <c r="AA44" i="21" s="1"/>
  <c r="W22" i="36"/>
  <c r="H12" i="33"/>
  <c r="E81" i="33"/>
  <c r="F81" i="33" s="1"/>
  <c r="G81" i="33" s="1"/>
  <c r="J19" i="33"/>
  <c r="W19" i="33" s="1"/>
  <c r="BA20" i="3"/>
  <c r="G506" i="3"/>
  <c r="BL556" i="3"/>
  <c r="AZ556" i="3" s="1"/>
  <c r="AZ541" i="3"/>
  <c r="J14" i="33"/>
  <c r="H44" i="21"/>
  <c r="U44" i="21" s="1"/>
  <c r="AC14" i="39"/>
  <c r="AZ522" i="3"/>
  <c r="AZ531" i="3"/>
  <c r="AZ323" i="3"/>
  <c r="AZ185" i="3"/>
  <c r="F14" i="33"/>
  <c r="F23" i="36"/>
  <c r="J23" i="36"/>
  <c r="BL535" i="3"/>
  <c r="AZ535" i="3" s="1"/>
  <c r="BL528" i="3"/>
  <c r="AZ528" i="3" s="1"/>
  <c r="F30" i="21"/>
  <c r="H12" i="21"/>
  <c r="J12" i="36"/>
  <c r="H12" i="36"/>
  <c r="J24" i="36"/>
  <c r="AC24" i="36" s="1"/>
  <c r="AC28" i="34"/>
  <c r="AZ482" i="3"/>
  <c r="BL571" i="3"/>
  <c r="AZ352" i="3"/>
  <c r="AZ307" i="3"/>
  <c r="BL534" i="3"/>
  <c r="AZ534" i="3" s="1"/>
  <c r="BL564" i="3"/>
  <c r="AZ564" i="3" s="1"/>
  <c r="H39" i="37"/>
  <c r="BA570" i="3"/>
  <c r="AZ570" i="3" s="1"/>
  <c r="H24" i="36"/>
  <c r="BL561" i="3"/>
  <c r="AZ561" i="3" s="1"/>
  <c r="BL525" i="3"/>
  <c r="AZ525" i="3" s="1"/>
  <c r="G525" i="3"/>
  <c r="G504" i="3"/>
  <c r="BA502" i="3"/>
  <c r="G496" i="3"/>
  <c r="AZ312" i="3"/>
  <c r="AZ305" i="3"/>
  <c r="J44" i="33"/>
  <c r="F44" i="33"/>
  <c r="S44" i="33" s="1"/>
  <c r="AC42" i="34"/>
  <c r="W42" i="34"/>
  <c r="AZ349" i="3"/>
  <c r="AZ359" i="3"/>
  <c r="AZ130" i="3"/>
  <c r="AB27" i="37"/>
  <c r="AZ493" i="3"/>
  <c r="BA551" i="3"/>
  <c r="AZ551" i="3" s="1"/>
  <c r="BL495" i="3"/>
  <c r="AZ495" i="3" s="1"/>
  <c r="BL491" i="3"/>
  <c r="AZ491" i="3" s="1"/>
  <c r="BA546" i="3"/>
  <c r="AZ546" i="3" s="1"/>
  <c r="G533" i="3"/>
  <c r="G521" i="3"/>
  <c r="BA520" i="3"/>
  <c r="G513" i="3"/>
  <c r="G489" i="3"/>
  <c r="BL391" i="3"/>
  <c r="BA393" i="3"/>
  <c r="AZ393" i="3" s="1"/>
  <c r="BA403" i="3"/>
  <c r="BA405" i="3"/>
  <c r="BL413" i="3"/>
  <c r="G419" i="3"/>
  <c r="G422" i="3"/>
  <c r="BL425" i="3"/>
  <c r="BL426" i="3"/>
  <c r="AZ426" i="3" s="1"/>
  <c r="BA429" i="3"/>
  <c r="BL445" i="3"/>
  <c r="BL446" i="3"/>
  <c r="AZ446" i="3" s="1"/>
  <c r="BL453" i="3"/>
  <c r="BA473" i="3"/>
  <c r="BA474" i="3"/>
  <c r="BA476" i="3"/>
  <c r="BL326" i="3"/>
  <c r="AZ326" i="3" s="1"/>
  <c r="BA261" i="3"/>
  <c r="BA266" i="3"/>
  <c r="AZ190" i="3"/>
  <c r="BL390" i="3"/>
  <c r="AZ390" i="3" s="1"/>
  <c r="BA392" i="3"/>
  <c r="BA394" i="3"/>
  <c r="BA400" i="3"/>
  <c r="BA409" i="3"/>
  <c r="AZ409" i="3" s="1"/>
  <c r="BA428" i="3"/>
  <c r="BA433" i="3"/>
  <c r="AZ433" i="3" s="1"/>
  <c r="BL436" i="3"/>
  <c r="AZ436" i="3" s="1"/>
  <c r="BL450" i="3"/>
  <c r="BA453" i="3"/>
  <c r="G464" i="3"/>
  <c r="BL468" i="3"/>
  <c r="BL469" i="3"/>
  <c r="BA470" i="3"/>
  <c r="BA471" i="3"/>
  <c r="AZ471" i="3" s="1"/>
  <c r="G480" i="3"/>
  <c r="BA301" i="3"/>
  <c r="AZ301" i="3" s="1"/>
  <c r="BL312" i="3"/>
  <c r="BA317" i="3"/>
  <c r="AZ317" i="3" s="1"/>
  <c r="BL225" i="3"/>
  <c r="AZ120" i="3"/>
  <c r="BA147" i="3"/>
  <c r="AZ147" i="3" s="1"/>
  <c r="BL389" i="3"/>
  <c r="BL395" i="3"/>
  <c r="BA425" i="3"/>
  <c r="BA430" i="3"/>
  <c r="AZ430" i="3" s="1"/>
  <c r="G440" i="3"/>
  <c r="BA445" i="3"/>
  <c r="BA450" i="3"/>
  <c r="BA459" i="3"/>
  <c r="BA469" i="3"/>
  <c r="BL310" i="3"/>
  <c r="AZ310" i="3" s="1"/>
  <c r="BA313" i="3"/>
  <c r="AZ313" i="3" s="1"/>
  <c r="BL206" i="3"/>
  <c r="BA210" i="3"/>
  <c r="BA273" i="3"/>
  <c r="BA278" i="3"/>
  <c r="AZ278" i="3" s="1"/>
  <c r="BA569" i="3"/>
  <c r="AZ569" i="3" s="1"/>
  <c r="G503" i="3"/>
  <c r="G414" i="3"/>
  <c r="BL422" i="3"/>
  <c r="BL427" i="3"/>
  <c r="G437" i="3"/>
  <c r="BL442" i="3"/>
  <c r="BL447" i="3"/>
  <c r="G462" i="3"/>
  <c r="G463" i="3"/>
  <c r="G478" i="3"/>
  <c r="BL316" i="3"/>
  <c r="AZ316" i="3" s="1"/>
  <c r="BL224" i="3"/>
  <c r="BA225" i="3"/>
  <c r="BL241" i="3"/>
  <c r="BA243" i="3"/>
  <c r="BA290" i="3"/>
  <c r="BA404" i="3"/>
  <c r="G406" i="3"/>
  <c r="G413" i="3"/>
  <c r="BL420" i="3"/>
  <c r="BL421" i="3"/>
  <c r="BL424" i="3"/>
  <c r="BL429" i="3"/>
  <c r="BL441" i="3"/>
  <c r="BL444" i="3"/>
  <c r="BA449" i="3"/>
  <c r="BA456" i="3"/>
  <c r="AZ456" i="3" s="1"/>
  <c r="BL464" i="3"/>
  <c r="BL467" i="3"/>
  <c r="BL480" i="3"/>
  <c r="BL308" i="3"/>
  <c r="AZ308" i="3" s="1"/>
  <c r="BL350" i="3"/>
  <c r="BL360" i="3"/>
  <c r="AZ360" i="3" s="1"/>
  <c r="BL205" i="3"/>
  <c r="G251" i="3"/>
  <c r="BA389" i="3"/>
  <c r="BA391" i="3"/>
  <c r="G396" i="3"/>
  <c r="G399" i="3"/>
  <c r="G405" i="3"/>
  <c r="G408" i="3"/>
  <c r="BL415" i="3"/>
  <c r="BL417" i="3"/>
  <c r="BA419" i="3"/>
  <c r="BL419" i="3"/>
  <c r="BA424" i="3"/>
  <c r="AZ424" i="3" s="1"/>
  <c r="G435" i="3"/>
  <c r="BL439" i="3"/>
  <c r="BA444" i="3"/>
  <c r="AZ444" i="3" s="1"/>
  <c r="BA454" i="3"/>
  <c r="G458" i="3"/>
  <c r="BA309" i="3"/>
  <c r="AZ309" i="3" s="1"/>
  <c r="BA254" i="3"/>
  <c r="BL255" i="3"/>
  <c r="BA294" i="3"/>
  <c r="G296" i="3"/>
  <c r="BA416" i="3"/>
  <c r="AZ416" i="3" s="1"/>
  <c r="BA417" i="3"/>
  <c r="BA418" i="3"/>
  <c r="BA448" i="3"/>
  <c r="G451" i="3"/>
  <c r="BA464" i="3"/>
  <c r="AZ464" i="3" s="1"/>
  <c r="BA468" i="3"/>
  <c r="BL478" i="3"/>
  <c r="BL306" i="3"/>
  <c r="AZ306" i="3" s="1"/>
  <c r="BL334" i="3"/>
  <c r="BA349" i="3"/>
  <c r="BA385" i="3"/>
  <c r="AZ385" i="3" s="1"/>
  <c r="BL235" i="3"/>
  <c r="BA115" i="3"/>
  <c r="AZ115" i="3" s="1"/>
  <c r="C27" i="59"/>
  <c r="D26" i="59"/>
  <c r="G393" i="3"/>
  <c r="G394" i="3"/>
  <c r="BA415" i="3"/>
  <c r="BA421" i="3"/>
  <c r="G429" i="3"/>
  <c r="BA438" i="3"/>
  <c r="BA439" i="3"/>
  <c r="BA440" i="3"/>
  <c r="AZ440" i="3" s="1"/>
  <c r="BA441" i="3"/>
  <c r="BA443" i="3"/>
  <c r="G450" i="3"/>
  <c r="BA321" i="3"/>
  <c r="AZ321" i="3" s="1"/>
  <c r="BA334" i="3"/>
  <c r="G341" i="3"/>
  <c r="G365" i="3"/>
  <c r="BL369" i="3"/>
  <c r="BA384" i="3"/>
  <c r="BA387" i="3"/>
  <c r="BA227" i="3"/>
  <c r="G259" i="3"/>
  <c r="BL264" i="3"/>
  <c r="BL216" i="3"/>
  <c r="BA223" i="3"/>
  <c r="G245" i="3"/>
  <c r="BA265" i="3"/>
  <c r="C47" i="59"/>
  <c r="D46" i="59"/>
  <c r="G535" i="3"/>
  <c r="BA504" i="3"/>
  <c r="AZ504" i="3" s="1"/>
  <c r="BL503" i="3"/>
  <c r="BA503" i="3"/>
  <c r="BL502" i="3"/>
  <c r="AZ502" i="3" s="1"/>
  <c r="G502" i="3"/>
  <c r="BA501" i="3"/>
  <c r="AZ501" i="3" s="1"/>
  <c r="BL500" i="3"/>
  <c r="AZ500" i="3" s="1"/>
  <c r="G499" i="3"/>
  <c r="BA497" i="3"/>
  <c r="AZ497" i="3" s="1"/>
  <c r="BA496" i="3"/>
  <c r="AZ496" i="3" s="1"/>
  <c r="BL489" i="3"/>
  <c r="AZ489" i="3" s="1"/>
  <c r="G392" i="3"/>
  <c r="BL399" i="3"/>
  <c r="BA401" i="3"/>
  <c r="BL401" i="3"/>
  <c r="BL408" i="3"/>
  <c r="BA410" i="3"/>
  <c r="BL410" i="3"/>
  <c r="BA413" i="3"/>
  <c r="BL414" i="3"/>
  <c r="BL418" i="3"/>
  <c r="AZ435" i="3"/>
  <c r="BL437" i="3"/>
  <c r="BL451" i="3"/>
  <c r="BL459" i="3"/>
  <c r="G469" i="3"/>
  <c r="BL474" i="3"/>
  <c r="BL475" i="3"/>
  <c r="AZ475" i="3" s="1"/>
  <c r="BA477" i="3"/>
  <c r="BA479" i="3"/>
  <c r="AZ479" i="3" s="1"/>
  <c r="BA311" i="3"/>
  <c r="AZ311" i="3" s="1"/>
  <c r="G313" i="3"/>
  <c r="BA333" i="3"/>
  <c r="AZ333" i="3" s="1"/>
  <c r="G226" i="3"/>
  <c r="BA234" i="3"/>
  <c r="BA282" i="3"/>
  <c r="AZ282" i="3" s="1"/>
  <c r="BA284" i="3"/>
  <c r="AZ284" i="3" s="1"/>
  <c r="BA286" i="3"/>
  <c r="AZ175" i="3"/>
  <c r="F19" i="59"/>
  <c r="F18" i="59" s="1"/>
  <c r="V20" i="59"/>
  <c r="BL14" i="3"/>
  <c r="AZ14" i="3" s="1"/>
  <c r="BL394" i="3"/>
  <c r="BA396" i="3"/>
  <c r="BL396" i="3"/>
  <c r="BA399" i="3"/>
  <c r="BL403" i="3"/>
  <c r="BA407" i="3"/>
  <c r="AZ407" i="3" s="1"/>
  <c r="BA408" i="3"/>
  <c r="BA414" i="3"/>
  <c r="BA422" i="3"/>
  <c r="G425" i="3"/>
  <c r="BL318" i="3"/>
  <c r="G541" i="3"/>
  <c r="BA516" i="3"/>
  <c r="AZ516" i="3" s="1"/>
  <c r="G505" i="3"/>
  <c r="BL392" i="3"/>
  <c r="BA395" i="3"/>
  <c r="BA398" i="3"/>
  <c r="AZ398" i="3" s="1"/>
  <c r="BL405" i="3"/>
  <c r="BA412" i="3"/>
  <c r="AZ412" i="3" s="1"/>
  <c r="BL434" i="3"/>
  <c r="BL448" i="3"/>
  <c r="BL449" i="3"/>
  <c r="BA451" i="3"/>
  <c r="BA455" i="3"/>
  <c r="AZ455" i="3" s="1"/>
  <c r="BA460" i="3"/>
  <c r="BL470" i="3"/>
  <c r="BL473" i="3"/>
  <c r="BA478" i="3"/>
  <c r="BA480" i="3"/>
  <c r="AZ480" i="3" s="1"/>
  <c r="G349" i="3"/>
  <c r="G224" i="3"/>
  <c r="BL229" i="3"/>
  <c r="BL231" i="3"/>
  <c r="BL245" i="3"/>
  <c r="BL260" i="3"/>
  <c r="BA263" i="3"/>
  <c r="BA123" i="3"/>
  <c r="AZ123" i="3" s="1"/>
  <c r="BA431" i="3"/>
  <c r="AZ431" i="3" s="1"/>
  <c r="BL431" i="3"/>
  <c r="BL432" i="3"/>
  <c r="BA434" i="3"/>
  <c r="BA442" i="3"/>
  <c r="G444" i="3"/>
  <c r="G445" i="3"/>
  <c r="BL454" i="3"/>
  <c r="BA466" i="3"/>
  <c r="AZ466" i="3" s="1"/>
  <c r="G474" i="3"/>
  <c r="G476" i="3"/>
  <c r="BA297" i="3"/>
  <c r="AZ297" i="3" s="1"/>
  <c r="BA315" i="3"/>
  <c r="AZ315" i="3" s="1"/>
  <c r="BL342" i="3"/>
  <c r="AZ342" i="3" s="1"/>
  <c r="G211" i="3"/>
  <c r="G234" i="3"/>
  <c r="G237" i="3"/>
  <c r="G241" i="3"/>
  <c r="BA249" i="3"/>
  <c r="G266" i="3"/>
  <c r="BL270" i="3"/>
  <c r="BA277" i="3"/>
  <c r="BA283" i="3"/>
  <c r="AZ283" i="3" s="1"/>
  <c r="G288" i="3"/>
  <c r="G289" i="3"/>
  <c r="BA295" i="3"/>
  <c r="BA296" i="3"/>
  <c r="BA113" i="3"/>
  <c r="AZ113" i="3" s="1"/>
  <c r="G122" i="3"/>
  <c r="G125" i="3"/>
  <c r="BL128" i="3"/>
  <c r="BL130" i="3"/>
  <c r="BL134" i="3"/>
  <c r="AZ134" i="3" s="1"/>
  <c r="BA141" i="3"/>
  <c r="BA144" i="3"/>
  <c r="BA152" i="3"/>
  <c r="G157" i="3"/>
  <c r="G158" i="3"/>
  <c r="BL161" i="3"/>
  <c r="AZ161" i="3" s="1"/>
  <c r="BA166" i="3"/>
  <c r="AZ166" i="3" s="1"/>
  <c r="BA171" i="3"/>
  <c r="G28" i="3"/>
  <c r="BA33" i="3"/>
  <c r="BA40" i="3"/>
  <c r="BL48" i="3"/>
  <c r="BL67" i="3"/>
  <c r="BL68" i="3"/>
  <c r="BA72" i="3"/>
  <c r="BA73" i="3"/>
  <c r="BA85" i="3"/>
  <c r="AZ85" i="3" s="1"/>
  <c r="BL110" i="3"/>
  <c r="BL111" i="3"/>
  <c r="BL112" i="3"/>
  <c r="L108" i="46"/>
  <c r="E43" i="59"/>
  <c r="E44" i="59" s="1"/>
  <c r="U44" i="59" s="1"/>
  <c r="X5" i="59"/>
  <c r="BA337" i="3"/>
  <c r="AZ337" i="3" s="1"/>
  <c r="BA351" i="3"/>
  <c r="BL376" i="3"/>
  <c r="AZ376" i="3" s="1"/>
  <c r="BL220" i="3"/>
  <c r="G236" i="3"/>
  <c r="BL244" i="3"/>
  <c r="BL246" i="3"/>
  <c r="BA248" i="3"/>
  <c r="BL250" i="3"/>
  <c r="BA252" i="3"/>
  <c r="BA272" i="3"/>
  <c r="AZ272" i="3" s="1"/>
  <c r="BA274" i="3"/>
  <c r="BA279" i="3"/>
  <c r="AZ279" i="3" s="1"/>
  <c r="BA281" i="3"/>
  <c r="BA285" i="3"/>
  <c r="AZ285" i="3" s="1"/>
  <c r="G287" i="3"/>
  <c r="BL293" i="3"/>
  <c r="BA137" i="3"/>
  <c r="AZ137" i="3" s="1"/>
  <c r="BA151" i="3"/>
  <c r="AZ151" i="3" s="1"/>
  <c r="BL159" i="3"/>
  <c r="BA162" i="3"/>
  <c r="AZ162" i="3" s="1"/>
  <c r="BA176" i="3"/>
  <c r="BL186" i="3"/>
  <c r="BL195" i="3"/>
  <c r="BA202" i="3"/>
  <c r="AZ202" i="3" s="1"/>
  <c r="BA26" i="3"/>
  <c r="G27" i="3"/>
  <c r="BL30" i="3"/>
  <c r="G40" i="3"/>
  <c r="G41" i="3"/>
  <c r="BA47" i="3"/>
  <c r="BA55" i="3"/>
  <c r="BA70" i="3"/>
  <c r="AZ70" i="3" s="1"/>
  <c r="G78" i="3"/>
  <c r="BA80" i="3"/>
  <c r="BA84" i="3"/>
  <c r="AZ84" i="3" s="1"/>
  <c r="G102" i="3"/>
  <c r="BL105" i="3"/>
  <c r="BL106" i="3"/>
  <c r="BL109" i="3"/>
  <c r="BA112" i="3"/>
  <c r="AZ112" i="3" s="1"/>
  <c r="C79" i="59"/>
  <c r="C78" i="59" s="1"/>
  <c r="D78" i="59" s="1"/>
  <c r="C35" i="59"/>
  <c r="F67" i="59"/>
  <c r="F66" i="59" s="1"/>
  <c r="BL457" i="3"/>
  <c r="BL460" i="3"/>
  <c r="BA461" i="3"/>
  <c r="AZ461" i="3" s="1"/>
  <c r="BL462" i="3"/>
  <c r="BA465" i="3"/>
  <c r="AZ465" i="3" s="1"/>
  <c r="G470" i="3"/>
  <c r="G472" i="3"/>
  <c r="BL476" i="3"/>
  <c r="G317" i="3"/>
  <c r="G329" i="3"/>
  <c r="G206" i="3"/>
  <c r="G207" i="3"/>
  <c r="BL214" i="3"/>
  <c r="AZ214" i="3" s="1"/>
  <c r="BL215" i="3"/>
  <c r="AZ215" i="3" s="1"/>
  <c r="BL217" i="3"/>
  <c r="BL218" i="3"/>
  <c r="AZ218" i="3" s="1"/>
  <c r="BL219" i="3"/>
  <c r="BL223" i="3"/>
  <c r="G230" i="3"/>
  <c r="G231" i="3"/>
  <c r="BL239" i="3"/>
  <c r="BL242" i="3"/>
  <c r="BL243" i="3"/>
  <c r="BA244" i="3"/>
  <c r="AZ244" i="3" s="1"/>
  <c r="BA246" i="3"/>
  <c r="BL252" i="3"/>
  <c r="G258" i="3"/>
  <c r="G261" i="3"/>
  <c r="BL268" i="3"/>
  <c r="BA269" i="3"/>
  <c r="BL274" i="3"/>
  <c r="G286" i="3"/>
  <c r="BL292" i="3"/>
  <c r="BA293" i="3"/>
  <c r="G118" i="3"/>
  <c r="BL125" i="3"/>
  <c r="BL126" i="3"/>
  <c r="AZ126" i="3" s="1"/>
  <c r="BA129" i="3"/>
  <c r="BA133" i="3"/>
  <c r="BA136" i="3"/>
  <c r="BA143" i="3"/>
  <c r="AZ143" i="3" s="1"/>
  <c r="G153" i="3"/>
  <c r="BL184" i="3"/>
  <c r="AZ184" i="3" s="1"/>
  <c r="G25" i="3"/>
  <c r="BA30" i="3"/>
  <c r="G39" i="3"/>
  <c r="BL42" i="3"/>
  <c r="BL64" i="3"/>
  <c r="BA68" i="3"/>
  <c r="BL80" i="3"/>
  <c r="BL95" i="3"/>
  <c r="G98" i="3"/>
  <c r="G99" i="3"/>
  <c r="G100" i="3"/>
  <c r="BA103" i="3"/>
  <c r="BA108" i="3"/>
  <c r="AZ108" i="3" s="1"/>
  <c r="BA109" i="3"/>
  <c r="BA111" i="3"/>
  <c r="D23" i="15"/>
  <c r="AB22" i="59"/>
  <c r="B43" i="59"/>
  <c r="B44" i="59" s="1"/>
  <c r="S44" i="59" s="1"/>
  <c r="F56" i="59"/>
  <c r="V56" i="59" s="1"/>
  <c r="BA268" i="3"/>
  <c r="BL269" i="3"/>
  <c r="BL276" i="3"/>
  <c r="BL289" i="3"/>
  <c r="BL290" i="3"/>
  <c r="BA292" i="3"/>
  <c r="BL295" i="3"/>
  <c r="BA116" i="3"/>
  <c r="BL122" i="3"/>
  <c r="AZ122" i="3" s="1"/>
  <c r="BL124" i="3"/>
  <c r="AZ124" i="3" s="1"/>
  <c r="BA127" i="3"/>
  <c r="AZ127" i="3" s="1"/>
  <c r="BL133" i="3"/>
  <c r="BL136" i="3"/>
  <c r="BL155" i="3"/>
  <c r="BA159" i="3"/>
  <c r="BA160" i="3"/>
  <c r="BL183" i="3"/>
  <c r="BA186" i="3"/>
  <c r="BA187" i="3"/>
  <c r="AZ187" i="3" s="1"/>
  <c r="BL187" i="3"/>
  <c r="BL29" i="3"/>
  <c r="BL54" i="3"/>
  <c r="BA76" i="3"/>
  <c r="AZ76" i="3" s="1"/>
  <c r="BL103" i="3"/>
  <c r="BA106" i="3"/>
  <c r="BA107" i="3"/>
  <c r="D72" i="59"/>
  <c r="F35" i="59"/>
  <c r="F36" i="59" s="1"/>
  <c r="V36" i="59" s="1"/>
  <c r="B40" i="59"/>
  <c r="S40" i="59" s="1"/>
  <c r="S64" i="59"/>
  <c r="BA375" i="3"/>
  <c r="AZ375" i="3" s="1"/>
  <c r="BA212" i="3"/>
  <c r="BL221" i="3"/>
  <c r="BA230" i="3"/>
  <c r="BL234" i="3"/>
  <c r="G254" i="3"/>
  <c r="G256" i="3"/>
  <c r="BL263" i="3"/>
  <c r="BL265" i="3"/>
  <c r="BL271" i="3"/>
  <c r="BA276" i="3"/>
  <c r="BA280" i="3"/>
  <c r="G282" i="3"/>
  <c r="G284" i="3"/>
  <c r="BL288" i="3"/>
  <c r="BA289" i="3"/>
  <c r="AZ289" i="3" s="1"/>
  <c r="BA291" i="3"/>
  <c r="G117" i="3"/>
  <c r="G142" i="3"/>
  <c r="G149" i="3"/>
  <c r="BA158" i="3"/>
  <c r="AZ158" i="3" s="1"/>
  <c r="BA185" i="3"/>
  <c r="G199" i="3"/>
  <c r="G200" i="3"/>
  <c r="G21" i="3"/>
  <c r="G22" i="3"/>
  <c r="G23" i="3"/>
  <c r="BL26" i="3"/>
  <c r="BL27" i="3"/>
  <c r="BA29" i="3"/>
  <c r="G36" i="3"/>
  <c r="G37" i="3"/>
  <c r="BL40" i="3"/>
  <c r="G58" i="3"/>
  <c r="BA58" i="3"/>
  <c r="G59" i="3"/>
  <c r="BA65" i="3"/>
  <c r="BL66" i="3"/>
  <c r="BL72" i="3"/>
  <c r="G75" i="3"/>
  <c r="BL102" i="3"/>
  <c r="P27" i="6"/>
  <c r="AB27" i="59"/>
  <c r="F58" i="59"/>
  <c r="Q58" i="59" s="1"/>
  <c r="BA232" i="3"/>
  <c r="BA233" i="3"/>
  <c r="AZ233" i="3" s="1"/>
  <c r="BA239" i="3"/>
  <c r="AZ239" i="3" s="1"/>
  <c r="BA245" i="3"/>
  <c r="AZ245" i="3" s="1"/>
  <c r="G253" i="3"/>
  <c r="BL261" i="3"/>
  <c r="BL267" i="3"/>
  <c r="BA271" i="3"/>
  <c r="AZ271" i="3" s="1"/>
  <c r="G281" i="3"/>
  <c r="BL286" i="3"/>
  <c r="BL287" i="3"/>
  <c r="AZ287" i="3" s="1"/>
  <c r="BA288" i="3"/>
  <c r="BL291" i="3"/>
  <c r="BL120" i="3"/>
  <c r="BL121" i="3"/>
  <c r="AZ121" i="3" s="1"/>
  <c r="BA125" i="3"/>
  <c r="AZ125" i="3" s="1"/>
  <c r="G139" i="3"/>
  <c r="G141" i="3"/>
  <c r="BL160" i="3"/>
  <c r="G169" i="3"/>
  <c r="G177" i="3"/>
  <c r="BA183" i="3"/>
  <c r="BL39" i="3"/>
  <c r="G57" i="3"/>
  <c r="BL62" i="3"/>
  <c r="AZ62" i="3" s="1"/>
  <c r="G73" i="3"/>
  <c r="BL86" i="3"/>
  <c r="G89" i="3"/>
  <c r="BA90" i="3"/>
  <c r="G91" i="3"/>
  <c r="BA104" i="3"/>
  <c r="BA105" i="3"/>
  <c r="AZ168" i="3"/>
  <c r="BA182" i="3"/>
  <c r="BL37" i="3"/>
  <c r="BA43" i="3"/>
  <c r="AZ43" i="3" s="1"/>
  <c r="BA49" i="3"/>
  <c r="G51" i="3"/>
  <c r="BL96" i="3"/>
  <c r="BL97" i="3"/>
  <c r="BA102" i="3"/>
  <c r="C71" i="59"/>
  <c r="B35" i="59"/>
  <c r="B36" i="59" s="1"/>
  <c r="S36" i="59" s="1"/>
  <c r="T16" i="59"/>
  <c r="BL116" i="3"/>
  <c r="BA119" i="3"/>
  <c r="AZ119" i="3" s="1"/>
  <c r="BL146" i="3"/>
  <c r="AZ146" i="3" s="1"/>
  <c r="BL149" i="3"/>
  <c r="BL157" i="3"/>
  <c r="AZ157" i="3" s="1"/>
  <c r="BL171" i="3"/>
  <c r="BL178" i="3"/>
  <c r="AZ178" i="3" s="1"/>
  <c r="G197" i="3"/>
  <c r="G55" i="3"/>
  <c r="BL58" i="3"/>
  <c r="BL59" i="3"/>
  <c r="BA61" i="3"/>
  <c r="BA77" i="3"/>
  <c r="BA98" i="3"/>
  <c r="AZ98" i="3" s="1"/>
  <c r="F27" i="59"/>
  <c r="F28" i="59" s="1"/>
  <c r="V28" i="59" s="1"/>
  <c r="F44" i="59"/>
  <c r="V44" i="59" s="1"/>
  <c r="F47" i="59"/>
  <c r="F48" i="59" s="1"/>
  <c r="V48" i="59" s="1"/>
  <c r="AC12" i="46"/>
  <c r="U16" i="59"/>
  <c r="G363" i="3"/>
  <c r="BA369" i="3"/>
  <c r="BL382" i="3"/>
  <c r="AZ382" i="3" s="1"/>
  <c r="BL388" i="3"/>
  <c r="BA209" i="3"/>
  <c r="AZ209" i="3" s="1"/>
  <c r="G221" i="3"/>
  <c r="BA240" i="3"/>
  <c r="AZ240" i="3" s="1"/>
  <c r="G248" i="3"/>
  <c r="BL254" i="3"/>
  <c r="BA257" i="3"/>
  <c r="BA258" i="3"/>
  <c r="G272" i="3"/>
  <c r="G275" i="3"/>
  <c r="BL281" i="3"/>
  <c r="G295" i="3"/>
  <c r="BL141" i="3"/>
  <c r="BA148" i="3"/>
  <c r="AZ148" i="3" s="1"/>
  <c r="G162" i="3"/>
  <c r="BL167" i="3"/>
  <c r="BL177" i="3"/>
  <c r="AZ177" i="3" s="1"/>
  <c r="BL182" i="3"/>
  <c r="G189" i="3"/>
  <c r="BL192" i="3"/>
  <c r="AZ192" i="3" s="1"/>
  <c r="G195" i="3"/>
  <c r="BL198" i="3"/>
  <c r="BL200" i="3"/>
  <c r="AZ200" i="3" s="1"/>
  <c r="G31" i="3"/>
  <c r="G32" i="3"/>
  <c r="BL36" i="3"/>
  <c r="BA39" i="3"/>
  <c r="G69" i="3"/>
  <c r="BL75" i="3"/>
  <c r="BL81" i="3"/>
  <c r="G83" i="3"/>
  <c r="BL90" i="3"/>
  <c r="BL94" i="3"/>
  <c r="AZ94" i="3" s="1"/>
  <c r="BA97" i="3"/>
  <c r="G112" i="3"/>
  <c r="B74" i="46"/>
  <c r="C23" i="59"/>
  <c r="C24" i="59" s="1"/>
  <c r="BA388" i="3"/>
  <c r="G220" i="3"/>
  <c r="BA242" i="3"/>
  <c r="G244" i="3"/>
  <c r="G246" i="3"/>
  <c r="BL253" i="3"/>
  <c r="AZ253" i="3" s="1"/>
  <c r="BA255" i="3"/>
  <c r="AZ255" i="3" s="1"/>
  <c r="BL262" i="3"/>
  <c r="BA264" i="3"/>
  <c r="AZ264" i="3" s="1"/>
  <c r="G269" i="3"/>
  <c r="BL277" i="3"/>
  <c r="G293" i="3"/>
  <c r="BL296" i="3"/>
  <c r="BA117" i="3"/>
  <c r="AZ117" i="3" s="1"/>
  <c r="G133" i="3"/>
  <c r="BL138" i="3"/>
  <c r="AZ138" i="3" s="1"/>
  <c r="BL140" i="3"/>
  <c r="AZ140" i="3" s="1"/>
  <c r="BL142" i="3"/>
  <c r="AZ142" i="3" s="1"/>
  <c r="BA145" i="3"/>
  <c r="BA156" i="3"/>
  <c r="AZ156" i="3" s="1"/>
  <c r="G161" i="3"/>
  <c r="BA172" i="3"/>
  <c r="BL176" i="3"/>
  <c r="G193" i="3"/>
  <c r="BA22" i="3"/>
  <c r="G30" i="3"/>
  <c r="BL35" i="3"/>
  <c r="BL57" i="3"/>
  <c r="G67" i="3"/>
  <c r="BA67" i="3"/>
  <c r="AZ67" i="3" s="1"/>
  <c r="BA71" i="3"/>
  <c r="AZ71" i="3" s="1"/>
  <c r="BA75" i="3"/>
  <c r="G82" i="3"/>
  <c r="BL89" i="3"/>
  <c r="BL92" i="3"/>
  <c r="BL104" i="3"/>
  <c r="G107" i="3"/>
  <c r="G109" i="3"/>
  <c r="X26" i="59"/>
  <c r="X31" i="59"/>
  <c r="E35" i="59"/>
  <c r="E36" i="59" s="1"/>
  <c r="U36" i="59" s="1"/>
  <c r="V60" i="59"/>
  <c r="BL153" i="3"/>
  <c r="AZ153" i="3" s="1"/>
  <c r="BA170" i="3"/>
  <c r="AZ170" i="3" s="1"/>
  <c r="BA191" i="3"/>
  <c r="AZ191" i="3" s="1"/>
  <c r="BA35" i="3"/>
  <c r="BA38" i="3"/>
  <c r="AZ38" i="3" s="1"/>
  <c r="BL63" i="3"/>
  <c r="AZ63" i="3" s="1"/>
  <c r="I20" i="57"/>
  <c r="AB24" i="59"/>
  <c r="AA10" i="46"/>
  <c r="AB7" i="59"/>
  <c r="BA353" i="3"/>
  <c r="AZ353" i="3" s="1"/>
  <c r="BL364" i="3"/>
  <c r="AZ364" i="3" s="1"/>
  <c r="BA371" i="3"/>
  <c r="AZ371" i="3" s="1"/>
  <c r="BA206" i="3"/>
  <c r="AZ206" i="3" s="1"/>
  <c r="BL249" i="3"/>
  <c r="BL257" i="3"/>
  <c r="BA259" i="3"/>
  <c r="AZ259" i="3" s="1"/>
  <c r="BL273" i="3"/>
  <c r="BL294" i="3"/>
  <c r="BL129" i="3"/>
  <c r="BL144" i="3"/>
  <c r="BL152" i="3"/>
  <c r="BL163" i="3"/>
  <c r="AZ163" i="3" s="1"/>
  <c r="BA167" i="3"/>
  <c r="BA181" i="3"/>
  <c r="AZ181" i="3" s="1"/>
  <c r="G192" i="3"/>
  <c r="BA197" i="3"/>
  <c r="AZ197" i="3" s="1"/>
  <c r="BA198" i="3"/>
  <c r="G29" i="3"/>
  <c r="BL32" i="3"/>
  <c r="BA34" i="3"/>
  <c r="AZ34" i="3" s="1"/>
  <c r="G44" i="3"/>
  <c r="BL83" i="3"/>
  <c r="BA88" i="3"/>
  <c r="I10" i="57"/>
  <c r="C28" i="57" s="1"/>
  <c r="E63" i="59"/>
  <c r="E62" i="59" s="1"/>
  <c r="AE10" i="46"/>
  <c r="O76" i="9"/>
  <c r="F11" i="59"/>
  <c r="F10" i="59" s="1"/>
  <c r="F9" i="59" s="1"/>
  <c r="F8" i="59" s="1"/>
  <c r="V12" i="59"/>
  <c r="AC18" i="36"/>
  <c r="H63" i="46"/>
  <c r="M86" i="9"/>
  <c r="N86" i="9" s="1"/>
  <c r="A3" i="55"/>
  <c r="B56" i="63" s="1"/>
  <c r="AA29" i="40"/>
  <c r="AC39" i="40"/>
  <c r="AA33" i="39"/>
  <c r="AB25" i="39"/>
  <c r="AB17" i="37"/>
  <c r="U23" i="39"/>
  <c r="M88" i="9"/>
  <c r="N88" i="9" s="1"/>
  <c r="U37" i="40"/>
  <c r="S23" i="39"/>
  <c r="S47" i="39"/>
  <c r="AA36" i="37"/>
  <c r="AZ331" i="3"/>
  <c r="AZ484" i="3"/>
  <c r="AB9" i="21"/>
  <c r="U9" i="21"/>
  <c r="AC31" i="39"/>
  <c r="H59" i="46"/>
  <c r="M83" i="9"/>
  <c r="N83" i="9" s="1"/>
  <c r="N89" i="9" s="1"/>
  <c r="O89" i="9" s="1"/>
  <c r="O39" i="9"/>
  <c r="R6" i="54" s="1"/>
  <c r="B50" i="63" s="1"/>
  <c r="AA20" i="36"/>
  <c r="W23" i="39"/>
  <c r="AC13" i="33"/>
  <c r="AC47" i="39"/>
  <c r="AB46" i="21"/>
  <c r="U46" i="21"/>
  <c r="F27" i="33"/>
  <c r="S27" i="33" s="1"/>
  <c r="H27" i="33"/>
  <c r="J27" i="33"/>
  <c r="AZ520" i="3"/>
  <c r="BA512" i="3"/>
  <c r="AZ512" i="3" s="1"/>
  <c r="AB32" i="40"/>
  <c r="AZ517" i="3"/>
  <c r="AA10" i="21"/>
  <c r="S10" i="21"/>
  <c r="AC39" i="37"/>
  <c r="W39" i="37"/>
  <c r="AZ20" i="3"/>
  <c r="AC42" i="40"/>
  <c r="U34" i="40"/>
  <c r="AB41" i="40"/>
  <c r="AB27" i="39"/>
  <c r="J26" i="37"/>
  <c r="H26" i="37"/>
  <c r="F26" i="37"/>
  <c r="W33" i="36"/>
  <c r="AC33" i="36"/>
  <c r="U8" i="36"/>
  <c r="AB8" i="36"/>
  <c r="M87" i="9"/>
  <c r="N87" i="9" s="1"/>
  <c r="AB25" i="34"/>
  <c r="U11" i="34"/>
  <c r="AA20" i="35"/>
  <c r="AC20" i="36"/>
  <c r="AB13" i="33"/>
  <c r="F34" i="44"/>
  <c r="M18" i="74"/>
  <c r="F32" i="74"/>
  <c r="F59" i="74" s="1"/>
  <c r="F32" i="75"/>
  <c r="F59" i="75" s="1"/>
  <c r="F28" i="73"/>
  <c r="C28" i="73" s="1"/>
  <c r="M18" i="73"/>
  <c r="M18" i="75"/>
  <c r="F28" i="74"/>
  <c r="C28" i="74" s="1"/>
  <c r="M18" i="76"/>
  <c r="F32" i="73"/>
  <c r="F59" i="73" s="1"/>
  <c r="F28" i="75"/>
  <c r="C28" i="75" s="1"/>
  <c r="F32" i="76"/>
  <c r="F59" i="76" s="1"/>
  <c r="F28" i="76"/>
  <c r="C28" i="76" s="1"/>
  <c r="F27" i="43"/>
  <c r="U23" i="37"/>
  <c r="AB23" i="37"/>
  <c r="AC14" i="21"/>
  <c r="W14" i="21"/>
  <c r="W27" i="40"/>
  <c r="M85" i="9"/>
  <c r="N85" i="9" s="1"/>
  <c r="AZ370" i="3"/>
  <c r="AZ320" i="3"/>
  <c r="AZ572" i="3"/>
  <c r="AZ338" i="3"/>
  <c r="AA27" i="34"/>
  <c r="E81" i="21"/>
  <c r="F81" i="21" s="1"/>
  <c r="G81" i="21" s="1"/>
  <c r="J19" i="21"/>
  <c r="W19" i="21" s="1"/>
  <c r="S12" i="33"/>
  <c r="AA12" i="33"/>
  <c r="J9" i="33"/>
  <c r="H9" i="33"/>
  <c r="AB9" i="33" s="1"/>
  <c r="F12" i="35"/>
  <c r="H12" i="35"/>
  <c r="AB38" i="33"/>
  <c r="U38" i="33"/>
  <c r="BL508" i="3"/>
  <c r="AZ508" i="3" s="1"/>
  <c r="F34" i="15"/>
  <c r="F61" i="15" s="1"/>
  <c r="M20" i="76"/>
  <c r="M20" i="73"/>
  <c r="M20" i="75"/>
  <c r="F34" i="76"/>
  <c r="F61" i="76" s="1"/>
  <c r="F34" i="75"/>
  <c r="F61" i="75" s="1"/>
  <c r="F34" i="73"/>
  <c r="F61" i="73" s="1"/>
  <c r="F34" i="74"/>
  <c r="F61" i="74" s="1"/>
  <c r="M20" i="74"/>
  <c r="W34" i="36"/>
  <c r="C58" i="33"/>
  <c r="I7" i="33"/>
  <c r="G7" i="33"/>
  <c r="E7" i="33"/>
  <c r="AC38" i="33"/>
  <c r="W38" i="33"/>
  <c r="W24" i="36"/>
  <c r="AB29" i="36"/>
  <c r="AC35" i="21"/>
  <c r="BI5" i="3"/>
  <c r="J43" i="21"/>
  <c r="AC43" i="21" s="1"/>
  <c r="F43" i="21"/>
  <c r="S43" i="21" s="1"/>
  <c r="AC24" i="35"/>
  <c r="W24" i="35"/>
  <c r="W8" i="34"/>
  <c r="BH5" i="3"/>
  <c r="J42" i="33"/>
  <c r="AC42" i="33" s="1"/>
  <c r="E123" i="33"/>
  <c r="F123" i="33" s="1"/>
  <c r="G123" i="33" s="1"/>
  <c r="H123" i="33" s="1"/>
  <c r="I123" i="33" s="1"/>
  <c r="J123" i="33" s="1"/>
  <c r="K123" i="33" s="1"/>
  <c r="L123" i="33" s="1"/>
  <c r="M123" i="33" s="1"/>
  <c r="W23" i="35"/>
  <c r="AC23" i="35"/>
  <c r="AA10" i="36"/>
  <c r="S10" i="36"/>
  <c r="AA36" i="35"/>
  <c r="S27" i="37"/>
  <c r="F24" i="35"/>
  <c r="J14" i="37"/>
  <c r="J28" i="33"/>
  <c r="W33" i="33"/>
  <c r="F36" i="21"/>
  <c r="S36" i="21" s="1"/>
  <c r="F9" i="33"/>
  <c r="AA9" i="33" s="1"/>
  <c r="J34" i="35"/>
  <c r="F34" i="35"/>
  <c r="J9" i="36"/>
  <c r="H9" i="36"/>
  <c r="G487" i="3"/>
  <c r="G19" i="3"/>
  <c r="AC29" i="37"/>
  <c r="S10" i="35"/>
  <c r="AB31" i="21"/>
  <c r="U13" i="35"/>
  <c r="H14" i="21"/>
  <c r="AA38" i="34"/>
  <c r="S33" i="33"/>
  <c r="H36" i="21"/>
  <c r="U36" i="21" s="1"/>
  <c r="BF5" i="3"/>
  <c r="E5" i="6" s="1"/>
  <c r="D12" i="11" s="1"/>
  <c r="C12" i="11" s="1"/>
  <c r="E126" i="34"/>
  <c r="F126" i="34" s="1"/>
  <c r="G126" i="34" s="1"/>
  <c r="J44" i="34"/>
  <c r="AC44" i="34" s="1"/>
  <c r="AB28" i="36"/>
  <c r="F14" i="21"/>
  <c r="AC38" i="34"/>
  <c r="H5" i="3"/>
  <c r="BT5" i="3"/>
  <c r="G28" i="6" s="1"/>
  <c r="F15" i="33"/>
  <c r="J12" i="35"/>
  <c r="AZ545" i="3"/>
  <c r="U33" i="33"/>
  <c r="H43" i="21"/>
  <c r="AB43" i="21" s="1"/>
  <c r="H42" i="21"/>
  <c r="AB42" i="21" s="1"/>
  <c r="H23" i="36"/>
  <c r="C58" i="21"/>
  <c r="I7" i="21"/>
  <c r="G7" i="21"/>
  <c r="E7" i="21"/>
  <c r="BL538" i="3"/>
  <c r="AZ538" i="3" s="1"/>
  <c r="BL488" i="3"/>
  <c r="AZ488" i="3" s="1"/>
  <c r="AZ397" i="3"/>
  <c r="AZ408" i="3"/>
  <c r="AZ451" i="3"/>
  <c r="AZ429" i="3"/>
  <c r="AZ400" i="3"/>
  <c r="AZ453" i="3"/>
  <c r="AZ460" i="3"/>
  <c r="AC5" i="3"/>
  <c r="BG5" i="3"/>
  <c r="AZ425" i="3"/>
  <c r="AZ334" i="3"/>
  <c r="AZ404" i="3"/>
  <c r="G511" i="3"/>
  <c r="K145" i="21"/>
  <c r="C59" i="34"/>
  <c r="D59" i="34" s="1"/>
  <c r="I7" i="34"/>
  <c r="G7" i="34"/>
  <c r="E7" i="34"/>
  <c r="G520" i="3"/>
  <c r="W30" i="21"/>
  <c r="G509" i="3"/>
  <c r="AZ413" i="3"/>
  <c r="AZ468" i="3"/>
  <c r="BA467" i="3"/>
  <c r="AZ467" i="3" s="1"/>
  <c r="BA319" i="3"/>
  <c r="BA386" i="3"/>
  <c r="BA217" i="3"/>
  <c r="AZ217" i="3" s="1"/>
  <c r="BL232" i="3"/>
  <c r="BA270" i="3"/>
  <c r="AZ270" i="3" s="1"/>
  <c r="BL423" i="3"/>
  <c r="BL443" i="3"/>
  <c r="AZ443" i="3" s="1"/>
  <c r="BA318" i="3"/>
  <c r="AZ318" i="3" s="1"/>
  <c r="BA350" i="3"/>
  <c r="AZ350" i="3" s="1"/>
  <c r="BL386" i="3"/>
  <c r="BA211" i="3"/>
  <c r="AZ211" i="3" s="1"/>
  <c r="BA219" i="3"/>
  <c r="AZ219" i="3" s="1"/>
  <c r="BA220" i="3"/>
  <c r="BA222" i="3"/>
  <c r="BL227" i="3"/>
  <c r="AZ227" i="3" s="1"/>
  <c r="BL230" i="3"/>
  <c r="BL237" i="3"/>
  <c r="BL238" i="3"/>
  <c r="AZ243" i="3"/>
  <c r="A30" i="51"/>
  <c r="B22" i="63" s="1"/>
  <c r="A30" i="64"/>
  <c r="BA423" i="3"/>
  <c r="AZ423" i="3" s="1"/>
  <c r="BA205" i="3"/>
  <c r="AZ205" i="3" s="1"/>
  <c r="BA216" i="3"/>
  <c r="AZ216" i="3" s="1"/>
  <c r="BA224" i="3"/>
  <c r="AZ224" i="3" s="1"/>
  <c r="BA226" i="3"/>
  <c r="AZ226" i="3" s="1"/>
  <c r="BA231" i="3"/>
  <c r="AZ231" i="3" s="1"/>
  <c r="AZ232" i="3"/>
  <c r="BL236" i="3"/>
  <c r="AZ236" i="3" s="1"/>
  <c r="BL266" i="3"/>
  <c r="AZ293" i="3"/>
  <c r="AZ133" i="3"/>
  <c r="AZ136" i="3"/>
  <c r="BA462" i="3"/>
  <c r="AZ462" i="3" s="1"/>
  <c r="BL463" i="3"/>
  <c r="AZ463" i="3" s="1"/>
  <c r="BL332" i="3"/>
  <c r="AZ332" i="3" s="1"/>
  <c r="BL368" i="3"/>
  <c r="AZ368" i="3" s="1"/>
  <c r="G210" i="3"/>
  <c r="BA221" i="3"/>
  <c r="AZ221" i="3" s="1"/>
  <c r="BA228" i="3"/>
  <c r="AZ228" i="3" s="1"/>
  <c r="BA229" i="3"/>
  <c r="BA237" i="3"/>
  <c r="BL258" i="3"/>
  <c r="AZ258" i="3" s="1"/>
  <c r="BA267" i="3"/>
  <c r="AZ267" i="3" s="1"/>
  <c r="AZ159" i="3"/>
  <c r="BL438" i="3"/>
  <c r="AZ438" i="3" s="1"/>
  <c r="G460" i="3"/>
  <c r="G479" i="3"/>
  <c r="BL330" i="3"/>
  <c r="AZ330" i="3" s="1"/>
  <c r="BA341" i="3"/>
  <c r="AZ341" i="3" s="1"/>
  <c r="BA241" i="3"/>
  <c r="BL256" i="3"/>
  <c r="BA437" i="3"/>
  <c r="AZ437" i="3" s="1"/>
  <c r="BL477" i="3"/>
  <c r="AZ477" i="3" s="1"/>
  <c r="BL335" i="3"/>
  <c r="BA367" i="3"/>
  <c r="AZ367" i="3" s="1"/>
  <c r="BL208" i="3"/>
  <c r="AZ208" i="3" s="1"/>
  <c r="AZ288" i="3"/>
  <c r="BA457" i="3"/>
  <c r="AZ457" i="3" s="1"/>
  <c r="BL458" i="3"/>
  <c r="AZ458" i="3" s="1"/>
  <c r="BA335" i="3"/>
  <c r="G383" i="3"/>
  <c r="BA207" i="3"/>
  <c r="BA238" i="3"/>
  <c r="AZ238" i="3" s="1"/>
  <c r="BA256" i="3"/>
  <c r="BA260" i="3"/>
  <c r="AZ260" i="3" s="1"/>
  <c r="AZ128" i="3"/>
  <c r="AZ155" i="3"/>
  <c r="BL207" i="3"/>
  <c r="BL210" i="3"/>
  <c r="BA235" i="3"/>
  <c r="AZ235" i="3" s="1"/>
  <c r="AZ242" i="3"/>
  <c r="BL251" i="3"/>
  <c r="BA432" i="3"/>
  <c r="AZ432" i="3" s="1"/>
  <c r="BA452" i="3"/>
  <c r="AZ452" i="3" s="1"/>
  <c r="BL472" i="3"/>
  <c r="BL213" i="3"/>
  <c r="AZ213" i="3" s="1"/>
  <c r="AZ262" i="3"/>
  <c r="BL280" i="3"/>
  <c r="AZ280" i="3" s="1"/>
  <c r="G430" i="3"/>
  <c r="BL348" i="3"/>
  <c r="AZ348" i="3" s="1"/>
  <c r="BL384" i="3"/>
  <c r="AZ384" i="3" s="1"/>
  <c r="G205" i="3"/>
  <c r="BL212" i="3"/>
  <c r="AZ212" i="3" s="1"/>
  <c r="BA251" i="3"/>
  <c r="AZ266" i="3"/>
  <c r="BL275" i="3"/>
  <c r="AZ145" i="3"/>
  <c r="AZ75" i="3"/>
  <c r="BL428" i="3"/>
  <c r="AZ428" i="3" s="1"/>
  <c r="BA472" i="3"/>
  <c r="BA325" i="3"/>
  <c r="AZ325" i="3" s="1"/>
  <c r="BL346" i="3"/>
  <c r="AZ346" i="3" s="1"/>
  <c r="BL247" i="3"/>
  <c r="AZ247" i="3" s="1"/>
  <c r="BL248" i="3"/>
  <c r="AZ248" i="3" s="1"/>
  <c r="BA250" i="3"/>
  <c r="AZ250" i="3" s="1"/>
  <c r="BA427" i="3"/>
  <c r="AZ427" i="3" s="1"/>
  <c r="BA447" i="3"/>
  <c r="AZ447" i="3" s="1"/>
  <c r="BL319" i="3"/>
  <c r="BL351" i="3"/>
  <c r="AZ351" i="3" s="1"/>
  <c r="BA383" i="3"/>
  <c r="AZ383" i="3" s="1"/>
  <c r="BL387" i="3"/>
  <c r="BL222" i="3"/>
  <c r="BA275" i="3"/>
  <c r="AZ277" i="3"/>
  <c r="AZ198" i="3"/>
  <c r="AZ52" i="3"/>
  <c r="G176" i="3"/>
  <c r="G191" i="3"/>
  <c r="BA21" i="3"/>
  <c r="BL22" i="3"/>
  <c r="AZ22" i="3" s="1"/>
  <c r="BL28" i="3"/>
  <c r="BA50" i="3"/>
  <c r="BA53" i="3"/>
  <c r="AZ53" i="3" s="1"/>
  <c r="BL61" i="3"/>
  <c r="AZ61" i="3" s="1"/>
  <c r="BL69" i="3"/>
  <c r="BL78" i="3"/>
  <c r="BL172" i="3"/>
  <c r="AZ172" i="3" s="1"/>
  <c r="BL173" i="3"/>
  <c r="AZ173" i="3" s="1"/>
  <c r="BA23" i="3"/>
  <c r="BA24" i="3"/>
  <c r="BA25" i="3"/>
  <c r="AZ25" i="3" s="1"/>
  <c r="BA54" i="3"/>
  <c r="AZ54" i="3" s="1"/>
  <c r="BA56" i="3"/>
  <c r="AZ56" i="3" s="1"/>
  <c r="BA57" i="3"/>
  <c r="AZ57" i="3" s="1"/>
  <c r="BL65" i="3"/>
  <c r="BA74" i="3"/>
  <c r="BA78" i="3"/>
  <c r="C31" i="59"/>
  <c r="D30" i="59"/>
  <c r="C36" i="59"/>
  <c r="D35" i="59"/>
  <c r="BL188" i="3"/>
  <c r="AZ188" i="3" s="1"/>
  <c r="BL23" i="3"/>
  <c r="BA27" i="3"/>
  <c r="AZ27" i="3" s="1"/>
  <c r="BA28" i="3"/>
  <c r="AZ28" i="3" s="1"/>
  <c r="BL33" i="3"/>
  <c r="AZ33" i="3" s="1"/>
  <c r="BL55" i="3"/>
  <c r="AZ55" i="3" s="1"/>
  <c r="BA59" i="3"/>
  <c r="BA60" i="3"/>
  <c r="BL60" i="3"/>
  <c r="BA66" i="3"/>
  <c r="AZ66" i="3" s="1"/>
  <c r="BA69" i="3"/>
  <c r="G90" i="3"/>
  <c r="G95" i="3"/>
  <c r="AZ109" i="3"/>
  <c r="AZ111" i="3"/>
  <c r="AZ65" i="3"/>
  <c r="BL100" i="3"/>
  <c r="C28" i="59"/>
  <c r="D27" i="59"/>
  <c r="AZ105" i="3"/>
  <c r="BA110" i="3"/>
  <c r="C43" i="59"/>
  <c r="D42" i="59"/>
  <c r="BA164" i="3"/>
  <c r="AZ164" i="3" s="1"/>
  <c r="BA36" i="3"/>
  <c r="AZ36" i="3" s="1"/>
  <c r="BA37" i="3"/>
  <c r="AZ37" i="3" s="1"/>
  <c r="BL41" i="3"/>
  <c r="BA64" i="3"/>
  <c r="G81" i="3"/>
  <c r="BL91" i="3"/>
  <c r="BL93" i="3"/>
  <c r="BA99" i="3"/>
  <c r="AZ99" i="3" s="1"/>
  <c r="BA100" i="3"/>
  <c r="BA101" i="3"/>
  <c r="BL101" i="3"/>
  <c r="BL194" i="3"/>
  <c r="BL196" i="3"/>
  <c r="AZ196" i="3" s="1"/>
  <c r="BA31" i="3"/>
  <c r="AZ31" i="3" s="1"/>
  <c r="BA42" i="3"/>
  <c r="AZ42" i="3" s="1"/>
  <c r="BL47" i="3"/>
  <c r="AZ47" i="3" s="1"/>
  <c r="BL87" i="3"/>
  <c r="BL88" i="3"/>
  <c r="AZ93" i="3"/>
  <c r="AZ97" i="3"/>
  <c r="BL150" i="3"/>
  <c r="AZ150" i="3" s="1"/>
  <c r="G183" i="3"/>
  <c r="BA194" i="3"/>
  <c r="BA195" i="3"/>
  <c r="AZ195" i="3" s="1"/>
  <c r="BA44" i="3"/>
  <c r="AZ44" i="3" s="1"/>
  <c r="BL45" i="3"/>
  <c r="BL46" i="3"/>
  <c r="BL49" i="3"/>
  <c r="AZ49" i="3" s="1"/>
  <c r="BL50" i="3"/>
  <c r="BL82" i="3"/>
  <c r="AZ89" i="3"/>
  <c r="BA91" i="3"/>
  <c r="BA92" i="3"/>
  <c r="BA95" i="3"/>
  <c r="AZ95" i="3" s="1"/>
  <c r="BA149" i="3"/>
  <c r="AZ149" i="3" s="1"/>
  <c r="BL180" i="3"/>
  <c r="BL199" i="3"/>
  <c r="AZ199" i="3" s="1"/>
  <c r="BL203" i="3"/>
  <c r="G26" i="3"/>
  <c r="BA32" i="3"/>
  <c r="AZ32" i="3" s="1"/>
  <c r="BA45" i="3"/>
  <c r="BA46" i="3"/>
  <c r="BA48" i="3"/>
  <c r="AZ48" i="3" s="1"/>
  <c r="BA51" i="3"/>
  <c r="AZ51" i="3" s="1"/>
  <c r="BL51" i="3"/>
  <c r="BA83" i="3"/>
  <c r="AZ83" i="3" s="1"/>
  <c r="BA96" i="3"/>
  <c r="AZ96" i="3" s="1"/>
  <c r="B13" i="1"/>
  <c r="E13" i="1" s="1"/>
  <c r="K13" i="1"/>
  <c r="T24" i="59"/>
  <c r="D24" i="59"/>
  <c r="E58" i="59"/>
  <c r="P59" i="59"/>
  <c r="G138" i="3"/>
  <c r="BA193" i="3"/>
  <c r="AZ193" i="3" s="1"/>
  <c r="BL79" i="3"/>
  <c r="BA82" i="3"/>
  <c r="BA180" i="3"/>
  <c r="BA203" i="3"/>
  <c r="BA41" i="3"/>
  <c r="BA86" i="3"/>
  <c r="AZ86" i="3" s="1"/>
  <c r="BA87" i="3"/>
  <c r="C55" i="59"/>
  <c r="D54" i="59"/>
  <c r="BA179" i="3"/>
  <c r="AZ179" i="3" s="1"/>
  <c r="BA201" i="3"/>
  <c r="AZ201" i="3" s="1"/>
  <c r="BL24" i="3"/>
  <c r="G35" i="3"/>
  <c r="BL56" i="3"/>
  <c r="BL73" i="3"/>
  <c r="AZ73" i="3" s="1"/>
  <c r="BL74" i="3"/>
  <c r="BL77" i="3"/>
  <c r="BA79" i="3"/>
  <c r="BA81" i="3"/>
  <c r="AZ81" i="3" s="1"/>
  <c r="BL107" i="3"/>
  <c r="AZ107" i="3" s="1"/>
  <c r="I21" i="57"/>
  <c r="C52" i="59"/>
  <c r="D51" i="59"/>
  <c r="S27" i="40"/>
  <c r="D75" i="59"/>
  <c r="D79" i="59"/>
  <c r="U60" i="59"/>
  <c r="X21" i="59"/>
  <c r="AA23" i="59"/>
  <c r="AB26" i="59"/>
  <c r="X30" i="59"/>
  <c r="Y20" i="59"/>
  <c r="Z20" i="59" s="1"/>
  <c r="S16" i="59"/>
  <c r="AB18" i="59"/>
  <c r="AA15" i="59"/>
  <c r="AA13" i="59"/>
  <c r="X12" i="59"/>
  <c r="Y8" i="59"/>
  <c r="Z8" i="59" s="1"/>
  <c r="AB6" i="59"/>
  <c r="S21" i="37"/>
  <c r="D23" i="59"/>
  <c r="P60" i="59"/>
  <c r="E24" i="59"/>
  <c r="U24" i="59" s="1"/>
  <c r="AB23" i="59"/>
  <c r="Y25" i="59"/>
  <c r="Z25" i="59" s="1"/>
  <c r="X27" i="59"/>
  <c r="Y30" i="59"/>
  <c r="Z30" i="59" s="1"/>
  <c r="AA20" i="59"/>
  <c r="AG10" i="46"/>
  <c r="E20" i="59"/>
  <c r="Y17" i="59"/>
  <c r="Z17" i="59" s="1"/>
  <c r="AB15" i="59"/>
  <c r="AB14" i="59"/>
  <c r="Y12" i="59"/>
  <c r="Z12" i="59" s="1"/>
  <c r="AA8" i="59"/>
  <c r="S18" i="35"/>
  <c r="D50" i="59"/>
  <c r="Y21" i="59"/>
  <c r="Z21" i="59" s="1"/>
  <c r="X24" i="59"/>
  <c r="Y27" i="59"/>
  <c r="Z27" i="59" s="1"/>
  <c r="X29" i="59"/>
  <c r="AA30" i="59"/>
  <c r="AB20" i="59"/>
  <c r="AA17" i="59"/>
  <c r="AB13" i="59"/>
  <c r="AA12" i="59"/>
  <c r="AB8" i="59"/>
  <c r="AA6" i="59"/>
  <c r="G1" i="73"/>
  <c r="G1" i="75"/>
  <c r="G1" i="74"/>
  <c r="G1" i="76"/>
  <c r="S18" i="36"/>
  <c r="AA21" i="59"/>
  <c r="Y24" i="59"/>
  <c r="Z24" i="59" s="1"/>
  <c r="AA27" i="59"/>
  <c r="AB30" i="59"/>
  <c r="Z10" i="46"/>
  <c r="C20" i="59"/>
  <c r="AB17" i="59"/>
  <c r="AB12" i="59"/>
  <c r="AA5" i="59"/>
  <c r="AA24" i="59"/>
  <c r="Y29" i="59"/>
  <c r="Z29" i="59" s="1"/>
  <c r="X17" i="59"/>
  <c r="X11" i="59"/>
  <c r="AA7" i="59"/>
  <c r="AB21" i="59"/>
  <c r="Y31" i="59"/>
  <c r="Z31" i="59" s="1"/>
  <c r="AA18" i="59"/>
  <c r="X16" i="59"/>
  <c r="X10" i="59"/>
  <c r="Y6" i="59"/>
  <c r="Z6" i="59" s="1"/>
  <c r="X22" i="59"/>
  <c r="AA25" i="59"/>
  <c r="Y28" i="59"/>
  <c r="Z28" i="59" s="1"/>
  <c r="AA31" i="59"/>
  <c r="Q57" i="59"/>
  <c r="B19" i="59"/>
  <c r="B18" i="59" s="1"/>
  <c r="X18" i="59"/>
  <c r="Y16" i="59"/>
  <c r="Z16" i="59" s="1"/>
  <c r="Y11" i="59"/>
  <c r="Z11" i="59" s="1"/>
  <c r="Y5" i="59"/>
  <c r="Z5" i="59" s="1"/>
  <c r="AA31" i="39"/>
  <c r="AB3" i="59"/>
  <c r="Y22" i="59"/>
  <c r="Z22" i="59" s="1"/>
  <c r="AA28" i="59"/>
  <c r="B59" i="59"/>
  <c r="K76" i="9"/>
  <c r="K77" i="9" s="1"/>
  <c r="K79" i="9" s="1"/>
  <c r="K81" i="9" s="1"/>
  <c r="AB19" i="59"/>
  <c r="AA16" i="59"/>
  <c r="X14" i="59"/>
  <c r="Y10" i="59"/>
  <c r="Z10" i="59" s="1"/>
  <c r="X9" i="59"/>
  <c r="Y7" i="59"/>
  <c r="Z7" i="59" s="1"/>
  <c r="D38" i="59"/>
  <c r="AA3" i="59"/>
  <c r="AA22" i="59"/>
  <c r="AB25" i="59"/>
  <c r="AB28" i="59"/>
  <c r="E30" i="59"/>
  <c r="E31" i="59" s="1"/>
  <c r="E32" i="59" s="1"/>
  <c r="U32" i="59" s="1"/>
  <c r="AA19" i="59"/>
  <c r="AB16" i="59"/>
  <c r="X13" i="59"/>
  <c r="AA11" i="59"/>
  <c r="Y9" i="59"/>
  <c r="Z9" i="59" s="1"/>
  <c r="C31" i="39"/>
  <c r="Y19" i="59"/>
  <c r="Z19" i="59" s="1"/>
  <c r="Y14" i="59"/>
  <c r="Z14" i="59" s="1"/>
  <c r="AA10" i="59"/>
  <c r="AA9" i="59"/>
  <c r="X6" i="59"/>
  <c r="X23" i="59"/>
  <c r="Y26" i="59"/>
  <c r="Z26" i="59" s="1"/>
  <c r="X19" i="59"/>
  <c r="X15" i="59"/>
  <c r="Y13" i="59"/>
  <c r="Z13" i="59" s="1"/>
  <c r="AB11" i="59"/>
  <c r="AB9" i="59"/>
  <c r="B22" i="59"/>
  <c r="B23" i="59" s="1"/>
  <c r="B24" i="59" s="1"/>
  <c r="S24" i="59" s="1"/>
  <c r="Y23" i="59"/>
  <c r="Z23" i="59" s="1"/>
  <c r="X25" i="59"/>
  <c r="AA26" i="59"/>
  <c r="AB29" i="59"/>
  <c r="X20" i="59"/>
  <c r="Y18" i="59"/>
  <c r="Z18" i="59" s="1"/>
  <c r="Y15" i="59"/>
  <c r="Z15" i="59" s="1"/>
  <c r="AA14" i="59"/>
  <c r="AB10" i="59"/>
  <c r="X8" i="59"/>
  <c r="AB5" i="59"/>
  <c r="X7" i="59"/>
  <c r="G13" i="3"/>
  <c r="M7" i="1"/>
  <c r="M10" i="1"/>
  <c r="M9" i="1"/>
  <c r="O9" i="1" s="1"/>
  <c r="P9" i="1" s="1"/>
  <c r="M8" i="1"/>
  <c r="O8" i="1" s="1"/>
  <c r="P8" i="1" s="1"/>
  <c r="S19" i="34"/>
  <c r="F124" i="34"/>
  <c r="G124" i="34" s="1"/>
  <c r="H124" i="34" s="1"/>
  <c r="I124" i="34" s="1"/>
  <c r="J124" i="34" s="1"/>
  <c r="K124" i="34" s="1"/>
  <c r="L124" i="34" s="1"/>
  <c r="M124" i="34" s="1"/>
  <c r="S46" i="33"/>
  <c r="M20" i="15"/>
  <c r="F36" i="44"/>
  <c r="F86" i="34"/>
  <c r="G86" i="34" s="1"/>
  <c r="F23" i="34"/>
  <c r="J23" i="34"/>
  <c r="AC23" i="34" s="1"/>
  <c r="H23" i="34"/>
  <c r="AB23" i="34" s="1"/>
  <c r="S46" i="34"/>
  <c r="W46" i="34"/>
  <c r="U46" i="34"/>
  <c r="M18" i="15"/>
  <c r="F31" i="43"/>
  <c r="C31" i="43" s="1"/>
  <c r="F29" i="12"/>
  <c r="F71" i="9"/>
  <c r="E29" i="6"/>
  <c r="L19" i="6" s="1"/>
  <c r="L27" i="6" s="1"/>
  <c r="F30" i="6"/>
  <c r="N16" i="4"/>
  <c r="L16" i="4"/>
  <c r="AP7" i="1"/>
  <c r="AB45" i="33"/>
  <c r="W46" i="33"/>
  <c r="W43" i="33"/>
  <c r="AB43" i="33"/>
  <c r="AB42" i="33"/>
  <c r="S42" i="33"/>
  <c r="S39" i="33"/>
  <c r="S38" i="33"/>
  <c r="AB41" i="33"/>
  <c r="W40" i="33"/>
  <c r="W41" i="33"/>
  <c r="AB34" i="33"/>
  <c r="AC35" i="33"/>
  <c r="U35" i="33"/>
  <c r="S35" i="33"/>
  <c r="G111" i="33"/>
  <c r="H111" i="33" s="1"/>
  <c r="I111" i="33" s="1"/>
  <c r="J111" i="33" s="1"/>
  <c r="K111" i="33" s="1"/>
  <c r="L111" i="33" s="1"/>
  <c r="M111" i="33" s="1"/>
  <c r="W34" i="33"/>
  <c r="AA45" i="33"/>
  <c r="AC45" i="33"/>
  <c r="AA44" i="33"/>
  <c r="AB44" i="33"/>
  <c r="AA34" i="33"/>
  <c r="S32" i="33"/>
  <c r="U32" i="33"/>
  <c r="W32" i="33"/>
  <c r="AC26" i="33"/>
  <c r="W26" i="33"/>
  <c r="S29" i="33"/>
  <c r="AA27" i="33"/>
  <c r="U25" i="33"/>
  <c r="AA25" i="33"/>
  <c r="AC25" i="33"/>
  <c r="AC23" i="33"/>
  <c r="S23" i="33"/>
  <c r="AB23" i="33"/>
  <c r="AC19" i="33"/>
  <c r="U19" i="33"/>
  <c r="AB17" i="33"/>
  <c r="AA17" i="33"/>
  <c r="W17" i="33"/>
  <c r="AB15" i="33"/>
  <c r="AB11" i="33"/>
  <c r="W10" i="33"/>
  <c r="S10" i="33"/>
  <c r="AB10" i="33"/>
  <c r="AC45" i="34"/>
  <c r="W44" i="34"/>
  <c r="AA44" i="34"/>
  <c r="AA33" i="34"/>
  <c r="W36" i="34"/>
  <c r="AB41" i="34"/>
  <c r="AC40" i="34"/>
  <c r="AA40" i="34"/>
  <c r="G112" i="34"/>
  <c r="H112" i="34" s="1"/>
  <c r="I112" i="34" s="1"/>
  <c r="J112" i="34" s="1"/>
  <c r="K112" i="34" s="1"/>
  <c r="L112" i="34" s="1"/>
  <c r="M112" i="34" s="1"/>
  <c r="AC41" i="34"/>
  <c r="AA45" i="34"/>
  <c r="AB36" i="34"/>
  <c r="AA36" i="34"/>
  <c r="AC35" i="34"/>
  <c r="W33" i="34"/>
  <c r="S28" i="34"/>
  <c r="AA28" i="34"/>
  <c r="U28" i="34"/>
  <c r="AC32" i="34"/>
  <c r="S32" i="34"/>
  <c r="AC30" i="34"/>
  <c r="U31" i="34"/>
  <c r="S17" i="34"/>
  <c r="U15" i="34"/>
  <c r="W19" i="34"/>
  <c r="S21" i="34"/>
  <c r="U19" i="34"/>
  <c r="U17" i="34"/>
  <c r="W17" i="34"/>
  <c r="W15" i="34"/>
  <c r="W12" i="34"/>
  <c r="AC12" i="34"/>
  <c r="W14" i="34"/>
  <c r="AC14" i="34"/>
  <c r="AC13" i="34"/>
  <c r="H14" i="34"/>
  <c r="F14" i="34"/>
  <c r="F12" i="34"/>
  <c r="H12" i="34"/>
  <c r="AC11" i="34"/>
  <c r="W10" i="34"/>
  <c r="S10" i="34"/>
  <c r="U10" i="34"/>
  <c r="U9" i="34"/>
  <c r="S9" i="34"/>
  <c r="W9" i="34"/>
  <c r="U17" i="21"/>
  <c r="G113" i="21"/>
  <c r="H113" i="21" s="1"/>
  <c r="W43" i="21"/>
  <c r="S45" i="21"/>
  <c r="S46" i="21"/>
  <c r="AA41" i="21"/>
  <c r="AA40" i="21"/>
  <c r="AA38" i="21"/>
  <c r="AC36" i="21"/>
  <c r="AC34" i="21"/>
  <c r="AB33" i="21"/>
  <c r="W44" i="21"/>
  <c r="S44" i="21"/>
  <c r="AB44" i="21"/>
  <c r="U40" i="21"/>
  <c r="AC40" i="21"/>
  <c r="U38" i="21"/>
  <c r="AA36" i="21"/>
  <c r="W42" i="21"/>
  <c r="S42" i="21"/>
  <c r="AB32" i="21"/>
  <c r="W32" i="21"/>
  <c r="AB28" i="21"/>
  <c r="U28" i="21"/>
  <c r="W29" i="21"/>
  <c r="S27" i="21"/>
  <c r="U27" i="21"/>
  <c r="W25" i="21"/>
  <c r="AB25" i="21"/>
  <c r="AB30" i="21"/>
  <c r="F28" i="21"/>
  <c r="AC23" i="21"/>
  <c r="U23" i="21"/>
  <c r="S23" i="21"/>
  <c r="S19" i="21"/>
  <c r="AA17" i="21"/>
  <c r="AB15" i="21"/>
  <c r="AA15" i="21"/>
  <c r="S21" i="21"/>
  <c r="U19" i="21"/>
  <c r="W17" i="21"/>
  <c r="W15" i="21"/>
  <c r="B54" i="46"/>
  <c r="S12" i="21"/>
  <c r="AA12" i="21"/>
  <c r="AB13" i="21"/>
  <c r="AB10" i="21"/>
  <c r="AA9" i="21"/>
  <c r="W9" i="21"/>
  <c r="C67" i="40"/>
  <c r="D65" i="40"/>
  <c r="D70" i="39"/>
  <c r="C72" i="39"/>
  <c r="W8" i="21"/>
  <c r="G17" i="46"/>
  <c r="C16" i="46" s="1"/>
  <c r="D5" i="46" s="1"/>
  <c r="BL13" i="3"/>
  <c r="AZ13" i="3" s="1"/>
  <c r="H12" i="48"/>
  <c r="G6" i="1"/>
  <c r="I20" i="46"/>
  <c r="L48" i="35"/>
  <c r="M48" i="35" s="1"/>
  <c r="N48" i="35" s="1"/>
  <c r="O48" i="35" s="1"/>
  <c r="I46" i="36"/>
  <c r="J46" i="36" s="1"/>
  <c r="K46" i="36" s="1"/>
  <c r="L46" i="36" s="1"/>
  <c r="M46" i="36" s="1"/>
  <c r="N46" i="36" s="1"/>
  <c r="O46" i="36" s="1"/>
  <c r="F7" i="36"/>
  <c r="L52" i="37"/>
  <c r="M52" i="37" s="1"/>
  <c r="N52" i="37" s="1"/>
  <c r="O52" i="37" s="1"/>
  <c r="H7" i="36"/>
  <c r="D58" i="33"/>
  <c r="D58" i="21"/>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E10" i="6"/>
  <c r="C5" i="46"/>
  <c r="E12" i="52"/>
  <c r="B15" i="52"/>
  <c r="F31" i="15"/>
  <c r="F33" i="44"/>
  <c r="E8" i="59"/>
  <c r="B8"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Q73" i="44"/>
  <c r="C29" i="44"/>
  <c r="C27" i="15"/>
  <c r="F70"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C4" i="65"/>
  <c r="B39" i="1" s="1"/>
  <c r="M6" i="15"/>
  <c r="I4" i="65"/>
  <c r="F36" i="15"/>
  <c r="F37" i="15"/>
  <c r="M29" i="86"/>
  <c r="L47" i="15"/>
  <c r="M24" i="15"/>
  <c r="F13" i="15"/>
  <c r="M28" i="15"/>
  <c r="F9" i="44"/>
  <c r="I5" i="65"/>
  <c r="M29" i="15"/>
  <c r="F38" i="15"/>
  <c r="F9" i="15"/>
  <c r="M23" i="15"/>
  <c r="F18" i="44"/>
  <c r="F43" i="86"/>
  <c r="F16" i="15"/>
  <c r="F40" i="15"/>
  <c r="M26" i="15"/>
  <c r="J7" i="65"/>
  <c r="M31" i="44"/>
  <c r="F8" i="15"/>
  <c r="J5" i="65"/>
  <c r="J36" i="15"/>
  <c r="I6" i="65"/>
  <c r="F42" i="15"/>
  <c r="J6" i="65"/>
  <c r="F70" i="86" l="1"/>
  <c r="M12" i="1"/>
  <c r="M11" i="86"/>
  <c r="J10" i="86" s="1"/>
  <c r="J5" i="86" s="1"/>
  <c r="F11" i="86"/>
  <c r="O12" i="1"/>
  <c r="P12" i="1" s="1"/>
  <c r="C8" i="44"/>
  <c r="M9" i="44"/>
  <c r="J8" i="44" s="1"/>
  <c r="J20" i="44" s="1"/>
  <c r="M13" i="1"/>
  <c r="E14" i="6"/>
  <c r="F67" i="15"/>
  <c r="F64" i="15"/>
  <c r="Q72" i="15"/>
  <c r="F63" i="15"/>
  <c r="F65" i="15"/>
  <c r="E28" i="6"/>
  <c r="K14" i="1" s="1"/>
  <c r="M14" i="1" s="1"/>
  <c r="O14" i="1" s="1"/>
  <c r="P14" i="1" s="1"/>
  <c r="G30" i="6"/>
  <c r="G31" i="6" s="1"/>
  <c r="AZ387" i="3"/>
  <c r="AZ417" i="3"/>
  <c r="W23" i="34"/>
  <c r="AZ194" i="3"/>
  <c r="AZ74" i="3"/>
  <c r="AZ186" i="3"/>
  <c r="AZ292" i="3"/>
  <c r="AZ30" i="3"/>
  <c r="AZ72" i="3"/>
  <c r="AZ152" i="3"/>
  <c r="AZ396" i="3"/>
  <c r="AZ265" i="3"/>
  <c r="AZ454" i="3"/>
  <c r="AZ449" i="3"/>
  <c r="AZ445" i="3"/>
  <c r="AZ529" i="3"/>
  <c r="J36" i="33"/>
  <c r="AZ180" i="3"/>
  <c r="AZ58" i="3"/>
  <c r="AZ276" i="3"/>
  <c r="AZ144" i="3"/>
  <c r="AZ296" i="3"/>
  <c r="AZ234" i="3"/>
  <c r="AZ210" i="3"/>
  <c r="D63" i="59"/>
  <c r="C62" i="59"/>
  <c r="D62" i="59" s="1"/>
  <c r="O58" i="59"/>
  <c r="O57" i="59"/>
  <c r="D58" i="59"/>
  <c r="AP11" i="1"/>
  <c r="G11" i="1"/>
  <c r="D15" i="59"/>
  <c r="C14" i="59"/>
  <c r="C10" i="81"/>
  <c r="P6" i="81"/>
  <c r="AZ567" i="3"/>
  <c r="H7" i="35"/>
  <c r="AZ79" i="3"/>
  <c r="AZ167" i="3"/>
  <c r="AZ35" i="3"/>
  <c r="AZ39" i="3"/>
  <c r="AZ369" i="3"/>
  <c r="AZ77" i="3"/>
  <c r="AZ102" i="3"/>
  <c r="AZ182" i="3"/>
  <c r="AZ183" i="3"/>
  <c r="AZ29" i="3"/>
  <c r="AZ129" i="3"/>
  <c r="AZ176" i="3"/>
  <c r="AZ478" i="3"/>
  <c r="AZ395" i="3"/>
  <c r="AZ414" i="3"/>
  <c r="AZ503" i="3"/>
  <c r="AZ415" i="3"/>
  <c r="AZ392" i="3"/>
  <c r="AP9" i="1"/>
  <c r="G9" i="1"/>
  <c r="AA25" i="37"/>
  <c r="S25" i="37"/>
  <c r="D1" i="57"/>
  <c r="E10" i="57" s="1"/>
  <c r="C29" i="57"/>
  <c r="C27" i="57" s="1"/>
  <c r="F11" i="78"/>
  <c r="M11" i="78"/>
  <c r="J10" i="78" s="1"/>
  <c r="J1" i="65"/>
  <c r="I1" i="65"/>
  <c r="F50" i="15"/>
  <c r="C48" i="15" s="1"/>
  <c r="L59" i="15"/>
  <c r="Q62" i="15" s="1"/>
  <c r="L58" i="15"/>
  <c r="Q61" i="15" s="1"/>
  <c r="C70" i="59"/>
  <c r="D70" i="59" s="1"/>
  <c r="D71" i="59"/>
  <c r="AZ104" i="3"/>
  <c r="AZ476" i="3"/>
  <c r="AZ405" i="3"/>
  <c r="AC44" i="33"/>
  <c r="W44" i="33"/>
  <c r="U39" i="37"/>
  <c r="AB39" i="37"/>
  <c r="AA14" i="33"/>
  <c r="S14" i="33"/>
  <c r="W45" i="21"/>
  <c r="AC45" i="21"/>
  <c r="AB30" i="33"/>
  <c r="U30" i="33"/>
  <c r="AZ116" i="3"/>
  <c r="AZ295" i="3"/>
  <c r="AZ399" i="3"/>
  <c r="AZ421" i="3"/>
  <c r="AZ254" i="3"/>
  <c r="AZ469" i="3"/>
  <c r="AZ474" i="3"/>
  <c r="AZ403" i="3"/>
  <c r="U12" i="36"/>
  <c r="AB12" i="36"/>
  <c r="AC31" i="34"/>
  <c r="W31" i="34"/>
  <c r="AA43" i="21"/>
  <c r="AZ41" i="3"/>
  <c r="AZ256" i="3"/>
  <c r="AZ90" i="3"/>
  <c r="C48" i="59"/>
  <c r="D47" i="59"/>
  <c r="AZ290" i="3"/>
  <c r="AZ459" i="3"/>
  <c r="AZ473" i="3"/>
  <c r="W12" i="36"/>
  <c r="AC12" i="36"/>
  <c r="AC19" i="21"/>
  <c r="AZ450" i="3"/>
  <c r="U12" i="21"/>
  <c r="AB12" i="21"/>
  <c r="AZ103" i="3"/>
  <c r="S30" i="21"/>
  <c r="AA30" i="21"/>
  <c r="AA26" i="33"/>
  <c r="S26" i="33"/>
  <c r="G16" i="1"/>
  <c r="H12" i="39" s="1"/>
  <c r="AB12" i="39" s="1"/>
  <c r="J7" i="36"/>
  <c r="AC7" i="36" s="1"/>
  <c r="V36" i="36" s="1"/>
  <c r="I36" i="36" s="1"/>
  <c r="BL5" i="3"/>
  <c r="AZ92" i="3"/>
  <c r="AZ110" i="3"/>
  <c r="AZ207" i="3"/>
  <c r="AZ257" i="3"/>
  <c r="AZ160" i="3"/>
  <c r="AZ269" i="3"/>
  <c r="AZ26" i="3"/>
  <c r="AZ281" i="3"/>
  <c r="AZ141" i="3"/>
  <c r="AZ263" i="3"/>
  <c r="AZ223" i="3"/>
  <c r="AZ448" i="3"/>
  <c r="AZ391" i="3"/>
  <c r="AZ225" i="3"/>
  <c r="AZ394" i="3"/>
  <c r="U12" i="33"/>
  <c r="AB12" i="33"/>
  <c r="W46" i="21"/>
  <c r="AC46" i="21"/>
  <c r="D21" i="12"/>
  <c r="C21" i="12" s="1"/>
  <c r="AZ229" i="3"/>
  <c r="AZ418" i="3"/>
  <c r="AZ389" i="3"/>
  <c r="AZ470" i="3"/>
  <c r="AA28" i="37"/>
  <c r="S28" i="37"/>
  <c r="E15" i="6"/>
  <c r="E67" i="39" s="1"/>
  <c r="U9" i="33"/>
  <c r="AP16" i="1"/>
  <c r="F22" i="11" s="1"/>
  <c r="E12" i="6"/>
  <c r="E59" i="40" s="1"/>
  <c r="E8" i="6"/>
  <c r="F27" i="6" s="1"/>
  <c r="F31" i="6" s="1"/>
  <c r="AZ241" i="3"/>
  <c r="AZ230" i="3"/>
  <c r="AZ274" i="3"/>
  <c r="AZ40" i="3"/>
  <c r="AZ410" i="3"/>
  <c r="U45" i="21"/>
  <c r="AB45" i="21"/>
  <c r="U28" i="37"/>
  <c r="AB28" i="37"/>
  <c r="F7" i="35"/>
  <c r="S7" i="35" s="1"/>
  <c r="U42" i="21"/>
  <c r="F37" i="34"/>
  <c r="AZ46" i="3"/>
  <c r="AZ88" i="3"/>
  <c r="AZ59" i="3"/>
  <c r="AZ106" i="3"/>
  <c r="AZ268" i="3"/>
  <c r="AZ80" i="3"/>
  <c r="AZ249" i="3"/>
  <c r="AZ422" i="3"/>
  <c r="AZ441" i="3"/>
  <c r="AZ273" i="3"/>
  <c r="S31" i="34"/>
  <c r="AA31" i="34"/>
  <c r="AB32" i="34"/>
  <c r="U32" i="34"/>
  <c r="AC28" i="37"/>
  <c r="W28" i="37"/>
  <c r="AZ45" i="3"/>
  <c r="AZ252" i="3"/>
  <c r="AZ286" i="3"/>
  <c r="AB12" i="37"/>
  <c r="U12" i="37"/>
  <c r="E13" i="6"/>
  <c r="J7" i="35"/>
  <c r="AC7" i="35" s="1"/>
  <c r="V38" i="35" s="1"/>
  <c r="I38" i="35" s="1"/>
  <c r="AZ64" i="3"/>
  <c r="AZ472" i="3"/>
  <c r="AZ220" i="3"/>
  <c r="AZ319" i="3"/>
  <c r="AZ388" i="3"/>
  <c r="AZ291" i="3"/>
  <c r="AZ68" i="3"/>
  <c r="AZ246" i="3"/>
  <c r="AZ171" i="3"/>
  <c r="AZ442" i="3"/>
  <c r="AZ401" i="3"/>
  <c r="AZ439" i="3"/>
  <c r="AZ294" i="3"/>
  <c r="AZ419" i="3"/>
  <c r="AZ261" i="3"/>
  <c r="AB24" i="36"/>
  <c r="U24" i="36"/>
  <c r="AC23" i="36"/>
  <c r="W23" i="36"/>
  <c r="AC14" i="33"/>
  <c r="W14" i="33"/>
  <c r="AC30" i="33"/>
  <c r="W30" i="33"/>
  <c r="AC12" i="37"/>
  <c r="W12" i="37"/>
  <c r="AZ434" i="3"/>
  <c r="AA23" i="36"/>
  <c r="S23" i="36"/>
  <c r="S30" i="33"/>
  <c r="AA30" i="33"/>
  <c r="AA12" i="37"/>
  <c r="S12" i="37"/>
  <c r="E20" i="46"/>
  <c r="M28" i="46" s="1"/>
  <c r="C56" i="59"/>
  <c r="D55" i="59"/>
  <c r="AB36" i="21"/>
  <c r="J37" i="34"/>
  <c r="AC37" i="34" s="1"/>
  <c r="H36" i="33"/>
  <c r="AB36" i="33" s="1"/>
  <c r="AZ87" i="3"/>
  <c r="AZ275" i="3"/>
  <c r="AZ237" i="3"/>
  <c r="AC34" i="35"/>
  <c r="W34" i="35"/>
  <c r="U27" i="33"/>
  <c r="AB27" i="33"/>
  <c r="O13" i="1"/>
  <c r="P13" i="1" s="1"/>
  <c r="W12" i="35"/>
  <c r="AC12" i="35"/>
  <c r="B7" i="59"/>
  <c r="B6" i="59" s="1"/>
  <c r="B5" i="59" s="1"/>
  <c r="S8" i="59"/>
  <c r="F36" i="33"/>
  <c r="H37" i="34"/>
  <c r="AB37" i="34" s="1"/>
  <c r="S9" i="33"/>
  <c r="U20" i="59"/>
  <c r="E19" i="59"/>
  <c r="E18" i="59" s="1"/>
  <c r="AZ203" i="3"/>
  <c r="AZ50" i="3"/>
  <c r="AA15" i="33"/>
  <c r="S15" i="33"/>
  <c r="W42" i="33"/>
  <c r="AZ222" i="3"/>
  <c r="AZ386" i="3"/>
  <c r="W28" i="33"/>
  <c r="AC28" i="33"/>
  <c r="AZ335" i="3"/>
  <c r="U14" i="21"/>
  <c r="AB14" i="21"/>
  <c r="E11" i="6"/>
  <c r="E63" i="39" s="1"/>
  <c r="U43" i="21"/>
  <c r="N59" i="59"/>
  <c r="B58" i="59"/>
  <c r="AZ82" i="3"/>
  <c r="AZ101" i="3"/>
  <c r="C44" i="59"/>
  <c r="D43" i="59"/>
  <c r="W14" i="37"/>
  <c r="AC14" i="37"/>
  <c r="H43" i="34"/>
  <c r="AZ100" i="3"/>
  <c r="AZ24" i="3"/>
  <c r="AZ21" i="3"/>
  <c r="BA5" i="3"/>
  <c r="AA14" i="21"/>
  <c r="S14" i="21"/>
  <c r="AA24" i="35"/>
  <c r="S24" i="35"/>
  <c r="J37" i="21"/>
  <c r="F43" i="34"/>
  <c r="AZ91" i="3"/>
  <c r="AZ69" i="3"/>
  <c r="T36" i="59"/>
  <c r="D36" i="59"/>
  <c r="AZ23" i="3"/>
  <c r="AA26" i="37"/>
  <c r="S26" i="37"/>
  <c r="F7" i="59"/>
  <c r="F6" i="59" s="1"/>
  <c r="F5" i="59" s="1"/>
  <c r="V8" i="59"/>
  <c r="H16" i="1"/>
  <c r="J43" i="34"/>
  <c r="D52" i="59"/>
  <c r="T52" i="59"/>
  <c r="AB23" i="36"/>
  <c r="U23" i="36"/>
  <c r="U12" i="35"/>
  <c r="AB12" i="35"/>
  <c r="AB26" i="37"/>
  <c r="U26" i="37"/>
  <c r="C32" i="59"/>
  <c r="D31" i="59"/>
  <c r="AB9" i="36"/>
  <c r="U9" i="36"/>
  <c r="AA12" i="35"/>
  <c r="S12" i="35"/>
  <c r="AC26" i="37"/>
  <c r="W26" i="37"/>
  <c r="E7" i="59"/>
  <c r="E6" i="59" s="1"/>
  <c r="E5" i="59" s="1"/>
  <c r="U8" i="59"/>
  <c r="T20" i="59"/>
  <c r="C19" i="59"/>
  <c r="D20" i="59"/>
  <c r="P57" i="59"/>
  <c r="P58" i="59"/>
  <c r="T28" i="59"/>
  <c r="D28" i="59"/>
  <c r="AZ60" i="3"/>
  <c r="AZ78" i="3"/>
  <c r="AZ251" i="3"/>
  <c r="AC9" i="36"/>
  <c r="W9" i="36"/>
  <c r="S34" i="35"/>
  <c r="AA34" i="35"/>
  <c r="AC9" i="33"/>
  <c r="W9" i="33"/>
  <c r="AC27" i="33"/>
  <c r="W27" i="33"/>
  <c r="G5" i="3"/>
  <c r="B3" i="3" s="1"/>
  <c r="O10" i="1"/>
  <c r="P10" i="1" s="1"/>
  <c r="O7" i="1"/>
  <c r="P7" i="1" s="1"/>
  <c r="F11" i="76"/>
  <c r="M11" i="76"/>
  <c r="J10" i="76" s="1"/>
  <c r="F11" i="75"/>
  <c r="M11" i="75"/>
  <c r="J10" i="75" s="1"/>
  <c r="F11" i="74"/>
  <c r="M11" i="74"/>
  <c r="J10" i="74" s="1"/>
  <c r="F11" i="73"/>
  <c r="M11" i="73"/>
  <c r="J10" i="73" s="1"/>
  <c r="AA23" i="34"/>
  <c r="S23" i="34"/>
  <c r="U23" i="34"/>
  <c r="K15" i="1"/>
  <c r="K16" i="1" s="1"/>
  <c r="E30" i="6"/>
  <c r="K17" i="4"/>
  <c r="A22" i="51" s="1"/>
  <c r="B16" i="63" s="1"/>
  <c r="S36" i="33"/>
  <c r="AA36" i="33"/>
  <c r="W37" i="34"/>
  <c r="AA37" i="34"/>
  <c r="S37" i="34"/>
  <c r="U37" i="34"/>
  <c r="S12" i="34"/>
  <c r="AA12" i="34"/>
  <c r="U14" i="34"/>
  <c r="AB14" i="34"/>
  <c r="U12" i="34"/>
  <c r="AB12" i="34"/>
  <c r="AA14" i="34"/>
  <c r="S14" i="34"/>
  <c r="W37" i="21"/>
  <c r="AC37" i="21"/>
  <c r="H37" i="21"/>
  <c r="F37" i="21"/>
  <c r="AA28" i="21"/>
  <c r="S28" i="21"/>
  <c r="D67" i="40"/>
  <c r="E65" i="40"/>
  <c r="F7" i="37"/>
  <c r="AA7" i="37" s="1"/>
  <c r="R42" i="37" s="1"/>
  <c r="E70" i="39"/>
  <c r="D72" i="39"/>
  <c r="J7" i="37"/>
  <c r="AC7" i="37" s="1"/>
  <c r="V42" i="37" s="1"/>
  <c r="I42" i="37" s="1"/>
  <c r="H7" i="37"/>
  <c r="AB7" i="37" s="1"/>
  <c r="T42" i="37" s="1"/>
  <c r="G42" i="37" s="1"/>
  <c r="J12" i="40"/>
  <c r="AC12" i="40" s="1"/>
  <c r="AB7" i="36"/>
  <c r="T36" i="36" s="1"/>
  <c r="G36" i="36" s="1"/>
  <c r="U7" i="36"/>
  <c r="S7" i="36"/>
  <c r="AA7" i="36"/>
  <c r="R36" i="36" s="1"/>
  <c r="E59" i="34"/>
  <c r="E58" i="21"/>
  <c r="E58" i="33"/>
  <c r="W7" i="36"/>
  <c r="U7" i="35"/>
  <c r="AB7" i="35"/>
  <c r="T38" i="35" s="1"/>
  <c r="G38" i="35" s="1"/>
  <c r="J12" i="39"/>
  <c r="AC12" i="39" s="1"/>
  <c r="E61" i="40"/>
  <c r="E66" i="39"/>
  <c r="M19" i="44"/>
  <c r="C19" i="46"/>
  <c r="M13" i="44"/>
  <c r="J12" i="44" s="1"/>
  <c r="F11" i="15"/>
  <c r="M11" i="15"/>
  <c r="J10" i="15" s="1"/>
  <c r="F13" i="44"/>
  <c r="C12" i="44" s="1"/>
  <c r="Q75" i="44"/>
  <c r="Q62" i="44"/>
  <c r="F1" i="44"/>
  <c r="Q54" i="44"/>
  <c r="Q63" i="44"/>
  <c r="Q76" i="44"/>
  <c r="C34" i="44"/>
  <c r="F1" i="15"/>
  <c r="Q53" i="15"/>
  <c r="J6" i="15"/>
  <c r="C7" i="44" l="1"/>
  <c r="J7" i="44"/>
  <c r="J26" i="44" s="1"/>
  <c r="C52" i="86"/>
  <c r="C47" i="86" s="1"/>
  <c r="C10" i="86"/>
  <c r="C5" i="86" s="1"/>
  <c r="J24" i="86"/>
  <c r="J26" i="86"/>
  <c r="E27" i="6"/>
  <c r="K20" i="6" s="1"/>
  <c r="H12" i="40"/>
  <c r="U12" i="40" s="1"/>
  <c r="U36" i="33"/>
  <c r="AZ5" i="3"/>
  <c r="E3" i="6" s="1"/>
  <c r="D44" i="9" s="1"/>
  <c r="D14" i="59"/>
  <c r="C13" i="59"/>
  <c r="W36" i="33"/>
  <c r="AC36" i="33"/>
  <c r="U12" i="39"/>
  <c r="F12" i="39"/>
  <c r="S12" i="39" s="1"/>
  <c r="F12" i="40"/>
  <c r="S12" i="40" s="1"/>
  <c r="C31" i="57"/>
  <c r="C30" i="57"/>
  <c r="C32" i="57"/>
  <c r="C52" i="78"/>
  <c r="Q74" i="15"/>
  <c r="Q75" i="15"/>
  <c r="E64" i="39"/>
  <c r="E16" i="6"/>
  <c r="E58" i="40"/>
  <c r="E58" i="39"/>
  <c r="E53" i="40"/>
  <c r="E62" i="40"/>
  <c r="E65" i="39"/>
  <c r="N28" i="46"/>
  <c r="E60" i="40"/>
  <c r="W7" i="35"/>
  <c r="AA7" i="35"/>
  <c r="R38" i="35" s="1"/>
  <c r="T48" i="59"/>
  <c r="D48" i="59"/>
  <c r="O28" i="46"/>
  <c r="G20" i="46" s="1"/>
  <c r="E41" i="46" s="1"/>
  <c r="C41" i="46" s="1"/>
  <c r="P28" i="46"/>
  <c r="U7" i="37"/>
  <c r="S7" i="37"/>
  <c r="W7" i="37"/>
  <c r="T32" i="59"/>
  <c r="D32" i="59"/>
  <c r="AC43" i="34"/>
  <c r="W43" i="34"/>
  <c r="T44" i="59"/>
  <c r="D44" i="59"/>
  <c r="D56" i="59"/>
  <c r="T56" i="59"/>
  <c r="N57" i="59"/>
  <c r="N58" i="59"/>
  <c r="D19" i="59"/>
  <c r="C18" i="59"/>
  <c r="D18" i="59" s="1"/>
  <c r="AA43" i="34"/>
  <c r="S43" i="34"/>
  <c r="AB43" i="34"/>
  <c r="U43" i="34"/>
  <c r="E31" i="6"/>
  <c r="K19" i="6"/>
  <c r="K23" i="6"/>
  <c r="M23" i="6" s="1"/>
  <c r="I23" i="6" s="1"/>
  <c r="S23" i="6" s="1"/>
  <c r="K22" i="6"/>
  <c r="M22" i="6" s="1"/>
  <c r="I22" i="6" s="1"/>
  <c r="S22" i="6" s="1"/>
  <c r="K24" i="6"/>
  <c r="K25" i="6"/>
  <c r="K26" i="6"/>
  <c r="M26" i="6" s="1"/>
  <c r="I26" i="6" s="1"/>
  <c r="S26" i="6" s="1"/>
  <c r="K21" i="6"/>
  <c r="M21" i="6" s="1"/>
  <c r="I21" i="6" s="1"/>
  <c r="S21" i="6" s="1"/>
  <c r="D8" i="11"/>
  <c r="C52" i="76"/>
  <c r="C52" i="75"/>
  <c r="C52" i="74"/>
  <c r="C52" i="73"/>
  <c r="S8" i="1"/>
  <c r="S37" i="21"/>
  <c r="AA37" i="21"/>
  <c r="U37" i="21"/>
  <c r="AB37" i="21"/>
  <c r="E72" i="39"/>
  <c r="F70" i="39"/>
  <c r="F65" i="40"/>
  <c r="E67" i="40"/>
  <c r="W12" i="40"/>
  <c r="AB12"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R37" i="36"/>
  <c r="E36" i="36"/>
  <c r="W12" i="39"/>
  <c r="D16" i="12"/>
  <c r="J18" i="15"/>
  <c r="J5" i="15"/>
  <c r="C40" i="44"/>
  <c r="J28" i="44"/>
  <c r="J31" i="44" s="1"/>
  <c r="C52" i="15"/>
  <c r="C47" i="15" s="1"/>
  <c r="M22" i="75"/>
  <c r="M6" i="75"/>
  <c r="M26" i="73"/>
  <c r="M26" i="78"/>
  <c r="M9" i="73"/>
  <c r="J36" i="73"/>
  <c r="C60" i="75"/>
  <c r="J36" i="78"/>
  <c r="M27" i="73"/>
  <c r="F38" i="76"/>
  <c r="C15" i="79"/>
  <c r="F13" i="78"/>
  <c r="F13" i="74"/>
  <c r="F37" i="75"/>
  <c r="F40" i="73"/>
  <c r="M8" i="74"/>
  <c r="F33" i="81"/>
  <c r="F43" i="78"/>
  <c r="L47" i="73"/>
  <c r="M27" i="74"/>
  <c r="F36" i="74"/>
  <c r="M6" i="76"/>
  <c r="M6" i="73"/>
  <c r="M8" i="75"/>
  <c r="F7" i="73"/>
  <c r="E3" i="65"/>
  <c r="F26" i="75"/>
  <c r="F37" i="78"/>
  <c r="F8" i="73"/>
  <c r="C16" i="86"/>
  <c r="M9" i="76"/>
  <c r="M29" i="75"/>
  <c r="F36" i="78"/>
  <c r="L48" i="74"/>
  <c r="L47" i="74"/>
  <c r="F16" i="76"/>
  <c r="C33" i="73"/>
  <c r="F42" i="76"/>
  <c r="F7" i="78"/>
  <c r="F26" i="78"/>
  <c r="F36" i="75"/>
  <c r="F40" i="78"/>
  <c r="L48" i="76"/>
  <c r="F9" i="73"/>
  <c r="F9" i="76"/>
  <c r="M24" i="75"/>
  <c r="F8" i="78"/>
  <c r="F37" i="73"/>
  <c r="L48" i="78"/>
  <c r="J36" i="75"/>
  <c r="M23" i="76"/>
  <c r="F38" i="78"/>
  <c r="F43" i="74"/>
  <c r="D21" i="80"/>
  <c r="F13" i="75"/>
  <c r="F9" i="75"/>
  <c r="F9" i="78"/>
  <c r="C60" i="74"/>
  <c r="M23" i="78"/>
  <c r="M22" i="78"/>
  <c r="M6" i="78"/>
  <c r="M28" i="74"/>
  <c r="M23" i="75"/>
  <c r="C18" i="44"/>
  <c r="M24" i="74"/>
  <c r="M8" i="78"/>
  <c r="M29" i="74"/>
  <c r="M28" i="73"/>
  <c r="F7" i="76"/>
  <c r="J15" i="74"/>
  <c r="F40" i="75"/>
  <c r="M27" i="78"/>
  <c r="F33" i="80"/>
  <c r="F38" i="75"/>
  <c r="F8" i="75"/>
  <c r="F16" i="74"/>
  <c r="F13" i="76"/>
  <c r="C60" i="76"/>
  <c r="F42" i="75"/>
  <c r="L47" i="78"/>
  <c r="F13" i="73"/>
  <c r="F36" i="73"/>
  <c r="C60" i="73"/>
  <c r="F16" i="78"/>
  <c r="F43" i="73"/>
  <c r="F42" i="74"/>
  <c r="M24" i="78"/>
  <c r="F43" i="76"/>
  <c r="C19" i="44"/>
  <c r="M27" i="75"/>
  <c r="M29" i="78"/>
  <c r="M29" i="73"/>
  <c r="F38" i="73"/>
  <c r="C33" i="75"/>
  <c r="M29" i="76"/>
  <c r="F38" i="74"/>
  <c r="M23" i="74"/>
  <c r="L47" i="75"/>
  <c r="J15" i="73"/>
  <c r="F7" i="74"/>
  <c r="AE6" i="1"/>
  <c r="L48" i="75"/>
  <c r="C33" i="74"/>
  <c r="F16" i="73"/>
  <c r="M28" i="75"/>
  <c r="F8" i="76"/>
  <c r="M8" i="76"/>
  <c r="F40" i="74"/>
  <c r="M28" i="78"/>
  <c r="J15" i="75"/>
  <c r="F26" i="76"/>
  <c r="M26" i="74"/>
  <c r="M6" i="74"/>
  <c r="F42" i="78"/>
  <c r="M22" i="74"/>
  <c r="F16" i="75"/>
  <c r="F8" i="74"/>
  <c r="F40" i="76"/>
  <c r="M24" i="76"/>
  <c r="C60" i="78"/>
  <c r="J15" i="78"/>
  <c r="E2" i="65"/>
  <c r="J15" i="76"/>
  <c r="F37" i="76"/>
  <c r="M23" i="73"/>
  <c r="D21" i="79"/>
  <c r="J36" i="76"/>
  <c r="D21" i="81"/>
  <c r="C15" i="80"/>
  <c r="M26" i="75"/>
  <c r="M28" i="76"/>
  <c r="M22" i="76"/>
  <c r="M9" i="74"/>
  <c r="L47" i="76"/>
  <c r="C33" i="76"/>
  <c r="L48" i="73"/>
  <c r="J36" i="74"/>
  <c r="M26" i="76"/>
  <c r="M8" i="73"/>
  <c r="M22" i="73"/>
  <c r="F42" i="73"/>
  <c r="F36" i="76"/>
  <c r="M24" i="73"/>
  <c r="F43" i="75"/>
  <c r="M27" i="76"/>
  <c r="M9" i="75"/>
  <c r="F37" i="74"/>
  <c r="M9" i="78"/>
  <c r="F7" i="75"/>
  <c r="C15" i="89" l="1"/>
  <c r="F64" i="76"/>
  <c r="F63" i="74"/>
  <c r="J57" i="73"/>
  <c r="J55" i="73" s="1"/>
  <c r="J58" i="73" s="1"/>
  <c r="Q51" i="73" s="1"/>
  <c r="J59" i="73"/>
  <c r="L56" i="73"/>
  <c r="J53" i="73"/>
  <c r="Q53" i="73" s="1"/>
  <c r="J60" i="73"/>
  <c r="Q49" i="73" s="1"/>
  <c r="I54" i="73"/>
  <c r="L60" i="73"/>
  <c r="Q58" i="73" s="1"/>
  <c r="L59" i="78"/>
  <c r="Q62" i="78" s="1"/>
  <c r="L58" i="78"/>
  <c r="Q61" i="78" s="1"/>
  <c r="F67" i="78"/>
  <c r="F70" i="78"/>
  <c r="F50" i="75"/>
  <c r="F70" i="74"/>
  <c r="C21" i="79"/>
  <c r="F65" i="74"/>
  <c r="F65" i="75"/>
  <c r="F50" i="74"/>
  <c r="F64" i="73"/>
  <c r="F64" i="74"/>
  <c r="F49" i="76"/>
  <c r="M7" i="76"/>
  <c r="J6" i="76" s="1"/>
  <c r="J18" i="76" s="1"/>
  <c r="M7" i="78"/>
  <c r="J6" i="78" s="1"/>
  <c r="J18" i="78" s="1"/>
  <c r="F49" i="78"/>
  <c r="F63" i="76"/>
  <c r="F63" i="73"/>
  <c r="L56" i="74"/>
  <c r="L60" i="74"/>
  <c r="Q67" i="74" s="1"/>
  <c r="I54" i="74"/>
  <c r="J60" i="74"/>
  <c r="Q49" i="74" s="1"/>
  <c r="J59" i="74"/>
  <c r="L57" i="74"/>
  <c r="J53" i="74"/>
  <c r="Q53" i="74" s="1"/>
  <c r="J57" i="74"/>
  <c r="J55" i="74" s="1"/>
  <c r="J58" i="74" s="1"/>
  <c r="Q51" i="74" s="1"/>
  <c r="F65" i="73"/>
  <c r="F49" i="73"/>
  <c r="M7" i="73"/>
  <c r="J6" i="73" s="1"/>
  <c r="J18" i="73" s="1"/>
  <c r="L59" i="75"/>
  <c r="Q62" i="75" s="1"/>
  <c r="L58" i="75"/>
  <c r="Q74" i="75" s="1"/>
  <c r="F50" i="73"/>
  <c r="C48" i="73" s="1"/>
  <c r="C47" i="73" s="1"/>
  <c r="C59" i="73" s="1"/>
  <c r="C21" i="81"/>
  <c r="Q72" i="75"/>
  <c r="M7" i="75"/>
  <c r="J6" i="75" s="1"/>
  <c r="J18" i="75" s="1"/>
  <c r="F49" i="75"/>
  <c r="F63" i="75"/>
  <c r="F67" i="75"/>
  <c r="F70" i="75"/>
  <c r="F67" i="73"/>
  <c r="F70" i="76"/>
  <c r="Q72" i="73"/>
  <c r="F65" i="76"/>
  <c r="C27" i="75"/>
  <c r="C34" i="81"/>
  <c r="D33" i="81" s="1"/>
  <c r="F49" i="74"/>
  <c r="C48" i="74" s="1"/>
  <c r="C47" i="74" s="1"/>
  <c r="C65" i="74" s="1"/>
  <c r="M7" i="74"/>
  <c r="J6" i="74" s="1"/>
  <c r="J18" i="74" s="1"/>
  <c r="F65" i="78"/>
  <c r="C34" i="80"/>
  <c r="D33" i="80" s="1"/>
  <c r="J59" i="76"/>
  <c r="J53" i="76"/>
  <c r="F1" i="76" s="1"/>
  <c r="J60" i="76"/>
  <c r="Q49" i="76" s="1"/>
  <c r="L56" i="76"/>
  <c r="J57" i="76"/>
  <c r="J55" i="76" s="1"/>
  <c r="J58" i="76" s="1"/>
  <c r="Q51" i="76" s="1"/>
  <c r="I54" i="76"/>
  <c r="F50" i="78"/>
  <c r="C48" i="78" s="1"/>
  <c r="C47" i="78" s="1"/>
  <c r="C21" i="80"/>
  <c r="Q72" i="74"/>
  <c r="Q72" i="78"/>
  <c r="C27" i="76"/>
  <c r="F70" i="73"/>
  <c r="L60" i="75"/>
  <c r="Q67" i="75" s="1"/>
  <c r="J60" i="75"/>
  <c r="Q49" i="75" s="1"/>
  <c r="I54" i="75"/>
  <c r="L56" i="75"/>
  <c r="L57" i="75"/>
  <c r="J53" i="75"/>
  <c r="Q53" i="75" s="1"/>
  <c r="J59" i="75"/>
  <c r="J57" i="75"/>
  <c r="J55" i="75" s="1"/>
  <c r="J58" i="75" s="1"/>
  <c r="Q51" i="75" s="1"/>
  <c r="F63" i="78"/>
  <c r="F50" i="76"/>
  <c r="C48" i="76" s="1"/>
  <c r="C47" i="76" s="1"/>
  <c r="C59" i="76" s="1"/>
  <c r="F64" i="78"/>
  <c r="Q72" i="76"/>
  <c r="J53" i="78"/>
  <c r="F1" i="78" s="1"/>
  <c r="J59" i="78"/>
  <c r="L57" i="78"/>
  <c r="L60" i="78"/>
  <c r="Q67" i="78" s="1"/>
  <c r="L56" i="78"/>
  <c r="J60" i="78"/>
  <c r="Q49" i="78" s="1"/>
  <c r="I54" i="78"/>
  <c r="J57" i="78"/>
  <c r="J55" i="78" s="1"/>
  <c r="J58" i="78" s="1"/>
  <c r="Q51" i="78" s="1"/>
  <c r="L58" i="73"/>
  <c r="Q61" i="73" s="1"/>
  <c r="L59" i="73"/>
  <c r="Q75" i="73" s="1"/>
  <c r="F67" i="76"/>
  <c r="C27" i="78"/>
  <c r="B40" i="1"/>
  <c r="F26" i="79" s="1"/>
  <c r="C27" i="79" s="1"/>
  <c r="D26" i="79" s="1"/>
  <c r="C32" i="79" s="1"/>
  <c r="D30" i="79" s="1"/>
  <c r="L58" i="76"/>
  <c r="Q61" i="76" s="1"/>
  <c r="L59" i="76"/>
  <c r="Q75" i="76" s="1"/>
  <c r="F64" i="75"/>
  <c r="L58" i="74"/>
  <c r="Q61" i="74" s="1"/>
  <c r="L59" i="74"/>
  <c r="Q75" i="74" s="1"/>
  <c r="F17" i="11"/>
  <c r="F67" i="74"/>
  <c r="F24" i="86"/>
  <c r="C24" i="86" s="1"/>
  <c r="C38" i="86"/>
  <c r="C59" i="86"/>
  <c r="C65" i="86"/>
  <c r="F26" i="81"/>
  <c r="C27" i="81" s="1"/>
  <c r="D26" i="81" s="1"/>
  <c r="C32" i="81" s="1"/>
  <c r="D30" i="81" s="1"/>
  <c r="M25" i="6"/>
  <c r="I25" i="6" s="1"/>
  <c r="S25" i="6" s="1"/>
  <c r="S12" i="1"/>
  <c r="M20" i="6"/>
  <c r="I20" i="6" s="1"/>
  <c r="S20" i="6" s="1"/>
  <c r="S7" i="1"/>
  <c r="AA12" i="39"/>
  <c r="E6" i="6"/>
  <c r="S10" i="1"/>
  <c r="AA12" i="40"/>
  <c r="S9" i="1"/>
  <c r="C21" i="4"/>
  <c r="O5" i="54" s="1"/>
  <c r="B45" i="63" s="1"/>
  <c r="D16" i="43"/>
  <c r="C16" i="43" s="1"/>
  <c r="D45" i="9"/>
  <c r="D46" i="9"/>
  <c r="L38" i="9"/>
  <c r="B14" i="66" s="1"/>
  <c r="B1" i="66" s="1"/>
  <c r="C6" i="66" s="1"/>
  <c r="L46" i="78"/>
  <c r="C12" i="59"/>
  <c r="D13" i="59"/>
  <c r="H7" i="21"/>
  <c r="AB7" i="21" s="1"/>
  <c r="T48" i="21" s="1"/>
  <c r="G48" i="21" s="1"/>
  <c r="J7" i="21"/>
  <c r="Q53" i="78"/>
  <c r="E26" i="57"/>
  <c r="M24" i="6"/>
  <c r="I24" i="6" s="1"/>
  <c r="S24" i="6" s="1"/>
  <c r="S11" i="1"/>
  <c r="C38" i="46"/>
  <c r="G38" i="46" s="1"/>
  <c r="I38" i="46" s="1"/>
  <c r="C39" i="46"/>
  <c r="E39" i="46" s="1"/>
  <c r="C20" i="46"/>
  <c r="T14" i="46" s="1"/>
  <c r="V14" i="46" s="1"/>
  <c r="F1" i="75"/>
  <c r="F1" i="73"/>
  <c r="K27" i="6"/>
  <c r="S6" i="1"/>
  <c r="M19" i="6"/>
  <c r="D14" i="11"/>
  <c r="C14" i="11" s="1"/>
  <c r="C10" i="11" s="1"/>
  <c r="C8" i="11"/>
  <c r="C7" i="11" s="1"/>
  <c r="G70" i="39"/>
  <c r="F72" i="39"/>
  <c r="F67" i="40"/>
  <c r="G65" i="40"/>
  <c r="T10" i="46"/>
  <c r="V10" i="46" s="1"/>
  <c r="C33" i="46"/>
  <c r="E33" i="46" s="1"/>
  <c r="E38" i="46"/>
  <c r="E40" i="36"/>
  <c r="F40" i="36" s="1"/>
  <c r="E41" i="36"/>
  <c r="F41" i="36"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3" i="46"/>
  <c r="I33" i="46" s="1"/>
  <c r="G39" i="46"/>
  <c r="I39" i="46" s="1"/>
  <c r="C7" i="66"/>
  <c r="C8" i="66"/>
  <c r="D13" i="11"/>
  <c r="C13" i="11" s="1"/>
  <c r="D22" i="12"/>
  <c r="C22" i="12" s="1"/>
  <c r="C20" i="12" s="1"/>
  <c r="D19" i="12"/>
  <c r="C19" i="12" s="1"/>
  <c r="C16" i="12"/>
  <c r="C65" i="15"/>
  <c r="C59" i="15"/>
  <c r="J26" i="15"/>
  <c r="J24" i="15"/>
  <c r="Q58" i="44"/>
  <c r="Q67" i="44"/>
  <c r="Q49" i="44"/>
  <c r="Q55" i="44" s="1"/>
  <c r="D22" i="87"/>
  <c r="C16" i="78"/>
  <c r="C17" i="78"/>
  <c r="D16" i="80"/>
  <c r="D22" i="80"/>
  <c r="C17" i="75"/>
  <c r="C16" i="74"/>
  <c r="C17" i="74"/>
  <c r="D22" i="79"/>
  <c r="AE11" i="1"/>
  <c r="C17" i="15"/>
  <c r="D16" i="79"/>
  <c r="D16" i="87"/>
  <c r="F41" i="15"/>
  <c r="AE10" i="1"/>
  <c r="F7" i="67"/>
  <c r="C16" i="73"/>
  <c r="AE9" i="1"/>
  <c r="C17" i="76"/>
  <c r="C16" i="76"/>
  <c r="C17" i="73"/>
  <c r="D22" i="81"/>
  <c r="D16" i="81"/>
  <c r="C17" i="86"/>
  <c r="AE7" i="1"/>
  <c r="C16" i="75"/>
  <c r="C33" i="78"/>
  <c r="F68" i="15" l="1"/>
  <c r="J29" i="15"/>
  <c r="Q53" i="76"/>
  <c r="J5" i="74"/>
  <c r="J24" i="74" s="1"/>
  <c r="F24" i="76"/>
  <c r="C24" i="76" s="1"/>
  <c r="L46" i="75"/>
  <c r="F1" i="74"/>
  <c r="Q61" i="75"/>
  <c r="J5" i="75"/>
  <c r="J26" i="75" s="1"/>
  <c r="Q75" i="78"/>
  <c r="Q74" i="76"/>
  <c r="Q58" i="78"/>
  <c r="Q62" i="74"/>
  <c r="Q62" i="73"/>
  <c r="Q62" i="76"/>
  <c r="Q67" i="73"/>
  <c r="Q58" i="74"/>
  <c r="L46" i="74"/>
  <c r="L46" i="73"/>
  <c r="Q74" i="78"/>
  <c r="Q74" i="74"/>
  <c r="Q74" i="73"/>
  <c r="Q58" i="75"/>
  <c r="Q75" i="75"/>
  <c r="F24" i="15"/>
  <c r="C24" i="15" s="1"/>
  <c r="F24" i="74"/>
  <c r="C24" i="74" s="1"/>
  <c r="J5" i="76"/>
  <c r="J26" i="76" s="1"/>
  <c r="F21" i="43"/>
  <c r="C23" i="43" s="1"/>
  <c r="D21" i="43" s="1"/>
  <c r="F26" i="12"/>
  <c r="C27" i="12" s="1"/>
  <c r="D26" i="12" s="1"/>
  <c r="C32" i="12" s="1"/>
  <c r="D30" i="12" s="1"/>
  <c r="F26" i="44"/>
  <c r="C26" i="44" s="1"/>
  <c r="F24" i="73"/>
  <c r="C24" i="73" s="1"/>
  <c r="F24" i="78"/>
  <c r="D22" i="89"/>
  <c r="C22" i="89" s="1"/>
  <c r="C20" i="89" s="1"/>
  <c r="D16" i="89"/>
  <c r="F26" i="87"/>
  <c r="C27" i="87" s="1"/>
  <c r="D26" i="87" s="1"/>
  <c r="C32" i="87" s="1"/>
  <c r="D30" i="87" s="1"/>
  <c r="F26" i="89"/>
  <c r="C27" i="89" s="1"/>
  <c r="D26" i="89" s="1"/>
  <c r="C32" i="89" s="1"/>
  <c r="D30" i="89" s="1"/>
  <c r="C48" i="75"/>
  <c r="C47" i="75" s="1"/>
  <c r="C59" i="75" s="1"/>
  <c r="J5" i="73"/>
  <c r="J26" i="73" s="1"/>
  <c r="J5" i="78"/>
  <c r="J26" i="78" s="1"/>
  <c r="F24" i="75"/>
  <c r="C24" i="75" s="1"/>
  <c r="F26" i="80"/>
  <c r="C27" i="80" s="1"/>
  <c r="D26" i="80" s="1"/>
  <c r="C32" i="80" s="1"/>
  <c r="D30" i="80" s="1"/>
  <c r="C16" i="87"/>
  <c r="D19" i="87"/>
  <c r="C19" i="87" s="1"/>
  <c r="C22" i="87"/>
  <c r="C20" i="87" s="1"/>
  <c r="C22" i="79"/>
  <c r="C20" i="79" s="1"/>
  <c r="D19" i="79"/>
  <c r="C19" i="79" s="1"/>
  <c r="C16" i="79"/>
  <c r="C59" i="78"/>
  <c r="C65" i="78"/>
  <c r="C11" i="59"/>
  <c r="D12" i="59"/>
  <c r="T12" i="59"/>
  <c r="U11" i="1"/>
  <c r="C6" i="78"/>
  <c r="C32" i="78" s="1"/>
  <c r="C22" i="81"/>
  <c r="C20" i="81" s="1"/>
  <c r="D19" i="81"/>
  <c r="C19" i="81" s="1"/>
  <c r="C16" i="81"/>
  <c r="D19" i="80"/>
  <c r="C19" i="80" s="1"/>
  <c r="C16" i="80"/>
  <c r="C22" i="80"/>
  <c r="C20" i="80" s="1"/>
  <c r="S16" i="1"/>
  <c r="T12" i="1" s="1"/>
  <c r="C24" i="78"/>
  <c r="J24" i="75"/>
  <c r="C34" i="46"/>
  <c r="C37" i="46"/>
  <c r="T15" i="46"/>
  <c r="V15" i="46" s="1"/>
  <c r="T12" i="46"/>
  <c r="V12" i="46" s="1"/>
  <c r="T9" i="46"/>
  <c r="V9" i="46" s="1"/>
  <c r="C35" i="46"/>
  <c r="T13" i="46"/>
  <c r="V13" i="46" s="1"/>
  <c r="C36" i="46"/>
  <c r="T16" i="46"/>
  <c r="V16" i="46" s="1"/>
  <c r="T11" i="46"/>
  <c r="V11" i="46" s="1"/>
  <c r="T8" i="46"/>
  <c r="V8" i="46" s="1"/>
  <c r="J26" i="74"/>
  <c r="C59" i="74"/>
  <c r="C65" i="76"/>
  <c r="C65" i="73"/>
  <c r="T13" i="1"/>
  <c r="M27" i="6"/>
  <c r="I19" i="6"/>
  <c r="C18" i="11"/>
  <c r="C17" i="11"/>
  <c r="H65" i="40"/>
  <c r="G67" i="40"/>
  <c r="H70" i="39"/>
  <c r="G72" i="39"/>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F41" i="73"/>
  <c r="F6" i="78"/>
  <c r="F41" i="78"/>
  <c r="AE8" i="1"/>
  <c r="C13" i="87"/>
  <c r="C16" i="44"/>
  <c r="C14" i="86"/>
  <c r="B7" i="67"/>
  <c r="F41" i="75"/>
  <c r="E7" i="67"/>
  <c r="F41" i="76"/>
  <c r="C65" i="75" l="1"/>
  <c r="J24" i="76"/>
  <c r="J24" i="73"/>
  <c r="J24" i="78"/>
  <c r="C16" i="89"/>
  <c r="D19" i="89"/>
  <c r="C19" i="89" s="1"/>
  <c r="O6" i="88"/>
  <c r="C15" i="86"/>
  <c r="C18" i="86"/>
  <c r="C14" i="87"/>
  <c r="C17" i="87"/>
  <c r="T8" i="1"/>
  <c r="T10" i="1"/>
  <c r="T11" i="1"/>
  <c r="T6" i="1"/>
  <c r="T7" i="1"/>
  <c r="T9" i="1"/>
  <c r="C10" i="59"/>
  <c r="D11" i="59"/>
  <c r="O6" i="82"/>
  <c r="C40" i="57"/>
  <c r="E18" i="68"/>
  <c r="C19" i="11"/>
  <c r="C20" i="11" s="1"/>
  <c r="C21" i="11" s="1"/>
  <c r="C22" i="11" s="1"/>
  <c r="C23" i="11" s="1"/>
  <c r="B2" i="11" s="1"/>
  <c r="B3" i="11" s="1"/>
  <c r="J29" i="78"/>
  <c r="F68" i="78"/>
  <c r="C10" i="78"/>
  <c r="C5" i="78" s="1"/>
  <c r="C38" i="78" s="1"/>
  <c r="G36" i="46"/>
  <c r="I36" i="46" s="1"/>
  <c r="E36" i="46"/>
  <c r="G35" i="46"/>
  <c r="I35" i="46" s="1"/>
  <c r="E35" i="46"/>
  <c r="G37" i="46"/>
  <c r="I37" i="46" s="1"/>
  <c r="E37" i="46"/>
  <c r="G34" i="46"/>
  <c r="I34" i="46" s="1"/>
  <c r="E34" i="46"/>
  <c r="F68" i="73"/>
  <c r="J29" i="73"/>
  <c r="F68" i="76"/>
  <c r="J29" i="76"/>
  <c r="F68" i="75"/>
  <c r="J29" i="75"/>
  <c r="C20" i="44"/>
  <c r="C17" i="44"/>
  <c r="I27" i="6"/>
  <c r="S19" i="6"/>
  <c r="S27" i="6" s="1"/>
  <c r="R13" i="1"/>
  <c r="AB7" i="34"/>
  <c r="T49" i="34" s="1"/>
  <c r="G49" i="34" s="1"/>
  <c r="G53" i="34" s="1"/>
  <c r="H53" i="34" s="1"/>
  <c r="I70" i="39"/>
  <c r="H72" i="39"/>
  <c r="H67" i="40"/>
  <c r="I65" i="40"/>
  <c r="G52" i="33"/>
  <c r="H52" i="33" s="1"/>
  <c r="G53" i="33"/>
  <c r="H53" i="33" s="1"/>
  <c r="E49" i="34"/>
  <c r="R49" i="33"/>
  <c r="E48" i="33"/>
  <c r="R49" i="21"/>
  <c r="E48" i="21"/>
  <c r="W7" i="34"/>
  <c r="AC7" i="34"/>
  <c r="V49" i="34" s="1"/>
  <c r="I49" i="34" s="1"/>
  <c r="E3" i="67"/>
  <c r="B2" i="67"/>
  <c r="D20" i="9"/>
  <c r="C13" i="80"/>
  <c r="C14" i="74"/>
  <c r="C14" i="73"/>
  <c r="C14" i="75"/>
  <c r="AE12" i="1"/>
  <c r="F41" i="74"/>
  <c r="F37" i="44"/>
  <c r="D19" i="9"/>
  <c r="C14" i="76"/>
  <c r="C13" i="79"/>
  <c r="M23" i="44"/>
  <c r="C14" i="78"/>
  <c r="J29" i="74" l="1"/>
  <c r="F68" i="74"/>
  <c r="C13" i="89"/>
  <c r="E13" i="89" s="1"/>
  <c r="T16" i="1"/>
  <c r="E12" i="82"/>
  <c r="E14" i="82" s="1"/>
  <c r="E12" i="88"/>
  <c r="E14" i="88" s="1"/>
  <c r="C18" i="87"/>
  <c r="C23" i="87" s="1"/>
  <c r="C19" i="86"/>
  <c r="C20" i="86" s="1"/>
  <c r="C26" i="86" s="1"/>
  <c r="C14" i="80"/>
  <c r="C17" i="80"/>
  <c r="C18" i="78"/>
  <c r="C15" i="78"/>
  <c r="C15" i="75"/>
  <c r="C18" i="75"/>
  <c r="C18" i="76"/>
  <c r="C15" i="76"/>
  <c r="C17" i="79"/>
  <c r="C14" i="79"/>
  <c r="C18" i="73"/>
  <c r="C15" i="73"/>
  <c r="C18" i="74"/>
  <c r="C15" i="74"/>
  <c r="C9" i="59"/>
  <c r="D10" i="59"/>
  <c r="E13" i="82"/>
  <c r="L44" i="9"/>
  <c r="C21" i="44"/>
  <c r="C22" i="44" s="1"/>
  <c r="C28" i="44" s="1"/>
  <c r="L57" i="73"/>
  <c r="R50" i="34"/>
  <c r="C50" i="34" s="1"/>
  <c r="J65" i="40"/>
  <c r="I67" i="40"/>
  <c r="I72" i="39"/>
  <c r="J70" i="39"/>
  <c r="J22" i="44"/>
  <c r="C36" i="44"/>
  <c r="I53" i="34"/>
  <c r="J53" i="34" s="1"/>
  <c r="I54" i="34"/>
  <c r="J54" i="34" s="1"/>
  <c r="E53" i="21"/>
  <c r="F53" i="21" s="1"/>
  <c r="E52" i="21"/>
  <c r="F52" i="21" s="1"/>
  <c r="I53" i="21"/>
  <c r="J53" i="21" s="1"/>
  <c r="G54" i="34"/>
  <c r="H54" i="34" s="1"/>
  <c r="C48" i="21"/>
  <c r="C49" i="21"/>
  <c r="E52" i="33"/>
  <c r="F52" i="33" s="1"/>
  <c r="E53" i="33"/>
  <c r="F53" i="33" s="1"/>
  <c r="I53" i="33"/>
  <c r="J53" i="33" s="1"/>
  <c r="E54" i="34"/>
  <c r="F54" i="34" s="1"/>
  <c r="E53" i="34"/>
  <c r="F53" i="34" s="1"/>
  <c r="C49" i="33"/>
  <c r="C48" i="33"/>
  <c r="B3" i="67"/>
  <c r="B4" i="67"/>
  <c r="C33" i="15"/>
  <c r="F41" i="86"/>
  <c r="F6" i="75"/>
  <c r="C14" i="89" l="1"/>
  <c r="C17" i="89"/>
  <c r="F68" i="86"/>
  <c r="J29" i="86"/>
  <c r="E13" i="88"/>
  <c r="C23" i="86"/>
  <c r="C29" i="86" s="1"/>
  <c r="C18" i="80"/>
  <c r="C23" i="80" s="1"/>
  <c r="C19" i="76"/>
  <c r="C20" i="76" s="1"/>
  <c r="C26" i="76" s="1"/>
  <c r="C19" i="78"/>
  <c r="C20" i="78" s="1"/>
  <c r="C23" i="78" s="1"/>
  <c r="C19" i="73"/>
  <c r="C20" i="73" s="1"/>
  <c r="C18" i="79"/>
  <c r="C23" i="79" s="1"/>
  <c r="C19" i="74"/>
  <c r="C20" i="74" s="1"/>
  <c r="C19" i="75"/>
  <c r="C20" i="75" s="1"/>
  <c r="C26" i="75" s="1"/>
  <c r="D9" i="59"/>
  <c r="C8" i="59"/>
  <c r="C25" i="44"/>
  <c r="C31" i="44" s="1"/>
  <c r="J16" i="44" s="1"/>
  <c r="J24" i="44" s="1"/>
  <c r="N20" i="33"/>
  <c r="N21" i="33"/>
  <c r="N18" i="33"/>
  <c r="N19" i="33"/>
  <c r="B3" i="21"/>
  <c r="B2" i="21" s="1"/>
  <c r="C6" i="75"/>
  <c r="B3" i="33"/>
  <c r="B2" i="33" s="1"/>
  <c r="C49" i="34"/>
  <c r="B3" i="34"/>
  <c r="B2" i="34" s="1"/>
  <c r="J67" i="40"/>
  <c r="K65" i="40"/>
  <c r="J72" i="39"/>
  <c r="K70" i="39"/>
  <c r="J59" i="15"/>
  <c r="J60" i="15" s="1"/>
  <c r="Q49" i="15" s="1"/>
  <c r="F6" i="15"/>
  <c r="C60" i="15"/>
  <c r="C18" i="89" l="1"/>
  <c r="C23" i="89" s="1"/>
  <c r="C56" i="86"/>
  <c r="C63" i="86" s="1"/>
  <c r="C36" i="86"/>
  <c r="J14" i="86"/>
  <c r="Q50" i="86"/>
  <c r="J19" i="86"/>
  <c r="C13" i="86"/>
  <c r="C23" i="75"/>
  <c r="C29" i="75" s="1"/>
  <c r="J14" i="75" s="1"/>
  <c r="J13" i="75" s="1"/>
  <c r="J23" i="75" s="1"/>
  <c r="C23" i="76"/>
  <c r="C29" i="76" s="1"/>
  <c r="Q50" i="76" s="1"/>
  <c r="C23" i="73"/>
  <c r="C26" i="78"/>
  <c r="C29" i="78" s="1"/>
  <c r="C56" i="78" s="1"/>
  <c r="C63" i="78" s="1"/>
  <c r="C23" i="74"/>
  <c r="D8" i="59"/>
  <c r="C7" i="59"/>
  <c r="T8" i="59"/>
  <c r="C35" i="44"/>
  <c r="C33" i="44" s="1"/>
  <c r="J15" i="44"/>
  <c r="J25" i="44" s="1"/>
  <c r="J21" i="44"/>
  <c r="J19" i="44" s="1"/>
  <c r="C15" i="44"/>
  <c r="C39" i="44" s="1"/>
  <c r="C38" i="44"/>
  <c r="Q51" i="44"/>
  <c r="C6" i="15"/>
  <c r="E19" i="68"/>
  <c r="N23" i="33"/>
  <c r="N22" i="33"/>
  <c r="C10" i="75"/>
  <c r="C5" i="75" s="1"/>
  <c r="C38" i="75" s="1"/>
  <c r="K72" i="39"/>
  <c r="L70" i="39"/>
  <c r="L65" i="40"/>
  <c r="K67" i="40"/>
  <c r="F6" i="73"/>
  <c r="F6" i="74"/>
  <c r="F6" i="76"/>
  <c r="Q71" i="86" l="1"/>
  <c r="J35" i="86"/>
  <c r="C37" i="86"/>
  <c r="C55" i="86"/>
  <c r="C64" i="86" s="1"/>
  <c r="J22" i="86"/>
  <c r="J13" i="86"/>
  <c r="J23" i="86" s="1"/>
  <c r="Q50" i="75"/>
  <c r="C56" i="75"/>
  <c r="C63" i="75" s="1"/>
  <c r="J19" i="75"/>
  <c r="J22" i="75"/>
  <c r="C13" i="75"/>
  <c r="C55" i="75" s="1"/>
  <c r="C64" i="75" s="1"/>
  <c r="C36" i="75"/>
  <c r="J19" i="76"/>
  <c r="J14" i="76"/>
  <c r="J22" i="76" s="1"/>
  <c r="C56" i="76"/>
  <c r="C63" i="76" s="1"/>
  <c r="C36" i="76"/>
  <c r="C36" i="78"/>
  <c r="Q50" i="78"/>
  <c r="C13" i="76"/>
  <c r="J35" i="76" s="1"/>
  <c r="J19" i="78"/>
  <c r="C13" i="78"/>
  <c r="C37" i="78" s="1"/>
  <c r="J14" i="78"/>
  <c r="J13" i="78" s="1"/>
  <c r="J23" i="78" s="1"/>
  <c r="C6" i="59"/>
  <c r="D7" i="59"/>
  <c r="C43" i="44"/>
  <c r="Q72" i="44"/>
  <c r="J35" i="75"/>
  <c r="C32" i="44"/>
  <c r="C42" i="44" s="1"/>
  <c r="Q71" i="44" s="1"/>
  <c r="J18" i="44"/>
  <c r="J27" i="44" s="1"/>
  <c r="C6" i="76"/>
  <c r="C6" i="73"/>
  <c r="C10" i="73" s="1"/>
  <c r="C5" i="73" s="1"/>
  <c r="C38" i="73" s="1"/>
  <c r="C32" i="15"/>
  <c r="C10" i="15"/>
  <c r="C5" i="15" s="1"/>
  <c r="C38" i="15" s="1"/>
  <c r="L46" i="15"/>
  <c r="M70" i="39"/>
  <c r="L72" i="39"/>
  <c r="L67" i="40"/>
  <c r="M65" i="40"/>
  <c r="Q70" i="44" l="1"/>
  <c r="C37" i="75"/>
  <c r="Q71" i="75"/>
  <c r="Q71" i="78"/>
  <c r="C55" i="76"/>
  <c r="C64" i="76" s="1"/>
  <c r="J13" i="76"/>
  <c r="J23" i="76" s="1"/>
  <c r="J35" i="78"/>
  <c r="Q71" i="76"/>
  <c r="C55" i="78"/>
  <c r="C64" i="78" s="1"/>
  <c r="C37" i="76"/>
  <c r="J22" i="78"/>
  <c r="C5" i="59"/>
  <c r="D6" i="59"/>
  <c r="C44" i="44"/>
  <c r="C45" i="44" s="1"/>
  <c r="L52" i="44" s="1"/>
  <c r="Q69" i="44" s="1"/>
  <c r="C32" i="76"/>
  <c r="C10" i="76"/>
  <c r="C5" i="76" s="1"/>
  <c r="C38" i="76" s="1"/>
  <c r="M67" i="40"/>
  <c r="H9" i="40" s="1"/>
  <c r="N65" i="40"/>
  <c r="N67" i="40" s="1"/>
  <c r="J9" i="39"/>
  <c r="M72" i="39"/>
  <c r="F9" i="39" s="1"/>
  <c r="N70" i="39"/>
  <c r="N72" i="39" s="1"/>
  <c r="D5" i="59" l="1"/>
  <c r="M20" i="46"/>
  <c r="L58" i="44"/>
  <c r="L61" i="44" s="1"/>
  <c r="L47" i="44" s="1"/>
  <c r="B2" i="44"/>
  <c r="B3" i="44" s="1"/>
  <c r="AA9" i="39"/>
  <c r="R49" i="39" s="1"/>
  <c r="S9" i="39"/>
  <c r="H9" i="39"/>
  <c r="F9" i="40"/>
  <c r="J9" i="40"/>
  <c r="W9" i="39"/>
  <c r="AC9" i="39"/>
  <c r="V49" i="39" s="1"/>
  <c r="I49" i="39" s="1"/>
  <c r="U9" i="40"/>
  <c r="AB9" i="40"/>
  <c r="T44" i="40" s="1"/>
  <c r="G44" i="40" s="1"/>
  <c r="Q68" i="44" l="1"/>
  <c r="Q77" i="44" s="1"/>
  <c r="Q59" i="44"/>
  <c r="Q64" i="44" s="1"/>
  <c r="G48" i="40"/>
  <c r="H48" i="40" s="1"/>
  <c r="I53" i="39"/>
  <c r="J53" i="39" s="1"/>
  <c r="AA9" i="40"/>
  <c r="R44" i="40" s="1"/>
  <c r="S9" i="40"/>
  <c r="AC9" i="40"/>
  <c r="V44" i="40" s="1"/>
  <c r="I44" i="40" s="1"/>
  <c r="W9" i="40"/>
  <c r="AB9" i="39"/>
  <c r="T49" i="39" s="1"/>
  <c r="G49" i="39" s="1"/>
  <c r="U9" i="39"/>
  <c r="E49" i="39"/>
  <c r="R50" i="39"/>
  <c r="E53" i="39" l="1"/>
  <c r="F53" i="39" s="1"/>
  <c r="E54" i="39"/>
  <c r="F54" i="39" s="1"/>
  <c r="C50" i="39"/>
  <c r="C49" i="39"/>
  <c r="I54" i="39"/>
  <c r="J54" i="39" s="1"/>
  <c r="G53" i="39"/>
  <c r="H53" i="39" s="1"/>
  <c r="G54" i="39"/>
  <c r="H54" i="39" s="1"/>
  <c r="I48" i="40"/>
  <c r="J48" i="40" s="1"/>
  <c r="R45" i="40"/>
  <c r="E44" i="40"/>
  <c r="G49" i="40"/>
  <c r="H49" i="40" s="1"/>
  <c r="C45" i="40" l="1"/>
  <c r="C44" i="40"/>
  <c r="E49" i="40"/>
  <c r="F49" i="40" s="1"/>
  <c r="E48" i="40"/>
  <c r="F48" i="40" s="1"/>
  <c r="I49" i="40"/>
  <c r="J49" i="40" s="1"/>
  <c r="B63" i="39"/>
  <c r="F63" i="39" s="1"/>
  <c r="B67" i="39"/>
  <c r="F67" i="39" s="1"/>
  <c r="B65" i="39"/>
  <c r="F65" i="39" s="1"/>
  <c r="B61" i="39"/>
  <c r="F61" i="39" s="1"/>
  <c r="B58" i="39"/>
  <c r="F58" i="39" s="1"/>
  <c r="B59" i="39"/>
  <c r="F59" i="39" s="1"/>
  <c r="B66" i="39"/>
  <c r="F66" i="39" s="1"/>
  <c r="B62" i="39"/>
  <c r="F62" i="39" s="1"/>
  <c r="B64" i="39"/>
  <c r="F64" i="39" s="1"/>
  <c r="B60" i="39"/>
  <c r="F60" i="39" s="1"/>
  <c r="B56" i="40" l="1"/>
  <c r="F56" i="40" s="1"/>
  <c r="B60" i="40"/>
  <c r="F60" i="40" s="1"/>
  <c r="B53" i="40"/>
  <c r="F53" i="40" s="1"/>
  <c r="B62" i="40"/>
  <c r="F62" i="40" s="1"/>
  <c r="B59" i="40"/>
  <c r="F59" i="40" s="1"/>
  <c r="B61" i="40"/>
  <c r="F61" i="40" s="1"/>
  <c r="B55" i="40"/>
  <c r="F55" i="40" s="1"/>
  <c r="B57" i="40"/>
  <c r="F57" i="40" s="1"/>
  <c r="B54" i="40"/>
  <c r="F54" i="40" s="1"/>
  <c r="B58" i="40"/>
  <c r="F58" i="40" s="1"/>
  <c r="I4" i="6" l="1"/>
  <c r="G3" i="46" s="1"/>
  <c r="E13" i="3"/>
  <c r="E418" i="3"/>
  <c r="E549" i="3"/>
  <c r="E60" i="3"/>
  <c r="E455" i="3"/>
  <c r="E257" i="3"/>
  <c r="E204" i="3"/>
  <c r="E196" i="3"/>
  <c r="E131" i="3"/>
  <c r="E34" i="3"/>
  <c r="E67" i="3"/>
  <c r="E309" i="3"/>
  <c r="E121" i="3"/>
  <c r="E66" i="3"/>
  <c r="E271" i="3"/>
  <c r="E108" i="3"/>
  <c r="E524" i="3"/>
  <c r="E35" i="3"/>
  <c r="E312" i="3"/>
  <c r="E371" i="3"/>
  <c r="E26" i="3"/>
  <c r="E18" i="3"/>
  <c r="E209" i="3"/>
  <c r="E233" i="3"/>
  <c r="E96" i="3"/>
  <c r="E29" i="3"/>
  <c r="AJ6" i="3"/>
  <c r="E208" i="3"/>
  <c r="E130" i="3"/>
  <c r="E557" i="3"/>
  <c r="E261" i="3"/>
  <c r="E65" i="3"/>
  <c r="E362" i="3"/>
  <c r="E183" i="3"/>
  <c r="E269" i="3"/>
  <c r="E494" i="3"/>
  <c r="E380" i="3"/>
  <c r="E152" i="3"/>
  <c r="X6" i="3"/>
  <c r="E200" i="3"/>
  <c r="E192" i="3"/>
  <c r="E282" i="3"/>
  <c r="E222" i="3"/>
  <c r="E552" i="3"/>
  <c r="E158" i="3"/>
  <c r="E213" i="3"/>
  <c r="E184" i="3"/>
  <c r="E381" i="3"/>
  <c r="E21" i="3"/>
  <c r="E468" i="3"/>
  <c r="E469" i="3"/>
  <c r="E408" i="3"/>
  <c r="E201" i="3"/>
  <c r="E33" i="3"/>
  <c r="E289" i="3"/>
  <c r="E245" i="3"/>
  <c r="U6" i="3"/>
  <c r="E126" i="3"/>
  <c r="E304" i="3"/>
  <c r="E407" i="3"/>
  <c r="E116" i="3"/>
  <c r="E517" i="3"/>
  <c r="E162" i="3"/>
  <c r="E120" i="3"/>
  <c r="E355" i="3"/>
  <c r="E173" i="3"/>
  <c r="E432" i="3"/>
  <c r="E14" i="3"/>
  <c r="E364" i="3"/>
  <c r="E572" i="3"/>
  <c r="E488" i="3"/>
  <c r="E382" i="3"/>
  <c r="E450" i="3"/>
  <c r="E39" i="3"/>
  <c r="E540" i="3"/>
  <c r="E176" i="3"/>
  <c r="E236" i="3"/>
  <c r="E344" i="3"/>
  <c r="E352" i="3"/>
  <c r="E481" i="3"/>
  <c r="E203" i="3"/>
  <c r="E51" i="3"/>
  <c r="E559" i="3"/>
  <c r="E216" i="3"/>
  <c r="E219" i="3"/>
  <c r="E273" i="3"/>
  <c r="E503" i="3"/>
  <c r="E333" i="3"/>
  <c r="E321" i="3"/>
  <c r="Z6" i="3"/>
  <c r="E135" i="3"/>
  <c r="E231" i="3"/>
  <c r="E263" i="3"/>
  <c r="E101" i="3"/>
  <c r="E296" i="3"/>
  <c r="E490" i="3"/>
  <c r="E129" i="3"/>
  <c r="E49" i="3"/>
  <c r="E125" i="3"/>
  <c r="E70" i="3"/>
  <c r="W6" i="3"/>
  <c r="E92" i="3"/>
  <c r="E460" i="3"/>
  <c r="E75" i="3"/>
  <c r="E363" i="3"/>
  <c r="E272" i="3"/>
  <c r="E258" i="3"/>
  <c r="E276" i="3"/>
  <c r="E165" i="3"/>
  <c r="E550" i="3"/>
  <c r="E214" i="3"/>
  <c r="V6" i="3"/>
  <c r="E505" i="3"/>
  <c r="E386" i="3"/>
  <c r="E306" i="3"/>
  <c r="E246" i="3"/>
  <c r="E95" i="3"/>
  <c r="E361" i="3"/>
  <c r="E159" i="3"/>
  <c r="E310" i="3"/>
  <c r="S6" i="3"/>
  <c r="E358" i="3"/>
  <c r="E36" i="3"/>
  <c r="E107" i="3"/>
  <c r="E160" i="3"/>
  <c r="E256" i="3"/>
  <c r="E546" i="3"/>
  <c r="E485" i="3"/>
  <c r="E461" i="3"/>
  <c r="E237" i="3"/>
  <c r="E402" i="3"/>
  <c r="E513" i="3"/>
  <c r="E150" i="3"/>
  <c r="E320" i="3"/>
  <c r="E338" i="3"/>
  <c r="E542" i="3"/>
  <c r="E413" i="3"/>
  <c r="E437" i="3"/>
  <c r="AA6" i="3"/>
  <c r="E62" i="3"/>
  <c r="E114" i="3"/>
  <c r="E570" i="3"/>
  <c r="E388" i="3"/>
  <c r="E57" i="3"/>
  <c r="E472" i="3"/>
  <c r="E536" i="3"/>
  <c r="E482" i="3"/>
  <c r="E427" i="3"/>
  <c r="E64" i="3"/>
  <c r="E109" i="3"/>
  <c r="E293" i="3"/>
  <c r="E238" i="3"/>
  <c r="E170" i="3"/>
  <c r="Q6" i="3"/>
  <c r="E136" i="3"/>
  <c r="E139" i="3"/>
  <c r="E291" i="3"/>
  <c r="E248" i="3"/>
  <c r="E404" i="3"/>
  <c r="E533" i="3"/>
  <c r="E372" i="3"/>
  <c r="E400" i="3"/>
  <c r="E285" i="3"/>
  <c r="E529" i="3"/>
  <c r="E530" i="3"/>
  <c r="E217" i="3"/>
  <c r="E90" i="3"/>
  <c r="E169" i="3"/>
  <c r="E351" i="3"/>
  <c r="E510" i="3"/>
  <c r="E244" i="3"/>
  <c r="E484" i="3"/>
  <c r="E428" i="3"/>
  <c r="E288" i="3"/>
  <c r="E134" i="3"/>
  <c r="E554" i="3"/>
  <c r="E474" i="3"/>
  <c r="E335" i="3"/>
  <c r="E138" i="3"/>
  <c r="E100" i="3"/>
  <c r="E172" i="3"/>
  <c r="E198" i="3"/>
  <c r="E228" i="3"/>
  <c r="E392" i="3"/>
  <c r="E506" i="3"/>
  <c r="E563" i="3"/>
  <c r="AO6" i="3"/>
  <c r="E91" i="3"/>
  <c r="E127" i="3"/>
  <c r="E454" i="3"/>
  <c r="E147" i="3"/>
  <c r="E528" i="3"/>
  <c r="E424" i="3"/>
  <c r="E561" i="3"/>
  <c r="E187" i="3"/>
  <c r="E218" i="3"/>
  <c r="E98" i="3"/>
  <c r="E193" i="3"/>
  <c r="AH6" i="3"/>
  <c r="E38" i="3"/>
  <c r="E414" i="3"/>
  <c r="I3" i="6"/>
  <c r="E178" i="3"/>
  <c r="E113" i="3"/>
  <c r="E166" i="3"/>
  <c r="E207" i="3"/>
  <c r="E259" i="3"/>
  <c r="E30" i="3"/>
  <c r="E189" i="3"/>
  <c r="E486" i="3"/>
  <c r="E448" i="3"/>
  <c r="E224" i="3"/>
  <c r="E76" i="3"/>
  <c r="E508" i="3"/>
  <c r="E81" i="3"/>
  <c r="E19" i="3"/>
  <c r="E182" i="3"/>
  <c r="E514" i="3"/>
  <c r="E567" i="3"/>
  <c r="E322" i="3"/>
  <c r="E509" i="3"/>
  <c r="E374" i="3"/>
  <c r="E393" i="3"/>
  <c r="E242" i="3"/>
  <c r="E491" i="3"/>
  <c r="E15" i="3"/>
  <c r="E483" i="3"/>
  <c r="E328" i="3"/>
  <c r="E223" i="3"/>
  <c r="E255" i="3"/>
  <c r="E345" i="3"/>
  <c r="E314" i="3"/>
  <c r="E45" i="3"/>
  <c r="E562" i="3"/>
  <c r="E254" i="3"/>
  <c r="M6" i="3"/>
  <c r="E46" i="3"/>
  <c r="AD6" i="3"/>
  <c r="E389" i="3"/>
  <c r="E348" i="3"/>
  <c r="E375" i="3"/>
  <c r="E430" i="3"/>
  <c r="E23" i="3"/>
  <c r="E253" i="3"/>
  <c r="E397" i="3"/>
  <c r="E473" i="3"/>
  <c r="E278" i="3"/>
  <c r="E140" i="3"/>
  <c r="E185" i="3"/>
  <c r="E44" i="3"/>
  <c r="E274" i="3"/>
  <c r="E119" i="3"/>
  <c r="E568" i="3"/>
  <c r="E52" i="3"/>
  <c r="E305" i="3"/>
  <c r="E211" i="3"/>
  <c r="E441" i="3"/>
  <c r="E37" i="3"/>
  <c r="E465" i="3"/>
  <c r="E453" i="3"/>
  <c r="E235" i="3"/>
  <c r="E191" i="3"/>
  <c r="E499" i="3"/>
  <c r="E436" i="3"/>
  <c r="E153" i="3"/>
  <c r="E118" i="3"/>
  <c r="E342" i="3"/>
  <c r="E516" i="3"/>
  <c r="E71" i="3"/>
  <c r="E326" i="3"/>
  <c r="E205" i="3"/>
  <c r="E88" i="3"/>
  <c r="AI6" i="3"/>
  <c r="E525" i="3"/>
  <c r="E171" i="3"/>
  <c r="E366" i="3"/>
  <c r="E519" i="3"/>
  <c r="E399" i="3"/>
  <c r="E417" i="3"/>
  <c r="E281" i="3"/>
  <c r="E324" i="3"/>
  <c r="E373" i="3"/>
  <c r="E571" i="3"/>
  <c r="E112" i="3"/>
  <c r="E475" i="3"/>
  <c r="E115" i="3"/>
  <c r="E266" i="3"/>
  <c r="E520" i="3"/>
  <c r="E22" i="3"/>
  <c r="E470" i="3"/>
  <c r="E82" i="3"/>
  <c r="E443" i="3"/>
  <c r="E225" i="3"/>
  <c r="E442" i="3"/>
  <c r="E422" i="3"/>
  <c r="E104" i="3"/>
  <c r="P6" i="3"/>
  <c r="E151" i="3"/>
  <c r="E297" i="3"/>
  <c r="E492" i="3"/>
  <c r="E32" i="3"/>
  <c r="E500" i="3"/>
  <c r="E85" i="3"/>
  <c r="E445" i="3"/>
  <c r="E527" i="3"/>
  <c r="E395" i="3"/>
  <c r="E415" i="3"/>
  <c r="E303" i="3"/>
  <c r="E154" i="3"/>
  <c r="E58" i="3"/>
  <c r="E61" i="3"/>
  <c r="E300" i="3"/>
  <c r="E538" i="3"/>
  <c r="E177" i="3"/>
  <c r="E210" i="3"/>
  <c r="E226" i="3"/>
  <c r="AL6" i="3"/>
  <c r="E504" i="3"/>
  <c r="E137" i="3"/>
  <c r="E356" i="3"/>
  <c r="E357" i="3"/>
  <c r="E220" i="3"/>
  <c r="E239" i="3"/>
  <c r="K6" i="3"/>
  <c r="E354" i="3"/>
  <c r="E330" i="3"/>
  <c r="E252" i="3"/>
  <c r="E179" i="3"/>
  <c r="E279" i="3"/>
  <c r="E290" i="3"/>
  <c r="E334" i="3"/>
  <c r="E360" i="3"/>
  <c r="E497" i="3"/>
  <c r="E268" i="3"/>
  <c r="E421" i="3"/>
  <c r="E359" i="3"/>
  <c r="E215" i="3"/>
  <c r="AK6" i="3"/>
  <c r="E439" i="3"/>
  <c r="E349" i="3"/>
  <c r="E164" i="3"/>
  <c r="E194" i="3"/>
  <c r="E199" i="3"/>
  <c r="E110" i="3"/>
  <c r="E398" i="3"/>
  <c r="E534" i="3"/>
  <c r="E84" i="3"/>
  <c r="E313" i="3"/>
  <c r="E411" i="3"/>
  <c r="E149" i="3"/>
  <c r="E292" i="3"/>
  <c r="E48" i="3"/>
  <c r="E425" i="3"/>
  <c r="O6" i="3"/>
  <c r="E449" i="3"/>
  <c r="E280" i="3"/>
  <c r="E80" i="3"/>
  <c r="E275" i="3"/>
  <c r="E264" i="3"/>
  <c r="E74" i="3"/>
  <c r="E123" i="3"/>
  <c r="E24" i="3"/>
  <c r="E493" i="3"/>
  <c r="E277" i="3"/>
  <c r="E212" i="3"/>
  <c r="E267" i="3"/>
  <c r="E512" i="3"/>
  <c r="E329" i="3"/>
  <c r="E17" i="3"/>
  <c r="E564" i="3"/>
  <c r="AS6" i="3"/>
  <c r="E308" i="3"/>
  <c r="E87" i="3"/>
  <c r="E456" i="3"/>
  <c r="E56" i="3"/>
  <c r="E340" i="3"/>
  <c r="E346" i="3"/>
  <c r="E444" i="3"/>
  <c r="E336" i="3"/>
  <c r="E440" i="3"/>
  <c r="E489" i="3"/>
  <c r="E42" i="3"/>
  <c r="E167" i="3"/>
  <c r="E316" i="3"/>
  <c r="E69" i="3"/>
  <c r="E457" i="3"/>
  <c r="E327" i="3"/>
  <c r="E143" i="3"/>
  <c r="E394" i="3"/>
  <c r="E83" i="3"/>
  <c r="E77" i="3"/>
  <c r="AM6" i="3"/>
  <c r="E54" i="3"/>
  <c r="E47" i="3"/>
  <c r="E232" i="3"/>
  <c r="E376" i="3"/>
  <c r="E142" i="3"/>
  <c r="E27" i="3"/>
  <c r="AY6" i="3"/>
  <c r="E250" i="3"/>
  <c r="E295" i="3"/>
  <c r="E547" i="3"/>
  <c r="E97" i="3"/>
  <c r="E539" i="3"/>
  <c r="E451" i="3"/>
  <c r="E73" i="3"/>
  <c r="E270" i="3"/>
  <c r="E28" i="3"/>
  <c r="L6" i="3"/>
  <c r="E243" i="3"/>
  <c r="AQ6" i="3"/>
  <c r="E229" i="3"/>
  <c r="E555" i="3"/>
  <c r="E558" i="3"/>
  <c r="E260" i="3"/>
  <c r="E339" i="3"/>
  <c r="E378" i="3"/>
  <c r="E522" i="3"/>
  <c r="E227" i="3"/>
  <c r="E240" i="3"/>
  <c r="AN6" i="3"/>
  <c r="E383" i="3"/>
  <c r="E526" i="3"/>
  <c r="E234" i="3"/>
  <c r="E353" i="3"/>
  <c r="E531" i="3"/>
  <c r="E350" i="3"/>
  <c r="E544" i="3"/>
  <c r="E247" i="3"/>
  <c r="E41" i="3"/>
  <c r="E249" i="3"/>
  <c r="E426" i="3"/>
  <c r="E438" i="3"/>
  <c r="E401" i="3"/>
  <c r="E25" i="3"/>
  <c r="E43" i="3"/>
  <c r="E157" i="3"/>
  <c r="E141" i="3"/>
  <c r="E467" i="3"/>
  <c r="E369" i="3"/>
  <c r="AG6" i="3"/>
  <c r="E302" i="3"/>
  <c r="E188" i="3"/>
  <c r="E551" i="3"/>
  <c r="E385" i="3"/>
  <c r="E298" i="3"/>
  <c r="E323" i="3"/>
  <c r="E384" i="3"/>
  <c r="AB6" i="3"/>
  <c r="E377" i="3"/>
  <c r="E59" i="3"/>
  <c r="E190" i="3"/>
  <c r="E471" i="3"/>
  <c r="E89" i="3"/>
  <c r="E447" i="3"/>
  <c r="AE6" i="3"/>
  <c r="E332" i="3"/>
  <c r="E556" i="3"/>
  <c r="E365" i="3"/>
  <c r="E161" i="3"/>
  <c r="E168" i="3"/>
  <c r="E429" i="3"/>
  <c r="E347" i="3"/>
  <c r="E197" i="3"/>
  <c r="E433" i="3"/>
  <c r="E379" i="3"/>
  <c r="E403" i="3"/>
  <c r="E307" i="3"/>
  <c r="E106" i="3"/>
  <c r="E163" i="3"/>
  <c r="E368" i="3"/>
  <c r="E406" i="3"/>
  <c r="E301" i="3"/>
  <c r="E464" i="3"/>
  <c r="E420" i="3"/>
  <c r="E477" i="3"/>
  <c r="E128" i="3"/>
  <c r="E50" i="3"/>
  <c r="E495" i="3"/>
  <c r="E496" i="3"/>
  <c r="E523" i="3"/>
  <c r="E367" i="3"/>
  <c r="E511" i="3"/>
  <c r="E521" i="3"/>
  <c r="E331" i="3"/>
  <c r="E515" i="3"/>
  <c r="E31" i="3"/>
  <c r="E55" i="3"/>
  <c r="E337" i="3"/>
  <c r="E535" i="3"/>
  <c r="E412" i="3"/>
  <c r="E466" i="3"/>
  <c r="E507" i="3"/>
  <c r="E20" i="3"/>
  <c r="E155" i="3"/>
  <c r="E40" i="3"/>
  <c r="E553" i="3"/>
  <c r="E391" i="3"/>
  <c r="E117" i="3"/>
  <c r="E390" i="3"/>
  <c r="E156" i="3"/>
  <c r="E405" i="3"/>
  <c r="E435" i="3"/>
  <c r="E132" i="3"/>
  <c r="E459" i="3"/>
  <c r="E543" i="3"/>
  <c r="E478" i="3"/>
  <c r="E541" i="3"/>
  <c r="E502" i="3"/>
  <c r="E341" i="3"/>
  <c r="E299" i="3"/>
  <c r="E409" i="3"/>
  <c r="E537" i="3"/>
  <c r="E94" i="3"/>
  <c r="E548" i="3"/>
  <c r="E144" i="3"/>
  <c r="E532" i="3"/>
  <c r="E283" i="3"/>
  <c r="E105" i="3"/>
  <c r="E480" i="3"/>
  <c r="E317" i="3"/>
  <c r="E325" i="3"/>
  <c r="E175" i="3"/>
  <c r="I6" i="3"/>
  <c r="E186" i="3"/>
  <c r="E423" i="3"/>
  <c r="E387" i="3"/>
  <c r="E133" i="3"/>
  <c r="E396" i="3"/>
  <c r="E311" i="3"/>
  <c r="E343" i="3"/>
  <c r="E431" i="3"/>
  <c r="E419" i="3"/>
  <c r="E416" i="3"/>
  <c r="E560" i="3"/>
  <c r="E286" i="3"/>
  <c r="E318" i="3"/>
  <c r="E103" i="3"/>
  <c r="E124" i="3"/>
  <c r="E452" i="3"/>
  <c r="E294" i="3"/>
  <c r="E287" i="3"/>
  <c r="E111" i="3"/>
  <c r="E565" i="3"/>
  <c r="R6" i="3"/>
  <c r="E174" i="3"/>
  <c r="E202" i="3"/>
  <c r="E251" i="3"/>
  <c r="AF6" i="3"/>
  <c r="E53" i="3"/>
  <c r="E463" i="3"/>
  <c r="E180" i="3"/>
  <c r="E458" i="3"/>
  <c r="E145" i="3"/>
  <c r="E284" i="3"/>
  <c r="E241" i="3"/>
  <c r="E230" i="3"/>
  <c r="E146" i="3"/>
  <c r="E462" i="3"/>
  <c r="E262" i="3"/>
  <c r="E195" i="3"/>
  <c r="J6" i="3"/>
  <c r="E16" i="3"/>
  <c r="E319" i="3"/>
  <c r="Y6" i="3"/>
  <c r="T6" i="3"/>
  <c r="E206" i="3"/>
  <c r="E86" i="3"/>
  <c r="E99" i="3"/>
  <c r="E63" i="3"/>
  <c r="AP6" i="3"/>
  <c r="E315" i="3"/>
  <c r="E566" i="3"/>
  <c r="E79" i="3"/>
  <c r="E498" i="3"/>
  <c r="E569" i="3"/>
  <c r="AR6" i="3"/>
  <c r="E181" i="3"/>
  <c r="E446" i="3"/>
  <c r="E476" i="3"/>
  <c r="E434" i="3"/>
  <c r="E545" i="3"/>
  <c r="E410" i="3"/>
  <c r="E68" i="3"/>
  <c r="E78" i="3"/>
  <c r="E102" i="3"/>
  <c r="E487" i="3"/>
  <c r="E479" i="3"/>
  <c r="E501" i="3"/>
  <c r="E122" i="3"/>
  <c r="E72" i="3"/>
  <c r="E518" i="3"/>
  <c r="E221" i="3"/>
  <c r="E93" i="3"/>
  <c r="E265" i="3"/>
  <c r="N6" i="3"/>
  <c r="E148" i="3"/>
  <c r="E370" i="3"/>
  <c r="AC6" i="3" l="1"/>
  <c r="S7" i="46"/>
  <c r="T7" i="46" s="1"/>
  <c r="V7" i="46" s="1"/>
  <c r="M101" i="46"/>
  <c r="S3" i="46"/>
  <c r="T3" i="46" s="1"/>
  <c r="V3" i="46" s="1"/>
  <c r="E101" i="46"/>
  <c r="AC11" i="46"/>
  <c r="AC13" i="46" s="1"/>
  <c r="S6" i="46"/>
  <c r="T6" i="46" s="1"/>
  <c r="V6" i="46" s="1"/>
  <c r="K101" i="46"/>
  <c r="AJ11" i="46"/>
  <c r="AJ13" i="46" s="1"/>
  <c r="H22" i="46"/>
  <c r="AG11" i="46"/>
  <c r="AG13" i="46" s="1"/>
  <c r="C101" i="46"/>
  <c r="H101" i="46"/>
  <c r="Z11" i="46"/>
  <c r="Z13" i="46" s="1"/>
  <c r="J101" i="46"/>
  <c r="J22" i="46"/>
  <c r="AH11" i="46"/>
  <c r="AH13" i="46" s="1"/>
  <c r="S4" i="46"/>
  <c r="T4" i="46" s="1"/>
  <c r="V4" i="46" s="1"/>
  <c r="N104" i="45"/>
  <c r="D101" i="46"/>
  <c r="AI11" i="46"/>
  <c r="AI13" i="46" s="1"/>
  <c r="S2" i="46"/>
  <c r="T2" i="46" s="1"/>
  <c r="V2" i="46" s="1"/>
  <c r="F22" i="46"/>
  <c r="I101" i="46"/>
  <c r="AE11" i="46"/>
  <c r="AE13" i="46" s="1"/>
  <c r="C23" i="46"/>
  <c r="Z7" i="46"/>
  <c r="N101" i="46"/>
  <c r="AB11" i="46"/>
  <c r="AB13" i="46" s="1"/>
  <c r="B113" i="46"/>
  <c r="E22" i="46"/>
  <c r="AD11" i="46"/>
  <c r="AD13" i="46" s="1"/>
  <c r="AF11" i="46"/>
  <c r="AF13" i="46" s="1"/>
  <c r="Y11" i="46"/>
  <c r="Y13" i="46" s="1"/>
  <c r="AA11" i="46"/>
  <c r="AA13" i="46" s="1"/>
  <c r="G101" i="46"/>
  <c r="G22" i="46"/>
  <c r="F101" i="46"/>
  <c r="S5" i="46"/>
  <c r="T5" i="46" s="1"/>
  <c r="V5" i="46" s="1"/>
  <c r="L101" i="46"/>
  <c r="H6" i="3"/>
  <c r="E6" i="3" s="1"/>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BE6" i="3"/>
  <c r="AY384"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497" i="3"/>
  <c r="AY534" i="3"/>
  <c r="AY93" i="3"/>
  <c r="AY571" i="3"/>
  <c r="AY212" i="3"/>
  <c r="AY284" i="3"/>
  <c r="AY301" i="3"/>
  <c r="AY491" i="3"/>
  <c r="AY88" i="3"/>
  <c r="AY422" i="3"/>
  <c r="AY80" i="3"/>
  <c r="AY400" i="3"/>
  <c r="AY481" i="3"/>
  <c r="AY321" i="3"/>
  <c r="AY44" i="3"/>
  <c r="AY107" i="3"/>
  <c r="AY467" i="3"/>
  <c r="AY275" i="3"/>
  <c r="AY225" i="3"/>
  <c r="AY285" i="3"/>
  <c r="AY125" i="3"/>
  <c r="AY568" i="3"/>
  <c r="AY255" i="3"/>
  <c r="AY169" i="3"/>
  <c r="AY278" i="3"/>
  <c r="AY187" i="3"/>
  <c r="AY320" i="3"/>
  <c r="AY138" i="3"/>
  <c r="AY518" i="3"/>
  <c r="AY185" i="3"/>
  <c r="AY235" i="3"/>
  <c r="AY545" i="3"/>
  <c r="AY298" i="3"/>
  <c r="AY173" i="3"/>
  <c r="AY292" i="3"/>
  <c r="AY300" i="3"/>
  <c r="AY51" i="3"/>
  <c r="AY335" i="3"/>
  <c r="AY14" i="3"/>
  <c r="AY470" i="3"/>
  <c r="AY178" i="3"/>
  <c r="AY192" i="3"/>
  <c r="AY259" i="3"/>
  <c r="AY507" i="3"/>
  <c r="AY369" i="3"/>
  <c r="AY89" i="3"/>
  <c r="AY239" i="3"/>
  <c r="AY395" i="3"/>
  <c r="AY168" i="3"/>
  <c r="AY388" i="3"/>
  <c r="AY394" i="3"/>
  <c r="AY189" i="3"/>
  <c r="AY198" i="3"/>
  <c r="AY49" i="3"/>
  <c r="AY105" i="3"/>
  <c r="AY30" i="3"/>
  <c r="AY103" i="3"/>
  <c r="AY544" i="3"/>
  <c r="AY148" i="3"/>
  <c r="AY461" i="3"/>
  <c r="AY479" i="3"/>
  <c r="AY414" i="3"/>
  <c r="AY151" i="3"/>
  <c r="AY357" i="3"/>
  <c r="AY421" i="3"/>
  <c r="AY451" i="3"/>
  <c r="AY521" i="3"/>
  <c r="AY348" i="3"/>
  <c r="AY336" i="3"/>
  <c r="AY271" i="3"/>
  <c r="AY268" i="3"/>
  <c r="AY316" i="3"/>
  <c r="AY112" i="3"/>
  <c r="AY559" i="3"/>
  <c r="AY475" i="3"/>
  <c r="AY393" i="3"/>
  <c r="AY403" i="3"/>
  <c r="AY59" i="3"/>
  <c r="AY452" i="3"/>
  <c r="AY19" i="3"/>
  <c r="AY94" i="3"/>
  <c r="AY31" i="3"/>
  <c r="AY70" i="3"/>
  <c r="AY538" i="3"/>
  <c r="AY312" i="3"/>
  <c r="AY352" i="3"/>
  <c r="AY510" i="3"/>
  <c r="AY247" i="3"/>
  <c r="AY40" i="3"/>
  <c r="AY306" i="3"/>
  <c r="AY347" i="3"/>
  <c r="AY464" i="3"/>
  <c r="AY223" i="3"/>
  <c r="AY33" i="3"/>
  <c r="AY209" i="3"/>
  <c r="AY417" i="3"/>
  <c r="AY509" i="3"/>
  <c r="AY124" i="3"/>
  <c r="AY75" i="3"/>
  <c r="AY506" i="3"/>
  <c r="AY473" i="3"/>
  <c r="AY57" i="3"/>
  <c r="AY295" i="3"/>
  <c r="AY551" i="3"/>
  <c r="AY194" i="3"/>
  <c r="AY215" i="3"/>
  <c r="AY308" i="3"/>
  <c r="AY328" i="3"/>
  <c r="AY293" i="3"/>
  <c r="AY213" i="3"/>
  <c r="AY99" i="3"/>
  <c r="BR6" i="3"/>
  <c r="AY430" i="3"/>
  <c r="AY524" i="3"/>
  <c r="AY397" i="3"/>
  <c r="AY68" i="3"/>
  <c r="AY375" i="3"/>
  <c r="AY129" i="3"/>
  <c r="AY149" i="3"/>
  <c r="AY126" i="3"/>
  <c r="AY161" i="3"/>
  <c r="AY246" i="3"/>
  <c r="BH6" i="3"/>
  <c r="AY371" i="3"/>
  <c r="AY546" i="3"/>
  <c r="AY139" i="3"/>
  <c r="AY558" i="3"/>
  <c r="AY360" i="3"/>
  <c r="AY133" i="3"/>
  <c r="AY487" i="3"/>
  <c r="AY338" i="3"/>
  <c r="AY441" i="3"/>
  <c r="AY72" i="3"/>
  <c r="AY253" i="3"/>
  <c r="AY445" i="3"/>
  <c r="AY207" i="3"/>
  <c r="AY29" i="3"/>
  <c r="AY415" i="3"/>
  <c r="AY63" i="3"/>
  <c r="AY195" i="3"/>
  <c r="AY339" i="3"/>
  <c r="AY514" i="3"/>
  <c r="AY522" i="3"/>
  <c r="AY297" i="3"/>
  <c r="AY513" i="3"/>
  <c r="AY511" i="3"/>
  <c r="AY561" i="3"/>
  <c r="AY531" i="3"/>
  <c r="AY252" i="3"/>
  <c r="AY256" i="3"/>
  <c r="AY200" i="3"/>
  <c r="AY367" i="3"/>
  <c r="AY483" i="3"/>
  <c r="AY454" i="3"/>
  <c r="AY468" i="3"/>
  <c r="AY536" i="3"/>
  <c r="AY508" i="3"/>
  <c r="AY401" i="3"/>
  <c r="AY377" i="3"/>
  <c r="AY74" i="3"/>
  <c r="AY526" i="3"/>
  <c r="AY553" i="3"/>
  <c r="D3" i="6"/>
  <c r="AY413" i="3"/>
  <c r="AY281" i="3"/>
  <c r="BI6" i="3"/>
  <c r="AY222" i="3"/>
  <c r="AY319" i="3"/>
  <c r="AY425" i="3"/>
  <c r="AY167" i="3"/>
  <c r="AY15" i="3"/>
  <c r="AY566" i="3"/>
  <c r="AY370" i="3"/>
  <c r="AY102" i="3"/>
  <c r="AY310" i="3"/>
  <c r="AY233" i="3"/>
  <c r="AY16" i="3"/>
  <c r="AY440" i="3"/>
  <c r="AY530" i="3"/>
  <c r="AY131" i="3"/>
  <c r="AY456" i="3"/>
  <c r="AY142" i="3"/>
  <c r="AY324" i="3"/>
  <c r="AY340" i="3"/>
  <c r="AY432" i="3"/>
  <c r="AY493" i="3"/>
  <c r="AY66" i="3"/>
  <c r="AY266" i="3"/>
  <c r="AY121" i="3"/>
  <c r="BO6" i="3"/>
  <c r="AY166" i="3"/>
  <c r="AY499" i="3"/>
  <c r="BJ6" i="3"/>
  <c r="AY79" i="3"/>
  <c r="AY391" i="3"/>
  <c r="AY280" i="3"/>
  <c r="AY193" i="3"/>
  <c r="AY37" i="3"/>
  <c r="AY224" i="3"/>
  <c r="AY71" i="3"/>
  <c r="AY547" i="3"/>
  <c r="AY299" i="3"/>
  <c r="AY262" i="3"/>
  <c r="AY91" i="3"/>
  <c r="AY165" i="3"/>
  <c r="AY153" i="3"/>
  <c r="AY355" i="3"/>
  <c r="AY286" i="3"/>
  <c r="AY502" i="3"/>
  <c r="AY241" i="3"/>
  <c r="BB6" i="3"/>
  <c r="AY110" i="3"/>
  <c r="AY77" i="3"/>
  <c r="AY463" i="3"/>
  <c r="AY118" i="3"/>
  <c r="AY382" i="3"/>
  <c r="AY408" i="3"/>
  <c r="AY24" i="3"/>
  <c r="AY380" i="3"/>
  <c r="AY242" i="3"/>
  <c r="AY389" i="3"/>
  <c r="AY156" i="3"/>
  <c r="AY485" i="3"/>
  <c r="AY113" i="3"/>
  <c r="BM6" i="3"/>
  <c r="AY444" i="3"/>
  <c r="AY35" i="3"/>
  <c r="AY154" i="3"/>
  <c r="AY503" i="3"/>
  <c r="AY433" i="3"/>
  <c r="AY345" i="3"/>
  <c r="AY39" i="3"/>
  <c r="AY28" i="3"/>
  <c r="AY22" i="3"/>
  <c r="AY450" i="3"/>
  <c r="AY557" i="3"/>
  <c r="AY81" i="3"/>
  <c r="AY111" i="3"/>
  <c r="AY20" i="3"/>
  <c r="AY490" i="3"/>
  <c r="AY517" i="3"/>
  <c r="AY555" i="3"/>
  <c r="AY211" i="3"/>
  <c r="AY122" i="3"/>
  <c r="AY174" i="3"/>
  <c r="AY134" i="3"/>
  <c r="AY525" i="3"/>
  <c r="AY208" i="3"/>
  <c r="AY495" i="3"/>
  <c r="AY119" i="3"/>
  <c r="AY533" i="3"/>
  <c r="AY267" i="3"/>
  <c r="AY62" i="3"/>
  <c r="AY96" i="3"/>
  <c r="AY279" i="3"/>
  <c r="AY240" i="3"/>
  <c r="AY361" i="3"/>
  <c r="AY488" i="3"/>
  <c r="AY180" i="3"/>
  <c r="AY182" i="3"/>
  <c r="AY471" i="3"/>
  <c r="AY462" i="3"/>
  <c r="AY405" i="3"/>
  <c r="AY535" i="3"/>
  <c r="AY541" i="3"/>
  <c r="AY523" i="3"/>
  <c r="AY409" i="3"/>
  <c r="AY177" i="3"/>
  <c r="AY141" i="3"/>
  <c r="AY202" i="3"/>
  <c r="AY439" i="3"/>
  <c r="AY407" i="3"/>
  <c r="AY570" i="3"/>
  <c r="AY363" i="3"/>
  <c r="AY569" i="3"/>
  <c r="AY398" i="3"/>
  <c r="AY60" i="3"/>
  <c r="AY181" i="3"/>
  <c r="AY515" i="3"/>
  <c r="AY260" i="3"/>
  <c r="AY164" i="3"/>
  <c r="AY263" i="3"/>
  <c r="AY176" i="3"/>
  <c r="AY447" i="3"/>
  <c r="AY500" i="3"/>
  <c r="AY411" i="3"/>
  <c r="AY231" i="3"/>
  <c r="AY106" i="3"/>
  <c r="AY135" i="3"/>
  <c r="AY560" i="3"/>
  <c r="AY429" i="3"/>
  <c r="AY183" i="3"/>
  <c r="AY34" i="3"/>
  <c r="AY396" i="3"/>
  <c r="AY492" i="3"/>
  <c r="AY307" i="3"/>
  <c r="AY160" i="3"/>
  <c r="AY90" i="3"/>
  <c r="AY387" i="3"/>
  <c r="AY423" i="3"/>
  <c r="AY261" i="3"/>
  <c r="AY95" i="3"/>
  <c r="AY342" i="3"/>
  <c r="AY21" i="3"/>
  <c r="AY85" i="3"/>
  <c r="AY368" i="3"/>
  <c r="BT6" i="3"/>
  <c r="AY78" i="3"/>
  <c r="AY108" i="3"/>
  <c r="AY322" i="3"/>
  <c r="AY210" i="3"/>
  <c r="AY48" i="3"/>
  <c r="AY469" i="3"/>
  <c r="AY323" i="3"/>
  <c r="AY455" i="3"/>
  <c r="AY290" i="3"/>
  <c r="AY171" i="3"/>
  <c r="AY191" i="3"/>
  <c r="AY23" i="3"/>
  <c r="AY269" i="3"/>
  <c r="AY274" i="3"/>
  <c r="AY314" i="3"/>
  <c r="AY477" i="3"/>
  <c r="AY136" i="3"/>
  <c r="AY315" i="3"/>
  <c r="AY65" i="3"/>
  <c r="AY442" i="3"/>
  <c r="BS6" i="3"/>
  <c r="AY158" i="3"/>
  <c r="AY127" i="3"/>
  <c r="AY540" i="3"/>
  <c r="AY412" i="3"/>
  <c r="AY472" i="3"/>
  <c r="AY351" i="3"/>
  <c r="AY289" i="3"/>
  <c r="AY564" i="3"/>
  <c r="AY373" i="3"/>
  <c r="AY92" i="3"/>
  <c r="AY190" i="3"/>
  <c r="AY25" i="3"/>
  <c r="AY512" i="3"/>
  <c r="AY229" i="3"/>
  <c r="AY61" i="3"/>
  <c r="AY254" i="3"/>
  <c r="AY313" i="3"/>
  <c r="AY365" i="3"/>
  <c r="AY332" i="3"/>
  <c r="AY236" i="3"/>
  <c r="AY438" i="3"/>
  <c r="AY237" i="3"/>
  <c r="AY466" i="3"/>
  <c r="AY386" i="3"/>
  <c r="AY130" i="3"/>
  <c r="D22" i="46" l="1"/>
  <c r="C21" i="46" s="1"/>
  <c r="C29" i="46" s="1"/>
  <c r="C30" i="46" s="1"/>
  <c r="E30" i="46" s="1"/>
  <c r="C27" i="46" s="1"/>
  <c r="H104" i="46"/>
  <c r="H102" i="46"/>
  <c r="H109" i="46"/>
  <c r="H103" i="46"/>
  <c r="H105" i="46"/>
  <c r="H107" i="46"/>
  <c r="H106" i="46"/>
  <c r="G109" i="46"/>
  <c r="G103" i="46"/>
  <c r="G105" i="46"/>
  <c r="G102" i="46"/>
  <c r="G106" i="46"/>
  <c r="G104" i="46"/>
  <c r="G107" i="46"/>
  <c r="I102" i="46"/>
  <c r="I109" i="46"/>
  <c r="I107" i="46"/>
  <c r="I105" i="46"/>
  <c r="I104" i="46"/>
  <c r="I106" i="46"/>
  <c r="I103" i="46"/>
  <c r="C102" i="46"/>
  <c r="C105" i="46"/>
  <c r="C109" i="46"/>
  <c r="C104" i="46"/>
  <c r="C106" i="46"/>
  <c r="C107" i="46"/>
  <c r="C103" i="46"/>
  <c r="D102" i="46"/>
  <c r="D109" i="46"/>
  <c r="D107" i="46"/>
  <c r="D106" i="46"/>
  <c r="D103" i="46"/>
  <c r="D104" i="46"/>
  <c r="D105" i="46"/>
  <c r="K105" i="46"/>
  <c r="K109" i="46"/>
  <c r="K106" i="46"/>
  <c r="K107" i="46"/>
  <c r="K104" i="46"/>
  <c r="K103" i="46"/>
  <c r="K102" i="46"/>
  <c r="D116" i="46"/>
  <c r="E116" i="46" s="1"/>
  <c r="F116" i="46" s="1"/>
  <c r="G116" i="46" s="1"/>
  <c r="H116" i="46" s="1"/>
  <c r="I115" i="46"/>
  <c r="J115" i="46" s="1"/>
  <c r="K115" i="46" s="1"/>
  <c r="L115" i="46" s="1"/>
  <c r="M115" i="46" s="1"/>
  <c r="D117" i="46"/>
  <c r="E117" i="46" s="1"/>
  <c r="F117" i="46" s="1"/>
  <c r="G117" i="46" s="1"/>
  <c r="H117" i="46" s="1"/>
  <c r="D115" i="46"/>
  <c r="E115" i="46" s="1"/>
  <c r="F115" i="46" s="1"/>
  <c r="G115" i="46" s="1"/>
  <c r="H115" i="46" s="1"/>
  <c r="D118" i="46"/>
  <c r="E118" i="46" s="1"/>
  <c r="F118" i="46" s="1"/>
  <c r="B117" i="46"/>
  <c r="C117" i="46" s="1"/>
  <c r="I116" i="46"/>
  <c r="J116" i="46" s="1"/>
  <c r="K116" i="46" s="1"/>
  <c r="L116" i="46" s="1"/>
  <c r="M116" i="46" s="1"/>
  <c r="I118" i="46"/>
  <c r="J118" i="46" s="1"/>
  <c r="K118" i="46" s="1"/>
  <c r="L118" i="46" s="1"/>
  <c r="M118" i="46" s="1"/>
  <c r="G118" i="46"/>
  <c r="H118" i="46" s="1"/>
  <c r="B115" i="46"/>
  <c r="C115" i="46" s="1"/>
  <c r="B116" i="46"/>
  <c r="C116" i="46" s="1"/>
  <c r="I117" i="46"/>
  <c r="J117" i="46" s="1"/>
  <c r="K117" i="46" s="1"/>
  <c r="L117" i="46" s="1"/>
  <c r="M117" i="46" s="1"/>
  <c r="B118" i="46"/>
  <c r="C118" i="46" s="1"/>
  <c r="E103" i="46"/>
  <c r="E107" i="46"/>
  <c r="E104" i="46"/>
  <c r="E109" i="46"/>
  <c r="E105" i="46"/>
  <c r="E102" i="46"/>
  <c r="E106" i="46"/>
  <c r="F45" i="9"/>
  <c r="H24" i="6"/>
  <c r="D24" i="6"/>
  <c r="D10" i="6"/>
  <c r="D6" i="6"/>
  <c r="H26" i="6"/>
  <c r="D14" i="6"/>
  <c r="F46" i="9"/>
  <c r="E63" i="40"/>
  <c r="F63" i="40" s="1"/>
  <c r="B2" i="40" s="1"/>
  <c r="E68" i="39"/>
  <c r="F68" i="39" s="1"/>
  <c r="B2" i="39" s="1"/>
  <c r="D28" i="6"/>
  <c r="D11" i="6"/>
  <c r="D9" i="6"/>
  <c r="D22" i="6"/>
  <c r="K38" i="9"/>
  <c r="C14" i="66" s="1"/>
  <c r="C22" i="4"/>
  <c r="H20" i="6"/>
  <c r="D5" i="6"/>
  <c r="D26" i="6"/>
  <c r="E45" i="9"/>
  <c r="H21" i="6"/>
  <c r="H22" i="6"/>
  <c r="D19" i="6"/>
  <c r="D13" i="6"/>
  <c r="D20" i="6"/>
  <c r="D15" i="6"/>
  <c r="D12" i="6"/>
  <c r="E46" i="9"/>
  <c r="D21" i="6"/>
  <c r="R21" i="6" s="1"/>
  <c r="R8" i="1" s="1"/>
  <c r="H25" i="6"/>
  <c r="D29" i="6"/>
  <c r="E44" i="9"/>
  <c r="D23" i="6"/>
  <c r="H23" i="6"/>
  <c r="F44" i="9"/>
  <c r="D8" i="6"/>
  <c r="D25" i="6"/>
  <c r="B5" i="11"/>
  <c r="B4" i="11"/>
  <c r="H19" i="6"/>
  <c r="B5" i="44"/>
  <c r="B4" i="44"/>
  <c r="L103" i="46"/>
  <c r="L102" i="46"/>
  <c r="L104" i="46"/>
  <c r="L107" i="46"/>
  <c r="L106" i="46"/>
  <c r="L109" i="46"/>
  <c r="L105" i="46"/>
  <c r="N103" i="46"/>
  <c r="N102" i="46"/>
  <c r="N106" i="46"/>
  <c r="N107" i="46"/>
  <c r="N105" i="46"/>
  <c r="N104" i="46"/>
  <c r="N109" i="46"/>
  <c r="J105" i="46"/>
  <c r="J109" i="46"/>
  <c r="J104" i="46"/>
  <c r="J107" i="46"/>
  <c r="J103" i="46"/>
  <c r="J106" i="46"/>
  <c r="J102" i="46"/>
  <c r="M107" i="46"/>
  <c r="M102" i="46"/>
  <c r="M106" i="46"/>
  <c r="M104" i="46"/>
  <c r="M109" i="46"/>
  <c r="M103" i="46"/>
  <c r="M105" i="46"/>
  <c r="F104" i="46"/>
  <c r="F105" i="46"/>
  <c r="F102" i="46"/>
  <c r="F109" i="46"/>
  <c r="F103" i="46"/>
  <c r="F106" i="46"/>
  <c r="F107" i="46"/>
  <c r="F35" i="74"/>
  <c r="D21" i="9"/>
  <c r="M21" i="74"/>
  <c r="E29" i="46" l="1"/>
  <c r="C26" i="46" s="1"/>
  <c r="B2" i="46" s="1"/>
  <c r="B3" i="46" s="1"/>
  <c r="D30" i="6"/>
  <c r="R25" i="6"/>
  <c r="R12" i="1" s="1"/>
  <c r="R22" i="6"/>
  <c r="R9" i="1" s="1"/>
  <c r="R20" i="6"/>
  <c r="R7" i="1" s="1"/>
  <c r="C34" i="74"/>
  <c r="C31" i="74" s="1"/>
  <c r="F62" i="74"/>
  <c r="C61" i="74" s="1"/>
  <c r="C58" i="74" s="1"/>
  <c r="J20" i="74"/>
  <c r="H27" i="6"/>
  <c r="R26" i="6"/>
  <c r="D4" i="46"/>
  <c r="N5" i="54"/>
  <c r="B43" i="63" s="1"/>
  <c r="A6" i="64"/>
  <c r="A6" i="51"/>
  <c r="B7" i="63" s="1"/>
  <c r="A20" i="64"/>
  <c r="A20" i="51"/>
  <c r="B15" i="63" s="1"/>
  <c r="B2" i="66"/>
  <c r="R24" i="6"/>
  <c r="R11" i="1" s="1"/>
  <c r="D113" i="46"/>
  <c r="D16" i="6"/>
  <c r="R23" i="6"/>
  <c r="R10" i="1" s="1"/>
  <c r="D27" i="6"/>
  <c r="R19" i="6"/>
  <c r="B4" i="39"/>
  <c r="B5" i="39"/>
  <c r="B3" i="39"/>
  <c r="B5" i="40"/>
  <c r="B3" i="40"/>
  <c r="B4" i="40"/>
  <c r="M21" i="75"/>
  <c r="F35" i="76"/>
  <c r="M21" i="78"/>
  <c r="F35" i="78"/>
  <c r="M21" i="73"/>
  <c r="M21" i="86"/>
  <c r="F35" i="86"/>
  <c r="M21" i="76"/>
  <c r="F35" i="75"/>
  <c r="F35" i="73"/>
  <c r="J20" i="86" l="1"/>
  <c r="J17" i="86" s="1"/>
  <c r="J16" i="86" s="1"/>
  <c r="J25" i="86" s="1"/>
  <c r="C34" i="86"/>
  <c r="C31" i="86" s="1"/>
  <c r="C30" i="86" s="1"/>
  <c r="C39" i="86" s="1"/>
  <c r="F62" i="86"/>
  <c r="C61" i="86" s="1"/>
  <c r="C58" i="86" s="1"/>
  <c r="C57" i="86" s="1"/>
  <c r="C66" i="86" s="1"/>
  <c r="C67" i="86" s="1"/>
  <c r="B4" i="46"/>
  <c r="F62" i="78"/>
  <c r="C61" i="78" s="1"/>
  <c r="C58" i="78" s="1"/>
  <c r="C57" i="78" s="1"/>
  <c r="C66" i="78" s="1"/>
  <c r="C67" i="78" s="1"/>
  <c r="C34" i="78"/>
  <c r="C31" i="78" s="1"/>
  <c r="C30" i="78" s="1"/>
  <c r="C39" i="78" s="1"/>
  <c r="J20" i="78"/>
  <c r="J17" i="78" s="1"/>
  <c r="J16" i="78" s="1"/>
  <c r="J25" i="78" s="1"/>
  <c r="D31" i="6"/>
  <c r="I6" i="6" s="1"/>
  <c r="C34" i="73"/>
  <c r="C31" i="73" s="1"/>
  <c r="F62" i="73"/>
  <c r="C61" i="73" s="1"/>
  <c r="C58" i="73" s="1"/>
  <c r="J20" i="73"/>
  <c r="J20" i="75"/>
  <c r="J17" i="75" s="1"/>
  <c r="J16" i="75" s="1"/>
  <c r="J25" i="75" s="1"/>
  <c r="C34" i="75"/>
  <c r="C31" i="75" s="1"/>
  <c r="C30" i="75" s="1"/>
  <c r="C39" i="75" s="1"/>
  <c r="C40" i="75" s="1"/>
  <c r="F62" i="75"/>
  <c r="C61" i="75" s="1"/>
  <c r="C58" i="75" s="1"/>
  <c r="C57" i="75" s="1"/>
  <c r="C66" i="75" s="1"/>
  <c r="C67" i="75" s="1"/>
  <c r="C70" i="75" s="1"/>
  <c r="J20" i="76"/>
  <c r="J17" i="76" s="1"/>
  <c r="J16" i="76" s="1"/>
  <c r="J25" i="76" s="1"/>
  <c r="C34" i="76"/>
  <c r="C31" i="76" s="1"/>
  <c r="C30" i="76" s="1"/>
  <c r="C39" i="76" s="1"/>
  <c r="F62" i="76"/>
  <c r="C61" i="76" s="1"/>
  <c r="C58" i="76" s="1"/>
  <c r="C57" i="76" s="1"/>
  <c r="C66" i="76" s="1"/>
  <c r="C67" i="76" s="1"/>
  <c r="D7" i="66"/>
  <c r="D6" i="66"/>
  <c r="D8" i="66"/>
  <c r="R27" i="6"/>
  <c r="R6" i="1"/>
  <c r="M21" i="15"/>
  <c r="L51" i="76"/>
  <c r="F35" i="15"/>
  <c r="L51" i="86"/>
  <c r="Q68" i="86" l="1"/>
  <c r="Q70" i="86"/>
  <c r="Q69" i="86" s="1"/>
  <c r="C40" i="86"/>
  <c r="C46" i="86" s="1"/>
  <c r="J39" i="86"/>
  <c r="J40" i="86" s="1"/>
  <c r="C70" i="86"/>
  <c r="Q70" i="78"/>
  <c r="Q69" i="78" s="1"/>
  <c r="C40" i="78"/>
  <c r="C46" i="78" s="1"/>
  <c r="J39" i="78"/>
  <c r="J40" i="78" s="1"/>
  <c r="C70" i="78"/>
  <c r="L57" i="76"/>
  <c r="L60" i="76" s="1"/>
  <c r="I5" i="6"/>
  <c r="J39" i="75"/>
  <c r="J40" i="75" s="1"/>
  <c r="Q70" i="75"/>
  <c r="Q69" i="75" s="1"/>
  <c r="C34" i="15"/>
  <c r="C31" i="15" s="1"/>
  <c r="F62" i="15"/>
  <c r="C61" i="15" s="1"/>
  <c r="C58" i="15" s="1"/>
  <c r="J20" i="15"/>
  <c r="Q68" i="76"/>
  <c r="Q66" i="75"/>
  <c r="Q76" i="75" s="1"/>
  <c r="Q48" i="75"/>
  <c r="Q54" i="75" s="1"/>
  <c r="C43" i="75"/>
  <c r="J42" i="75"/>
  <c r="J43" i="75" s="1"/>
  <c r="B2" i="75"/>
  <c r="F10" i="89" s="1"/>
  <c r="Q57" i="75"/>
  <c r="Q63" i="75" s="1"/>
  <c r="C70" i="76"/>
  <c r="R16" i="1"/>
  <c r="Q70" i="76"/>
  <c r="Q69" i="76" s="1"/>
  <c r="J39" i="76"/>
  <c r="J40" i="76" s="1"/>
  <c r="C40" i="76"/>
  <c r="C46" i="75"/>
  <c r="L51" i="78"/>
  <c r="L51" i="75"/>
  <c r="Q66" i="86" l="1"/>
  <c r="Q76" i="86" s="1"/>
  <c r="Q48" i="86"/>
  <c r="Q54" i="86" s="1"/>
  <c r="B2" i="86"/>
  <c r="Q57" i="86"/>
  <c r="Q63" i="86" s="1"/>
  <c r="C43" i="86"/>
  <c r="J42" i="86"/>
  <c r="J43" i="86" s="1"/>
  <c r="F10" i="81"/>
  <c r="F10" i="87"/>
  <c r="F10" i="79"/>
  <c r="F10" i="80"/>
  <c r="Q68" i="78"/>
  <c r="Q57" i="78"/>
  <c r="Q63" i="78" s="1"/>
  <c r="C43" i="78"/>
  <c r="B2" i="78"/>
  <c r="Q66" i="78"/>
  <c r="Q76" i="78" s="1"/>
  <c r="J42" i="78"/>
  <c r="J43" i="78" s="1"/>
  <c r="Q48" i="78"/>
  <c r="Q54" i="78" s="1"/>
  <c r="Q67" i="76"/>
  <c r="L46" i="76"/>
  <c r="B2" i="76" s="1"/>
  <c r="G10" i="89" s="1"/>
  <c r="Q58" i="76"/>
  <c r="Q68" i="75"/>
  <c r="Q48" i="76"/>
  <c r="Q54" i="76" s="1"/>
  <c r="Q57" i="76"/>
  <c r="C43" i="76"/>
  <c r="J42" i="76"/>
  <c r="J43" i="76" s="1"/>
  <c r="Q66" i="76"/>
  <c r="C46" i="76"/>
  <c r="B3" i="75"/>
  <c r="F10" i="12"/>
  <c r="I10" i="89" l="1"/>
  <c r="B3" i="86"/>
  <c r="C10" i="87" s="1"/>
  <c r="I10" i="87"/>
  <c r="G10" i="81"/>
  <c r="G10" i="87"/>
  <c r="H10" i="80"/>
  <c r="G10" i="79"/>
  <c r="G10" i="80"/>
  <c r="B3" i="78"/>
  <c r="F18" i="68" s="1"/>
  <c r="Q76" i="76"/>
  <c r="Q63" i="76"/>
  <c r="G10" i="12"/>
  <c r="B3" i="76"/>
  <c r="F17" i="68" l="1"/>
  <c r="F19" i="68" l="1"/>
  <c r="D66" i="9"/>
  <c r="N72" i="9" s="1"/>
  <c r="L60" i="15"/>
  <c r="Q67" i="15" s="1"/>
  <c r="Q58" i="15" l="1"/>
  <c r="J17" i="82" l="1"/>
  <c r="F9" i="74"/>
  <c r="C6" i="74" l="1"/>
  <c r="C10" i="74" s="1"/>
  <c r="C5" i="74" l="1"/>
  <c r="C38" i="74" s="1"/>
  <c r="J22" i="82" l="1"/>
  <c r="M6" i="1" l="1"/>
  <c r="O6" i="1" s="1"/>
  <c r="O16" i="1" s="1"/>
  <c r="C16" i="15"/>
  <c r="C14" i="15"/>
  <c r="C18" i="15" l="1"/>
  <c r="C15" i="15"/>
  <c r="M16" i="1"/>
  <c r="L16" i="1" s="1"/>
  <c r="C15" i="43"/>
  <c r="P6" i="1"/>
  <c r="C13" i="81"/>
  <c r="C15" i="81"/>
  <c r="N16" i="1" l="1"/>
  <c r="C29" i="43" s="1"/>
  <c r="C13" i="43"/>
  <c r="C17" i="43" s="1"/>
  <c r="C19" i="15"/>
  <c r="C20" i="15" s="1"/>
  <c r="C26" i="15" s="1"/>
  <c r="C14" i="81"/>
  <c r="C17" i="81"/>
  <c r="C15" i="12"/>
  <c r="P16" i="1"/>
  <c r="C13" i="12" s="1"/>
  <c r="C14" i="43" l="1"/>
  <c r="C18" i="43" s="1"/>
  <c r="C19" i="43" s="1"/>
  <c r="C22" i="43" s="1"/>
  <c r="C21" i="43" s="1"/>
  <c r="C23" i="15"/>
  <c r="C29" i="15" s="1"/>
  <c r="J14" i="15" s="1"/>
  <c r="C18" i="81"/>
  <c r="C23" i="81" s="1"/>
  <c r="C17" i="12"/>
  <c r="C14" i="12"/>
  <c r="C13" i="15" l="1"/>
  <c r="Q71" i="15" s="1"/>
  <c r="C36" i="15"/>
  <c r="J19" i="15"/>
  <c r="J17" i="15" s="1"/>
  <c r="Q50" i="15"/>
  <c r="C56" i="15"/>
  <c r="C63" i="15" s="1"/>
  <c r="C18" i="12"/>
  <c r="C23" i="12" s="1"/>
  <c r="J22" i="15"/>
  <c r="J13" i="15"/>
  <c r="J23" i="15" s="1"/>
  <c r="C37" i="15" l="1"/>
  <c r="C30" i="15" s="1"/>
  <c r="C39" i="15" s="1"/>
  <c r="Q70" i="15" s="1"/>
  <c r="Q69" i="15" s="1"/>
  <c r="J35" i="15"/>
  <c r="C55" i="15"/>
  <c r="C64" i="15" s="1"/>
  <c r="C57" i="15" s="1"/>
  <c r="C66" i="15" s="1"/>
  <c r="C67" i="15" s="1"/>
  <c r="C70" i="15" s="1"/>
  <c r="J16" i="15"/>
  <c r="J25" i="15" s="1"/>
  <c r="L51" i="15"/>
  <c r="Q68" i="15" l="1"/>
  <c r="L57" i="15"/>
  <c r="C40" i="15"/>
  <c r="C46" i="15" s="1"/>
  <c r="J39" i="15"/>
  <c r="J40" i="15" s="1"/>
  <c r="Q66" i="15" l="1"/>
  <c r="Q76" i="15" s="1"/>
  <c r="J42" i="15"/>
  <c r="J43" i="15" s="1"/>
  <c r="Q48" i="15"/>
  <c r="Q54" i="15" s="1"/>
  <c r="Q57" i="15"/>
  <c r="Q63" i="15" s="1"/>
  <c r="C43" i="15"/>
  <c r="B2" i="15"/>
  <c r="B3" i="15" s="1"/>
  <c r="Q7" i="1"/>
  <c r="Q8" i="1" s="1"/>
  <c r="F26" i="73"/>
  <c r="F33" i="79"/>
  <c r="F33" i="89" l="1"/>
  <c r="C34" i="89" s="1"/>
  <c r="D33" i="89" s="1"/>
  <c r="C34" i="79"/>
  <c r="D33" i="79" s="1"/>
  <c r="C27" i="73"/>
  <c r="C26" i="73"/>
  <c r="C29" i="73" l="1"/>
  <c r="Q50" i="73" s="1"/>
  <c r="C13" i="73" l="1"/>
  <c r="Q71" i="73" s="1"/>
  <c r="C36" i="73"/>
  <c r="J19" i="73"/>
  <c r="J17" i="73" s="1"/>
  <c r="C56" i="73"/>
  <c r="C63" i="73" s="1"/>
  <c r="J14" i="73"/>
  <c r="J13" i="73" s="1"/>
  <c r="J23" i="73" s="1"/>
  <c r="J22" i="73" l="1"/>
  <c r="J16" i="73" s="1"/>
  <c r="J25" i="73" s="1"/>
  <c r="C55" i="73"/>
  <c r="C64" i="73" s="1"/>
  <c r="C57" i="73" s="1"/>
  <c r="C66" i="73" s="1"/>
  <c r="C67" i="73" s="1"/>
  <c r="C70" i="73" s="1"/>
  <c r="C37" i="73"/>
  <c r="C30" i="73" s="1"/>
  <c r="C39" i="73" s="1"/>
  <c r="J35" i="73"/>
  <c r="L51" i="73"/>
  <c r="Q70" i="73" l="1"/>
  <c r="Q69" i="73" s="1"/>
  <c r="C40" i="73"/>
  <c r="Q48" i="73" s="1"/>
  <c r="Q54" i="73" s="1"/>
  <c r="J39" i="73"/>
  <c r="J40" i="73" s="1"/>
  <c r="Q68" i="73"/>
  <c r="Q57" i="73" l="1"/>
  <c r="Q63" i="73" s="1"/>
  <c r="B2" i="73"/>
  <c r="D10" i="89" s="1"/>
  <c r="C43" i="73"/>
  <c r="C46" i="73"/>
  <c r="J42" i="73"/>
  <c r="J43" i="73" s="1"/>
  <c r="Q66" i="73"/>
  <c r="Q76" i="73" s="1"/>
  <c r="Q16" i="1"/>
  <c r="F33" i="12" s="1"/>
  <c r="C34" i="12" s="1"/>
  <c r="D33" i="12" s="1"/>
  <c r="B3" i="73" l="1"/>
  <c r="F15" i="68" s="1"/>
  <c r="F24" i="43"/>
  <c r="C26" i="43" s="1"/>
  <c r="D24" i="43" s="1"/>
  <c r="D10" i="79"/>
  <c r="D10" i="12"/>
  <c r="C25" i="43" l="1"/>
  <c r="C24" i="43" s="1"/>
  <c r="C28" i="43" s="1"/>
  <c r="C30" i="43" s="1"/>
  <c r="C32" i="43" s="1"/>
  <c r="B2" i="43" s="1"/>
  <c r="B4" i="43" s="1"/>
  <c r="F26" i="74"/>
  <c r="B3" i="43" l="1"/>
  <c r="B5" i="43"/>
  <c r="C27" i="74"/>
  <c r="C26" i="74"/>
  <c r="C29" i="74" l="1"/>
  <c r="C36" i="74" s="1"/>
  <c r="J14" i="74" l="1"/>
  <c r="J22" i="74" s="1"/>
  <c r="C56" i="74"/>
  <c r="C63" i="74" s="1"/>
  <c r="C13" i="74"/>
  <c r="C37" i="74" s="1"/>
  <c r="C30" i="74" s="1"/>
  <c r="C39" i="74" s="1"/>
  <c r="J19" i="74"/>
  <c r="J17" i="74" s="1"/>
  <c r="Q50" i="74"/>
  <c r="L51" i="74"/>
  <c r="J13" i="74" l="1"/>
  <c r="J23" i="74" s="1"/>
  <c r="J16" i="74" s="1"/>
  <c r="J25" i="74" s="1"/>
  <c r="J35" i="74"/>
  <c r="J39" i="74" s="1"/>
  <c r="J40" i="74" s="1"/>
  <c r="Q71" i="74"/>
  <c r="C55" i="74"/>
  <c r="C64" i="74" s="1"/>
  <c r="C57" i="74" s="1"/>
  <c r="C66" i="74" s="1"/>
  <c r="C67" i="74" s="1"/>
  <c r="C70" i="74" s="1"/>
  <c r="Q68" i="74"/>
  <c r="Q70" i="74"/>
  <c r="C40" i="74"/>
  <c r="Q69" i="74" l="1"/>
  <c r="Q48" i="74"/>
  <c r="Q54" i="74" s="1"/>
  <c r="Q57" i="74"/>
  <c r="Q63" i="74" s="1"/>
  <c r="C43" i="74"/>
  <c r="Q66" i="74"/>
  <c r="Q76" i="74" s="1"/>
  <c r="B2" i="74"/>
  <c r="E10" i="89" s="1"/>
  <c r="J42" i="74"/>
  <c r="J43" i="74" s="1"/>
  <c r="C46" i="74"/>
  <c r="E10" i="87" l="1"/>
  <c r="C6" i="87" s="1"/>
  <c r="N8" i="87" s="1"/>
  <c r="B3" i="74"/>
  <c r="F16" i="68" s="1"/>
  <c r="E10" i="80"/>
  <c r="E10" i="81"/>
  <c r="E10" i="79"/>
  <c r="E10" i="12"/>
  <c r="C29" i="87" l="1"/>
  <c r="C24" i="87"/>
  <c r="N7" i="87"/>
  <c r="N6" i="87"/>
  <c r="N9" i="87"/>
  <c r="N10" i="87"/>
  <c r="C6" i="79"/>
  <c r="N8" i="79" s="1"/>
  <c r="C6" i="80"/>
  <c r="N8" i="80" s="1"/>
  <c r="C6" i="81"/>
  <c r="N8" i="81" s="1"/>
  <c r="C28" i="87" l="1"/>
  <c r="C26" i="87" s="1"/>
  <c r="C35" i="87"/>
  <c r="C33" i="87" s="1"/>
  <c r="C31" i="87"/>
  <c r="C30" i="87" s="1"/>
  <c r="C29" i="81"/>
  <c r="C24" i="81"/>
  <c r="N7" i="81"/>
  <c r="N6" i="81"/>
  <c r="N9" i="81"/>
  <c r="N10" i="81"/>
  <c r="C24" i="80"/>
  <c r="C29" i="80"/>
  <c r="N9" i="80"/>
  <c r="N6" i="80"/>
  <c r="N7" i="80"/>
  <c r="N10" i="80"/>
  <c r="C29" i="79"/>
  <c r="C24" i="79"/>
  <c r="N7" i="79"/>
  <c r="N10" i="79"/>
  <c r="N6" i="79"/>
  <c r="N9" i="79"/>
  <c r="C36" i="87" l="1"/>
  <c r="C37" i="87" s="1"/>
  <c r="C28" i="79"/>
  <c r="C26" i="79" s="1"/>
  <c r="C31" i="79" s="1"/>
  <c r="C30" i="79" s="1"/>
  <c r="C35" i="79"/>
  <c r="C33" i="79" s="1"/>
  <c r="C35" i="80"/>
  <c r="C33" i="80" s="1"/>
  <c r="C28" i="80"/>
  <c r="C26" i="80" s="1"/>
  <c r="C31" i="80" s="1"/>
  <c r="C30" i="80" s="1"/>
  <c r="C28" i="81"/>
  <c r="C26" i="81" s="1"/>
  <c r="C31" i="81" s="1"/>
  <c r="C30" i="81" s="1"/>
  <c r="C35" i="81"/>
  <c r="C33" i="81" s="1"/>
  <c r="B2" i="87" l="1"/>
  <c r="C6" i="89" s="1"/>
  <c r="C36" i="80"/>
  <c r="B2" i="80" s="1"/>
  <c r="C36" i="81"/>
  <c r="C36" i="79"/>
  <c r="B5" i="80"/>
  <c r="B5" i="87"/>
  <c r="B4" i="87"/>
  <c r="B4" i="80"/>
  <c r="B3" i="87"/>
  <c r="B3" i="80"/>
  <c r="C29" i="89" l="1"/>
  <c r="C24" i="89"/>
  <c r="N6" i="89"/>
  <c r="N9" i="89"/>
  <c r="N10" i="89"/>
  <c r="N7" i="89"/>
  <c r="N8" i="89"/>
  <c r="C14" i="88"/>
  <c r="G14" i="88" s="1"/>
  <c r="C6" i="12"/>
  <c r="N8" i="12" s="1"/>
  <c r="C14" i="82"/>
  <c r="G14" i="82" s="1"/>
  <c r="C37" i="80"/>
  <c r="C37" i="79"/>
  <c r="B2" i="79"/>
  <c r="C37" i="81"/>
  <c r="B2" i="81"/>
  <c r="B3" i="81"/>
  <c r="B4" i="81"/>
  <c r="B5" i="81"/>
  <c r="B3" i="79"/>
  <c r="C13" i="88" l="1"/>
  <c r="N9" i="12"/>
  <c r="C29" i="12"/>
  <c r="C24" i="12"/>
  <c r="C28" i="12" s="1"/>
  <c r="C26" i="12" s="1"/>
  <c r="C35" i="89"/>
  <c r="C33" i="89" s="1"/>
  <c r="C28" i="89"/>
  <c r="C26" i="89" s="1"/>
  <c r="C31" i="89" s="1"/>
  <c r="C30" i="89" s="1"/>
  <c r="N10" i="12"/>
  <c r="N6" i="12"/>
  <c r="N7" i="12"/>
  <c r="C12" i="88"/>
  <c r="G12" i="88" s="1"/>
  <c r="H14" i="88" s="1"/>
  <c r="J14" i="88" s="1"/>
  <c r="C12" i="82"/>
  <c r="G12" i="82" s="1"/>
  <c r="H14" i="82" s="1"/>
  <c r="C13" i="82"/>
  <c r="G13" i="82" s="1"/>
  <c r="B5" i="79"/>
  <c r="B4" i="79"/>
  <c r="C31" i="12" l="1"/>
  <c r="C30" i="12" s="1"/>
  <c r="C36" i="89"/>
  <c r="B3" i="89" s="1"/>
  <c r="C35" i="12"/>
  <c r="C33" i="12" s="1"/>
  <c r="C36" i="12" s="1"/>
  <c r="B2" i="12" s="1"/>
  <c r="C37" i="89"/>
  <c r="J14" i="82"/>
  <c r="H13" i="82"/>
  <c r="H15" i="82" s="1"/>
  <c r="C19" i="9"/>
  <c r="B2" i="89" l="1"/>
  <c r="B4" i="89" s="1"/>
  <c r="G3" i="88"/>
  <c r="H3" i="88" s="1"/>
  <c r="G13" i="88"/>
  <c r="H13" i="88" s="1"/>
  <c r="H15" i="88" s="1"/>
  <c r="C37" i="12"/>
  <c r="J13" i="82"/>
  <c r="J15" i="82" s="1"/>
  <c r="L43" i="9"/>
  <c r="G19" i="9"/>
  <c r="O5" i="89" s="1"/>
  <c r="D22" i="9"/>
  <c r="B5" i="12"/>
  <c r="B3" i="12"/>
  <c r="B4" i="12"/>
  <c r="C20" i="9"/>
  <c r="C21" i="9"/>
  <c r="B5" i="89" l="1"/>
  <c r="J13" i="88"/>
  <c r="J15" i="88" s="1"/>
  <c r="H5" i="88"/>
  <c r="J3" i="88"/>
  <c r="J5" i="88" s="1"/>
  <c r="K2" i="88" s="1"/>
  <c r="O8" i="89"/>
  <c r="Q8" i="89" s="1"/>
  <c r="O6" i="89"/>
  <c r="Q6" i="89" s="1"/>
  <c r="O7" i="89"/>
  <c r="Q7" i="89" s="1"/>
  <c r="O10" i="89"/>
  <c r="Q10" i="89" s="1"/>
  <c r="O9" i="89"/>
  <c r="Q9" i="89" s="1"/>
  <c r="J16" i="88"/>
  <c r="G21" i="9"/>
  <c r="G20" i="9"/>
  <c r="O5" i="87"/>
  <c r="O5" i="80"/>
  <c r="O5" i="12"/>
  <c r="G22" i="9"/>
  <c r="C32" i="9"/>
  <c r="J16" i="82"/>
  <c r="O5" i="79"/>
  <c r="O5" i="81"/>
  <c r="N43" i="9"/>
  <c r="K12" i="88" l="1"/>
  <c r="N34" i="88"/>
  <c r="K4" i="88"/>
  <c r="M4" i="88" s="1"/>
  <c r="R32" i="88"/>
  <c r="S32" i="88" s="1"/>
  <c r="K3" i="88"/>
  <c r="V32" i="88" s="1"/>
  <c r="W32" i="88" s="1"/>
  <c r="M2" i="88"/>
  <c r="K13" i="88"/>
  <c r="V34" i="88" s="1"/>
  <c r="W34" i="88" s="1"/>
  <c r="M12" i="88"/>
  <c r="O8" i="81"/>
  <c r="Q8" i="81" s="1"/>
  <c r="O6" i="81"/>
  <c r="Q6" i="81" s="1"/>
  <c r="O7" i="81"/>
  <c r="Q7" i="81" s="1"/>
  <c r="O10" i="81"/>
  <c r="Q10" i="81" s="1"/>
  <c r="O9" i="81"/>
  <c r="Q9" i="81" s="1"/>
  <c r="K12" i="82"/>
  <c r="N34" i="82"/>
  <c r="O8" i="80"/>
  <c r="Q8" i="80" s="1"/>
  <c r="O9" i="80"/>
  <c r="Q9" i="80" s="1"/>
  <c r="O7" i="80"/>
  <c r="Q7" i="80" s="1"/>
  <c r="O10" i="80"/>
  <c r="Q10" i="80" s="1"/>
  <c r="O6" i="80"/>
  <c r="Q6" i="80" s="1"/>
  <c r="O10" i="79"/>
  <c r="Q10" i="79" s="1"/>
  <c r="O7" i="79"/>
  <c r="Q7" i="79" s="1"/>
  <c r="O8" i="79"/>
  <c r="Q8" i="79" s="1"/>
  <c r="O9" i="79"/>
  <c r="Q9" i="79" s="1"/>
  <c r="O6" i="79"/>
  <c r="Q6" i="79" s="1"/>
  <c r="O43" i="9"/>
  <c r="O38" i="9"/>
  <c r="C34" i="9"/>
  <c r="C35" i="9"/>
  <c r="F42" i="9" s="1"/>
  <c r="C33" i="9"/>
  <c r="C42" i="9"/>
  <c r="O9" i="12"/>
  <c r="Q9" i="12" s="1"/>
  <c r="O10" i="12"/>
  <c r="Q10" i="12" s="1"/>
  <c r="O8" i="12"/>
  <c r="Q8" i="12" s="1"/>
  <c r="O6" i="12"/>
  <c r="Q6" i="12" s="1"/>
  <c r="O7" i="12"/>
  <c r="Q7" i="12" s="1"/>
  <c r="O10" i="87"/>
  <c r="Q10" i="87" s="1"/>
  <c r="O6" i="87"/>
  <c r="Q6" i="87" s="1"/>
  <c r="O8" i="87"/>
  <c r="Q8" i="87" s="1"/>
  <c r="O9" i="87"/>
  <c r="Q9" i="87" s="1"/>
  <c r="O7" i="87"/>
  <c r="Q7" i="87" s="1"/>
  <c r="O34" i="88" l="1"/>
  <c r="P34" i="88" s="1"/>
  <c r="Q34" i="88"/>
  <c r="K14" i="88"/>
  <c r="M14" i="88" s="1"/>
  <c r="R34" i="88"/>
  <c r="S34" i="88" s="1"/>
  <c r="M3" i="88"/>
  <c r="M5" i="88" s="1"/>
  <c r="AE32" i="88"/>
  <c r="AF32" i="88" s="1"/>
  <c r="M13" i="88"/>
  <c r="AB34" i="88"/>
  <c r="AC34" i="88" s="1"/>
  <c r="D42" i="9"/>
  <c r="Q5" i="54" s="1"/>
  <c r="B47" i="63" s="1"/>
  <c r="N38" i="9"/>
  <c r="K28" i="9" s="1"/>
  <c r="E42" i="9"/>
  <c r="P5" i="54" s="1"/>
  <c r="B46" i="63" s="1"/>
  <c r="M38" i="9"/>
  <c r="K27" i="9" s="1"/>
  <c r="R34" i="82"/>
  <c r="K14" i="82"/>
  <c r="K13" i="82"/>
  <c r="M12" i="82"/>
  <c r="R5" i="54"/>
  <c r="B48" i="63" s="1"/>
  <c r="D14" i="66"/>
  <c r="N68" i="9"/>
  <c r="D63" i="9"/>
  <c r="K26" i="9"/>
  <c r="K25" i="9"/>
  <c r="O34" i="82"/>
  <c r="P34" i="82" s="1"/>
  <c r="Q34" i="82"/>
  <c r="C18" i="82"/>
  <c r="G18" i="82" s="1"/>
  <c r="C17" i="82"/>
  <c r="G17" i="82" s="1"/>
  <c r="H19" i="82" s="1"/>
  <c r="J19" i="82" s="1"/>
  <c r="AE34" i="88" l="1"/>
  <c r="AF34" i="88" s="1"/>
  <c r="M15" i="88"/>
  <c r="D71" i="9"/>
  <c r="D70" i="9"/>
  <c r="C82" i="9"/>
  <c r="C81" i="9" s="1"/>
  <c r="C85" i="9" s="1"/>
  <c r="C86" i="9" s="1"/>
  <c r="D72" i="9" s="1"/>
  <c r="C90" i="9"/>
  <c r="C96" i="9"/>
  <c r="C91" i="9" s="1"/>
  <c r="C111" i="9"/>
  <c r="C104" i="9" s="1"/>
  <c r="D73" i="9"/>
  <c r="N73" i="9" s="1"/>
  <c r="C103" i="9"/>
  <c r="E14" i="66"/>
  <c r="F14" i="66"/>
  <c r="B5" i="66"/>
  <c r="M14" i="82"/>
  <c r="V34" i="82"/>
  <c r="M13" i="82"/>
  <c r="M15" i="82" s="1"/>
  <c r="J21" i="82"/>
  <c r="N35" i="82" s="1"/>
  <c r="Q35" i="82" s="1"/>
  <c r="C22" i="82"/>
  <c r="G22" i="82" s="1"/>
  <c r="H24" i="82" s="1"/>
  <c r="J24" i="82" s="1"/>
  <c r="C23" i="82"/>
  <c r="G23" i="82" s="1"/>
  <c r="C3" i="82"/>
  <c r="G3" i="82" s="1"/>
  <c r="C2" i="82"/>
  <c r="G2" i="82" s="1"/>
  <c r="H4" i="82" s="1"/>
  <c r="J4" i="82" s="1"/>
  <c r="H18" i="82"/>
  <c r="C113" i="9" l="1"/>
  <c r="C114" i="9" s="1"/>
  <c r="E114" i="9" s="1"/>
  <c r="E115" i="9" s="1"/>
  <c r="S34" i="82"/>
  <c r="C97" i="9"/>
  <c r="W34" i="82"/>
  <c r="C5" i="66"/>
  <c r="D5" i="66"/>
  <c r="O35" i="82"/>
  <c r="P35" i="82" s="1"/>
  <c r="H23" i="82"/>
  <c r="J6" i="82"/>
  <c r="H3" i="82"/>
  <c r="J3" i="82" s="1"/>
  <c r="J5" i="82" s="1"/>
  <c r="J26" i="82"/>
  <c r="N36" i="82" s="1"/>
  <c r="Q36" i="82" s="1"/>
  <c r="H20" i="82"/>
  <c r="J18" i="82"/>
  <c r="C115" i="9" l="1"/>
  <c r="D76" i="9" s="1"/>
  <c r="D74" i="9" s="1"/>
  <c r="N74" i="9" s="1"/>
  <c r="O77" i="9" s="1"/>
  <c r="Q77" i="9" s="1"/>
  <c r="AG34" i="82"/>
  <c r="AH34" i="82" s="1"/>
  <c r="J20" i="82"/>
  <c r="K17" i="82" s="1"/>
  <c r="K19" i="82" s="1"/>
  <c r="M19" i="82" s="1"/>
  <c r="C98" i="9"/>
  <c r="E98" i="9" s="1"/>
  <c r="E99" i="9" s="1"/>
  <c r="K2" i="82"/>
  <c r="O36" i="82"/>
  <c r="P36" i="82" s="1"/>
  <c r="N32" i="82"/>
  <c r="Q32" i="82" s="1"/>
  <c r="J23" i="82"/>
  <c r="H25" i="82"/>
  <c r="H5" i="82"/>
  <c r="O79" i="9" l="1"/>
  <c r="O81" i="9" s="1"/>
  <c r="O78" i="9"/>
  <c r="R32" i="82"/>
  <c r="S32" i="82" s="1"/>
  <c r="K4" i="82"/>
  <c r="M4" i="82" s="1"/>
  <c r="J25" i="82"/>
  <c r="K22" i="82" s="1"/>
  <c r="K24" i="82" s="1"/>
  <c r="M24" i="82" s="1"/>
  <c r="R35" i="82"/>
  <c r="S35" i="82" s="1"/>
  <c r="K18" i="82"/>
  <c r="M18" i="82" s="1"/>
  <c r="M17" i="82"/>
  <c r="C99" i="9"/>
  <c r="K3" i="82"/>
  <c r="M2" i="82"/>
  <c r="O32" i="82"/>
  <c r="P32" i="82" s="1"/>
  <c r="O80" i="9" l="1"/>
  <c r="M20" i="82"/>
  <c r="V35" i="82"/>
  <c r="W35" i="82" s="1"/>
  <c r="AG35" i="82" s="1"/>
  <c r="AH35" i="82" s="1"/>
  <c r="V32" i="82"/>
  <c r="W32" i="82" s="1"/>
  <c r="R36" i="82"/>
  <c r="S36" i="82" s="1"/>
  <c r="K23" i="82"/>
  <c r="M23" i="82" s="1"/>
  <c r="M22" i="82"/>
  <c r="M3" i="82"/>
  <c r="M5" i="82" s="1"/>
  <c r="V36" i="82" l="1"/>
  <c r="W36" i="82" s="1"/>
  <c r="AG36" i="82" s="1"/>
  <c r="AH36" i="82" s="1"/>
  <c r="AG32" i="82"/>
  <c r="AH32" i="82" s="1"/>
  <c r="M25" i="82"/>
  <c r="E7" i="88" l="1"/>
  <c r="E7" i="82"/>
  <c r="E9" i="82" l="1"/>
  <c r="E8" i="82"/>
  <c r="E9" i="88"/>
  <c r="E8" i="88"/>
  <c r="C7" i="88" l="1"/>
  <c r="G7" i="88" s="1"/>
  <c r="C7" i="82"/>
  <c r="G7" i="82" s="1"/>
  <c r="C9" i="88" l="1"/>
  <c r="G9" i="88" s="1"/>
  <c r="H9" i="88" s="1"/>
  <c r="J9" i="88" s="1"/>
  <c r="C9" i="82"/>
  <c r="G9" i="82" s="1"/>
  <c r="H9" i="82" s="1"/>
  <c r="J9" i="82" s="1"/>
  <c r="C8" i="82" l="1"/>
  <c r="G8" i="82" s="1"/>
  <c r="H8" i="82" s="1"/>
  <c r="G8" i="88"/>
  <c r="H8" i="88" s="1"/>
  <c r="H10" i="88" l="1"/>
  <c r="J8" i="88"/>
  <c r="J10" i="88" s="1"/>
  <c r="J11" i="82"/>
  <c r="H10" i="82"/>
  <c r="J8" i="82"/>
  <c r="J10" i="82" s="1"/>
  <c r="K7" i="88" l="1"/>
  <c r="R33" i="88" s="1"/>
  <c r="S33" i="88" s="1"/>
  <c r="N33" i="82"/>
  <c r="K7" i="82"/>
  <c r="Q33" i="82" l="1"/>
  <c r="O33" i="82"/>
  <c r="P33" i="82" s="1"/>
  <c r="R33" i="82"/>
  <c r="S33" i="82" s="1"/>
  <c r="K9" i="82"/>
  <c r="M9" i="82" s="1"/>
  <c r="M7" i="82"/>
  <c r="K8" i="82"/>
  <c r="K9" i="88"/>
  <c r="X33" i="88" s="1"/>
  <c r="Y33" i="88" s="1"/>
  <c r="M7" i="88"/>
  <c r="K8" i="88"/>
  <c r="V33" i="88" s="1"/>
  <c r="W33" i="88" s="1"/>
  <c r="M8" i="88" l="1"/>
  <c r="O22" i="88" s="1"/>
  <c r="O25" i="88" s="1"/>
  <c r="L26" i="88"/>
  <c r="L28" i="88" s="1"/>
  <c r="O17" i="88"/>
  <c r="O20" i="88" s="1"/>
  <c r="M8" i="82"/>
  <c r="O22" i="82" s="1"/>
  <c r="O25" i="82" s="1"/>
  <c r="V33" i="82"/>
  <c r="W33" i="82" s="1"/>
  <c r="AG33" i="82" s="1"/>
  <c r="AH33" i="82" s="1"/>
  <c r="M9" i="88"/>
  <c r="M10" i="88" s="1"/>
  <c r="AE33" i="88"/>
  <c r="AF33" i="88" s="1"/>
  <c r="M10" i="82"/>
  <c r="O17" i="82"/>
  <c r="O20"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<sst xmlns="http://schemas.openxmlformats.org/spreadsheetml/2006/main" count="10695" uniqueCount="3560">
  <si>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</si>
  <si>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</si>
  <si>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</si>
  <si>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</si>
  <si>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</si>
  <si>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</si>
  <si>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</si>
  <si>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</si>
  <si>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</si>
  <si>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</si>
  <si>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</si>
  <si>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</si>
  <si>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</si>
  <si>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</si>
  <si>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</si>
  <si>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</si>
  <si>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</si>
  <si>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</si>
  <si>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</si>
  <si>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</si>
  <si>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</si>
  <si>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</si>
  <si>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</si>
  <si>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</si>
  <si>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</si>
  <si>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</si>
  <si>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</si>
  <si>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</si>
  <si>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</si>
  <si>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</si>
  <si>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</si>
  <si>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</si>
  <si>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</si>
  <si>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</si>
  <si>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</si>
  <si>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</si>
  <si>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</si>
  <si>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</si>
  <si>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</si>
  <si>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</si>
  <si>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</si>
  <si>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</si>
  <si>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</si>
  <si>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</si>
  <si>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</si>
  <si>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</si>
  <si>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</si>
  <si>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</si>
  <si>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</si>
  <si>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</si>
  <si>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</si>
  <si>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</si>
  <si>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</si>
  <si>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</si>
  <si>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</si>
  <si>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</si>
  <si>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</si>
  <si>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</si>
  <si>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</si>
  <si>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</si>
  <si>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</si>
  <si>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</si>
  <si>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</si>
  <si>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</si>
  <si>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</si>
  <si>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</si>
  <si>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</si>
  <si>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</si>
  <si>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</si>
  <si>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</si>
  <si>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</si>
  <si>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</si>
  <si>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</si>
  <si>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</si>
  <si>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</si>
  <si>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</si>
  <si>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</si>
  <si>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</si>
  <si>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</si>
  <si>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</si>
  <si>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</si>
  <si>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</si>
  <si>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</si>
  <si>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</si>
  <si>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</si>
  <si>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</si>
  <si>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</si>
  <si>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</si>
  <si>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</si>
  <si>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</si>
  <si>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</si>
  <si>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</si>
  <si>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</si>
  <si>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</si>
  <si>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</si>
  <si>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</si>
  <si>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</si>
  <si>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</si>
  <si>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</si>
  <si>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</si>
  <si>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</si>
  <si>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</si>
  <si>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</si>
  <si>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</si>
  <si>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</si>
  <si>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</si>
  <si>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</si>
  <si>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</si>
  <si>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</si>
  <si>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</si>
  <si>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</si>
  <si>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</si>
  <si>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</si>
  <si>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</si>
  <si>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</si>
  <si>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</si>
  <si>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</si>
  <si>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</si>
  <si>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</si>
  <si>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</si>
  <si>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</si>
  <si>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</si>
  <si>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</si>
  <si>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</si>
  <si>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</si>
  <si>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</si>
  <si>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</si>
  <si>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</si>
  <si>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</si>
  <si>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</si>
  <si>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</si>
  <si>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</si>
  <si>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</si>
  <si>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</si>
  <si>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</si>
  <si>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</si>
  <si>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</si>
  <si>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</si>
  <si>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</si>
  <si>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</si>
  <si>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</si>
  <si>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</si>
  <si>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</si>
  <si>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</si>
  <si>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</si>
  <si>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</si>
  <si>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</si>
  <si>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</si>
  <si>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</si>
  <si>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</si>
  <si>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</si>
  <si>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</si>
  <si>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</si>
  <si>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</si>
  <si>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</si>
  <si>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</si>
  <si>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</si>
  <si>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</si>
  <si>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</si>
  <si>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</si>
  <si>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</si>
  <si>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</si>
  <si>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</si>
  <si>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</si>
  <si>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</si>
  <si>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</si>
  <si>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</si>
  <si>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</si>
  <si>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</si>
  <si>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</si>
  <si>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</si>
  <si>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</si>
  <si>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</si>
  <si>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</si>
  <si>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</si>
  <si>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</si>
  <si>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</si>
  <si>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</si>
  <si>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</si>
  <si>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</si>
  <si>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</si>
  <si>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</si>
  <si>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</si>
  <si>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</si>
  <si>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</si>
  <si>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</si>
  <si>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</si>
  <si>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</si>
  <si>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</si>
  <si>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</si>
  <si>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</si>
  <si>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</si>
  <si>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</si>
  <si>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</si>
  <si>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</si>
  <si>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</si>
  <si>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</si>
  <si>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</si>
  <si>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</si>
  <si>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</si>
  <si>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</si>
  <si>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</si>
  <si>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</si>
  <si>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</si>
  <si>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</si>
  <si>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</si>
  <si>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</si>
  <si>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</si>
  <si>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</si>
  <si>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</si>
  <si>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</si>
  <si>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</si>
  <si>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</si>
  <si>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</si>
  <si>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</si>
  <si>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</si>
  <si>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</si>
  <si>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</si>
  <si>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</si>
  <si>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</si>
  <si>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</si>
  <si>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</si>
  <si>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</si>
  <si>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</si>
  <si>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</si>
  <si>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</si>
  <si>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</si>
  <si>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</si>
  <si>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</si>
  <si>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</si>
  <si>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</si>
  <si>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</si>
  <si>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</si>
  <si>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</si>
  <si>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</si>
  <si>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</si>
  <si>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</si>
  <si>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</si>
  <si>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</si>
  <si>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</si>
  <si>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</si>
  <si>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</si>
  <si>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</si>
  <si>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</si>
  <si>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</si>
  <si>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</si>
  <si>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</si>
  <si>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</si>
  <si>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</si>
  <si>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</si>
  <si>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</si>
  <si>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</si>
  <si>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</si>
  <si>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</si>
  <si>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</si>
  <si>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</si>
  <si>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</si>
  <si>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</si>
  <si>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</si>
  <si>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</si>
  <si>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</si>
  <si>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</si>
  <si>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</si>
  <si>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</si>
  <si>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</si>
  <si>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</si>
  <si>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</si>
  <si>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</si>
  <si>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</si>
  <si>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</si>
  <si>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</si>
  <si>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</si>
  <si>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</si>
  <si>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</si>
  <si>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</si>
  <si>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</si>
  <si>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</si>
  <si>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</si>
  <si>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</si>
  <si>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</si>
  <si>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</si>
  <si>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</si>
  <si>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</si>
  <si>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</si>
  <si>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</si>
  <si>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</si>
  <si>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</si>
  <si>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</si>
  <si>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</si>
  <si>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</si>
  <si>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</si>
  <si>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</si>
  <si>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</si>
  <si>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</si>
  <si>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</si>
  <si>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</si>
  <si>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</si>
  <si>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</si>
  <si>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</si>
  <si>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</si>
  <si>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</si>
  <si>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</si>
  <si>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</si>
  <si>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</si>
  <si>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</si>
  <si>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</si>
  <si>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</si>
  <si>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</si>
  <si>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</si>
  <si>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</si>
  <si>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</si>
  <si>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</si>
  <si>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</si>
  <si>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</si>
  <si>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</si>
  <si>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</si>
  <si>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</si>
  <si>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</si>
  <si>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</si>
  <si>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</si>
  <si>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</si>
  <si>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</si>
  <si>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</si>
  <si>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</si>
  <si>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</si>
  <si>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</si>
  <si>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</si>
  <si>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</si>
  <si>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</si>
  <si>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</si>
  <si>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</si>
  <si>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</si>
  <si>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</si>
  <si>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</si>
  <si>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</si>
  <si>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</si>
  <si>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</si>
  <si>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</si>
  <si>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</si>
  <si>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</si>
  <si>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</si>
  <si>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</si>
  <si>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</si>
  <si>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</si>
  <si>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</si>
  <si>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</si>
  <si>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</si>
  <si>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</si>
  <si>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</si>
  <si>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</si>
  <si>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</si>
  <si>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</si>
  <si>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</si>
  <si>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</si>
  <si>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</si>
  <si>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</si>
  <si>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</si>
  <si>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</si>
  <si>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</si>
  <si>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</si>
  <si>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</si>
  <si>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</si>
  <si>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</si>
  <si>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</si>
  <si>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</si>
  <si>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</si>
  <si>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</si>
  <si>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</si>
  <si>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</si>
  <si>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</si>
  <si>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</si>
  <si>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</si>
  <si>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</si>
  <si>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</si>
  <si>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</si>
  <si>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</si>
  <si>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</si>
  <si>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</si>
  <si>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</si>
  <si>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</si>
  <si>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</si>
  <si>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</si>
  <si>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</si>
  <si>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</si>
  <si>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</si>
  <si>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</si>
  <si>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</si>
  <si>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</si>
  <si>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</si>
  <si>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</si>
  <si>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</si>
  <si>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</si>
  <si>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</si>
  <si>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</si>
  <si>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</si>
  <si>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</si>
  <si>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</si>
  <si>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</si>
  <si>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</si>
  <si>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</si>
  <si>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</si>
  <si>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</si>
  <si>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</si>
  <si>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</si>
  <si>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</si>
  <si>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</si>
  <si>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</si>
  <si>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</si>
  <si>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</si>
  <si>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</si>
  <si>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</si>
  <si>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</si>
  <si>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</si>
  <si>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</si>
  <si>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</si>
  <si>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</si>
  <si>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</si>
  <si>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</si>
  <si>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</si>
  <si>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</si>
  <si>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</si>
  <si>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</si>
  <si>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</si>
  <si>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</si>
  <si>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</si>
  <si>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</si>
  <si>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</si>
  <si>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</si>
  <si>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</si>
  <si>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</si>
  <si>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</si>
  <si>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</si>
  <si>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</si>
  <si>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</si>
  <si>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</si>
  <si>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</si>
  <si>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</si>
  <si>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</si>
  <si>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</si>
  <si>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</si>
  <si>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</si>
  <si>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</si>
  <si>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</si>
  <si>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</si>
  <si>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</si>
  <si>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</si>
  <si>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</si>
  <si>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</si>
  <si>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</si>
  <si>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</si>
  <si>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</si>
  <si>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</si>
  <si>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</si>
  <si>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</si>
  <si>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</si>
  <si>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</si>
  <si>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</si>
  <si>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</si>
  <si>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</si>
  <si>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</si>
  <si>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</si>
  <si>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</si>
  <si>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</si>
  <si>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</si>
  <si>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</si>
  <si>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</si>
  <si>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</si>
  <si>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</si>
  <si>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</si>
  <si>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</si>
  <si>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</si>
  <si>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</si>
  <si>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</si>
  <si>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</si>
  <si>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</si>
  <si>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</si>
  <si>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</si>
  <si>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</si>
  <si>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</si>
  <si>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</si>
  <si>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</si>
  <si>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</si>
  <si>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</si>
  <si>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</si>
  <si>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</si>
  <si>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</si>
  <si>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</si>
  <si>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</si>
  <si>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</si>
  <si>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</si>
  <si>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</si>
  <si>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</si>
  <si>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</si>
  <si>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</si>
  <si>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</si>
  <si>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</si>
  <si>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</si>
  <si>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</si>
  <si>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</si>
  <si>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</si>
  <si>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</si>
  <si>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</si>
  <si>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</si>
  <si>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</si>
  <si>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</si>
  <si>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</si>
  <si>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</si>
  <si>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</si>
  <si>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</si>
  <si>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</si>
  <si>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</si>
  <si>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</si>
  <si>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</si>
  <si>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</si>
  <si>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</si>
  <si>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</si>
  <si>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</si>
  <si>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</si>
  <si>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</si>
  <si>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</si>
  <si>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</si>
  <si>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</si>
  <si>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</si>
  <si>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</si>
  <si>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</si>
  <si>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</si>
  <si>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</si>
  <si>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</si>
  <si>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</si>
  <si>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</si>
  <si>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</si>
  <si>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</si>
  <si>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</si>
  <si>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</si>
  <si>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</si>
  <si>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</si>
  <si>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</si>
  <si>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</si>
  <si>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</si>
  <si>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</si>
  <si>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</si>
  <si>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</si>
  <si>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</si>
  <si>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</si>
  <si>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</si>
  <si>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</si>
  <si>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</si>
  <si>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</si>
  <si>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</si>
  <si>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</si>
  <si>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</si>
  <si>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</si>
  <si>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</si>
  <si>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</si>
  <si>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</si>
  <si>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</si>
  <si>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</si>
  <si>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</si>
  <si>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</si>
  <si>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</si>
  <si>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</si>
  <si>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</si>
  <si>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</si>
  <si>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</si>
  <si>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</si>
  <si>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</si>
  <si>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</si>
  <si>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</si>
  <si>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</si>
  <si>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</si>
  <si>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</si>
  <si>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</si>
  <si>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</si>
  <si>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</si>
  <si>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</si>
  <si>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</si>
  <si>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</si>
  <si>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</si>
  <si>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</si>
  <si>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</si>
  <si>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</si>
  <si>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</si>
  <si>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</si>
  <si>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</si>
  <si>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</si>
  <si>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</si>
  <si>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</si>
  <si>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</si>
  <si>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</si>
  <si>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</si>
  <si>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</si>
  <si>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</si>
  <si>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</si>
  <si>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</si>
  <si>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</si>
  <si>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</si>
  <si>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</si>
  <si>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</si>
  <si>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</si>
  <si>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</si>
  <si>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</si>
  <si>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</si>
  <si>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</si>
  <si>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</si>
  <si>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</si>
  <si>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</si>
  <si>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</si>
  <si>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</si>
  <si>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</si>
  <si>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</si>
  <si>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</si>
  <si>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</si>
  <si>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</si>
  <si>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</si>
  <si>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</si>
  <si>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</si>
  <si>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</si>
  <si>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</si>
  <si>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</si>
  <si>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</si>
  <si>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</si>
  <si>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</si>
  <si>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</si>
  <si>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</si>
  <si>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</si>
  <si>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</si>
  <si>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</si>
  <si>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</si>
  <si>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</si>
  <si>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</si>
  <si>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</si>
  <si>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</si>
  <si>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</si>
  <si>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</si>
  <si>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</si>
  <si>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</si>
  <si>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</si>
  <si>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</si>
  <si>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</si>
  <si>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</si>
  <si>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</si>
  <si>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</si>
  <si>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</si>
  <si>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</si>
  <si>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</si>
  <si>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</si>
  <si>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</si>
  <si>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</si>
  <si>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</si>
  <si>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</si>
  <si>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</si>
  <si>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</si>
  <si>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</si>
  <si>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</si>
  <si>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</si>
  <si>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</si>
  <si>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</si>
  <si>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</si>
  <si>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</si>
  <si>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</si>
  <si>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</si>
  <si>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</si>
  <si>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</si>
  <si>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</si>
  <si>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</si>
  <si>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</si>
  <si>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</si>
  <si>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</si>
  <si>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</si>
  <si>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</si>
  <si>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</si>
  <si>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</si>
  <si>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</si>
  <si>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</si>
  <si>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</si>
  <si>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</si>
  <si>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</si>
  <si>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</si>
  <si>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</si>
  <si>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</si>
  <si>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</si>
  <si>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</si>
  <si>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</si>
  <si>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</si>
  <si>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</si>
  <si>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</si>
  <si>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</si>
  <si>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</si>
  <si>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</si>
  <si>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</si>
  <si>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</si>
  <si>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</si>
  <si>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</si>
  <si>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</si>
  <si>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</si>
  <si>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</si>
  <si>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</si>
  <si>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</si>
  <si>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</si>
  <si>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</si>
  <si>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</si>
  <si>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</si>
  <si>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</si>
  <si>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</si>
  <si>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</si>
  <si>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</si>
  <si>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</si>
  <si>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</si>
  <si>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</si>
  <si>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</si>
  <si>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</si>
  <si>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</si>
  <si>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</si>
  <si>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</si>
  <si>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</si>
  <si>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</si>
  <si>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</si>
  <si>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</si>
  <si>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</si>
  <si>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</si>
  <si>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</si>
  <si>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</si>
  <si>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</si>
  <si>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</si>
  <si>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</si>
  <si>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</si>
  <si>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</si>
  <si>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</si>
  <si>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</si>
  <si>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</si>
  <si>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</si>
  <si>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</si>
  <si>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</si>
  <si>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</si>
  <si>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</si>
  <si>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</si>
  <si>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</si>
  <si>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</si>
  <si>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</si>
  <si>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</si>
  <si>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</si>
  <si>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</si>
  <si>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</si>
  <si>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</si>
  <si>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</si>
  <si>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</si>
  <si>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</si>
  <si>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</si>
  <si>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</si>
  <si>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</si>
  <si>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</si>
  <si>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</si>
  <si>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</si>
  <si>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</si>
  <si>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</si>
  <si>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</si>
  <si>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</si>
  <si>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</si>
  <si>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</si>
  <si>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</si>
  <si>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</si>
  <si>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</si>
  <si>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</si>
  <si>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</si>
  <si>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</si>
  <si>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</si>
  <si>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</si>
  <si>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</si>
  <si>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</si>
  <si>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</si>
  <si>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</si>
  <si>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</si>
  <si>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</si>
  <si>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</si>
  <si>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</si>
  <si>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</si>
  <si>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</si>
  <si>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</si>
  <si>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</si>
  <si>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</si>
  <si>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</si>
  <si>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</si>
  <si>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</si>
  <si>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</si>
  <si>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</si>
  <si>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</si>
  <si>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</si>
  <si>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</si>
  <si>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</si>
  <si>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</si>
  <si>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</si>
  <si>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</si>
  <si>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</si>
  <si>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</si>
  <si>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</si>
  <si>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</si>
  <si>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</si>
  <si>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</si>
  <si>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</si>
  <si>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</si>
  <si>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</si>
  <si>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</si>
  <si>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</si>
  <si>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</si>
  <si>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</si>
  <si>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</si>
  <si>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</si>
  <si>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</si>
  <si>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</si>
  <si>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</si>
  <si>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</si>
  <si>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</si>
  <si>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</si>
  <si>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</si>
  <si>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</si>
  <si>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</si>
  <si>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</si>
  <si>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</si>
  <si>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</si>
  <si>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</si>
  <si>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</si>
  <si>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</si>
  <si>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</si>
  <si>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</si>
  <si>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</si>
  <si>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</si>
  <si>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</si>
  <si>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</si>
  <si>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</si>
  <si>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</si>
  <si>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</si>
  <si>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</si>
  <si>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</si>
  <si>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</si>
  <si>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</si>
  <si>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</si>
  <si>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</si>
  <si>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</si>
  <si>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</si>
  <si>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</si>
  <si>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</si>
  <si>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</si>
  <si>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</si>
  <si>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</si>
  <si>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</si>
  <si>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</si>
  <si>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</si>
  <si>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</si>
  <si>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</si>
  <si>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</si>
  <si>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</si>
  <si>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</si>
  <si>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</si>
  <si>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</si>
  <si>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</si>
  <si>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</si>
  <si>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</si>
  <si>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</si>
  <si>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</si>
  <si>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</si>
  <si>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</si>
  <si>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</si>
  <si>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</si>
  <si>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</si>
  <si>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</si>
  <si>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</si>
  <si>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</si>
  <si>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</si>
  <si>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</si>
  <si>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</si>
  <si>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</si>
  <si>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</si>
  <si>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</si>
  <si>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</si>
  <si>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</si>
  <si>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</si>
  <si>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</si>
  <si>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</si>
  <si>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</si>
  <si>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</si>
  <si>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</si>
  <si>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</si>
  <si>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</si>
  <si>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</si>
  <si>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</si>
  <si>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</si>
  <si>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</si>
  <si>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</si>
  <si>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</si>
  <si>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</si>
  <si>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</si>
  <si>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</si>
  <si>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</si>
  <si>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</si>
  <si>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</si>
  <si>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</si>
  <si>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</si>
  <si>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</si>
  <si>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</si>
  <si>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</si>
  <si>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</si>
  <si>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</si>
  <si>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</si>
  <si>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</si>
  <si>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</si>
  <si>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</si>
  <si>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</si>
  <si>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</si>
  <si>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</si>
  <si>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</si>
  <si>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</si>
  <si>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</si>
  <si>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</si>
  <si>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</si>
  <si>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</si>
  <si>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</si>
  <si>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</si>
  <si>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</si>
  <si>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</si>
  <si>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</si>
  <si>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</si>
  <si>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</si>
  <si>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</si>
  <si>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</si>
  <si>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</si>
  <si>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</si>
  <si>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</si>
  <si>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</si>
  <si>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</si>
  <si>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</si>
  <si>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</si>
  <si>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</si>
  <si>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</si>
  <si>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</si>
  <si>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</si>
  <si>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</si>
  <si>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</si>
  <si>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</si>
  <si>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</si>
  <si>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</si>
  <si>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</si>
  <si>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</si>
  <si>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</si>
  <si>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</si>
  <si>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</si>
  <si>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</si>
  <si>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</si>
  <si>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</si>
  <si>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</si>
  <si>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</si>
  <si>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</si>
  <si>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</si>
  <si>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</si>
  <si>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</si>
  <si>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</si>
  <si>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</si>
  <si>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</si>
  <si>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</si>
  <si>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</si>
  <si>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</si>
  <si>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</si>
  <si>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</si>
  <si>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</si>
  <si>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</si>
  <si>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</si>
  <si>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</si>
  <si>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</si>
  <si>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</si>
  <si>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</si>
  <si>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</si>
  <si>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</si>
  <si>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</si>
  <si>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</si>
  <si>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</si>
  <si>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</si>
  <si>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</si>
  <si>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</si>
  <si>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</si>
  <si>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</si>
  <si>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</si>
  <si>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</si>
  <si>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</si>
  <si>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</si>
  <si>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</si>
  <si>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</si>
  <si>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</si>
  <si>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</si>
  <si>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</si>
  <si>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</si>
  <si>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</si>
  <si>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</si>
  <si>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</si>
  <si>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</si>
  <si>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</si>
  <si>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</si>
  <si>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</si>
  <si>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</si>
  <si>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</si>
  <si>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</si>
  <si>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</si>
  <si>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</si>
  <si>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</si>
  <si>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</si>
  <si>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</si>
  <si>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</si>
  <si>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</si>
  <si>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</si>
  <si>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</si>
  <si>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</si>
  <si>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</si>
  <si>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</si>
  <si>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</si>
  <si>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</si>
  <si>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</si>
  <si>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</si>
  <si>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</si>
  <si>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</si>
  <si>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</si>
  <si>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</si>
  <si>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</si>
  <si>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</si>
  <si>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</si>
  <si>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</si>
  <si>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</si>
  <si>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</si>
  <si>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</si>
  <si>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</si>
  <si>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</si>
  <si>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</si>
  <si>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</si>
  <si>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</si>
  <si>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</si>
  <si>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</si>
  <si>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</si>
  <si>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</si>
  <si>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</si>
  <si>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</si>
  <si>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</si>
  <si>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</si>
  <si>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</si>
  <si>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</si>
  <si>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</si>
  <si>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</si>
  <si>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</si>
  <si>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</si>
  <si>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</si>
  <si>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</si>
  <si>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</si>
  <si>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</si>
  <si>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</si>
  <si>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</si>
  <si>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</si>
  <si>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</si>
  <si>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</si>
  <si>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</si>
  <si>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</si>
  <si>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</si>
  <si>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</si>
  <si>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</si>
  <si>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</si>
  <si>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</si>
  <si>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</si>
  <si>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</si>
  <si>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</si>
  <si>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</si>
  <si>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</si>
  <si>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</si>
  <si>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</si>
  <si>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</si>
  <si>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</si>
  <si>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</si>
  <si>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</si>
  <si>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</si>
  <si>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</si>
  <si>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</si>
  <si>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</si>
  <si>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</si>
  <si>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</si>
  <si>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</si>
  <si>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</si>
  <si>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</si>
  <si>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</si>
  <si>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</si>
  <si>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</si>
  <si>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</si>
  <si>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</si>
  <si>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</si>
  <si>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</si>
  <si>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</si>
  <si>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</si>
  <si>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</si>
  <si>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</si>
  <si>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</si>
  <si>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</si>
  <si>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</si>
  <si>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</si>
  <si>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</si>
  <si>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</si>
  <si>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</si>
  <si>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</si>
  <si>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</si>
  <si>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</si>
  <si>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</si>
  <si>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</si>
  <si>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</si>
  <si>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</si>
  <si>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</si>
  <si>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</si>
  <si>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</si>
  <si>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</si>
  <si>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</si>
  <si>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</si>
  <si>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</si>
  <si>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</si>
  <si>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</si>
  <si>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</si>
  <si>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</si>
  <si>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</si>
  <si>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</si>
  <si>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</si>
  <si>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</si>
  <si>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</si>
  <si>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</si>
  <si>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</si>
  <si>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</si>
  <si>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</si>
  <si>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</si>
  <si>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</si>
  <si>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</si>
  <si>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</si>
  <si>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</si>
  <si>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</si>
  <si>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</si>
  <si>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</si>
  <si>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</si>
  <si>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</si>
  <si>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</si>
  <si>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</si>
  <si>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</si>
  <si>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</si>
  <si>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</si>
  <si>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</si>
  <si>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</si>
  <si>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</si>
  <si>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</si>
  <si>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</si>
  <si>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</si>
  <si>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</si>
  <si>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</si>
  <si>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</si>
  <si>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</si>
  <si>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</si>
  <si>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</si>
  <si>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</si>
  <si>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</si>
  <si>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</si>
  <si>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</si>
  <si>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</si>
  <si>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</si>
  <si>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</si>
  <si>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</si>
  <si>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</si>
  <si>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</si>
  <si>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</si>
  <si>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</si>
  <si>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</si>
  <si>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</si>
  <si>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</si>
  <si>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</si>
  <si>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</si>
  <si>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</si>
  <si>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</si>
  <si>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</si>
  <si>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</si>
  <si>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</si>
  <si>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</si>
  <si>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</si>
  <si>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</si>
  <si>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</si>
  <si>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</si>
  <si>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</si>
  <si>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</si>
  <si>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</si>
  <si>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</si>
  <si>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</si>
  <si>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</si>
  <si>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</si>
  <si>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</si>
  <si>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</si>
  <si>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</si>
  <si>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</si>
  <si>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</si>
  <si>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</si>
  <si>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</si>
  <si>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</si>
  <si>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</si>
  <si>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</si>
  <si>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</si>
  <si>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</si>
  <si>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</si>
  <si>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</si>
  <si>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</si>
  <si>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</si>
  <si>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</si>
  <si>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</si>
  <si>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</si>
  <si>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</si>
  <si>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</si>
  <si>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</si>
  <si>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</si>
  <si>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</si>
  <si>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</si>
  <si>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</si>
  <si>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</si>
  <si>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</si>
  <si>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</si>
  <si>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</si>
  <si>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</si>
  <si>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</si>
  <si>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</si>
  <si>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</si>
  <si>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</si>
  <si>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</si>
  <si>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</si>
  <si>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</si>
  <si>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</si>
  <si>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</si>
  <si>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</si>
  <si>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</si>
  <si>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</si>
  <si>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</si>
  <si>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</si>
  <si>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</si>
  <si>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</si>
  <si>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</si>
  <si>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</si>
  <si>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</si>
  <si>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</si>
  <si>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</si>
  <si>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</si>
  <si>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</si>
  <si>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</si>
  <si>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</si>
  <si>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</si>
  <si>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</si>
  <si>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</si>
  <si>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</si>
  <si>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</si>
  <si>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</si>
  <si>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</si>
  <si>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</si>
  <si>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</si>
  <si>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</si>
  <si>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</si>
  <si>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</si>
  <si>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</si>
  <si>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</si>
  <si>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</si>
  <si>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</si>
  <si>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</si>
  <si>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</si>
  <si>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</si>
  <si>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</si>
  <si>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</si>
  <si>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</si>
  <si>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</si>
  <si>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</si>
  <si>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</si>
  <si>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</si>
  <si>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</si>
  <si>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</si>
  <si>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</si>
  <si>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</si>
  <si>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</si>
  <si>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</si>
  <si>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</si>
  <si>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</si>
  <si>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</si>
  <si>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</si>
  <si>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</si>
  <si>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</si>
  <si>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</si>
  <si>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</si>
  <si>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</si>
  <si>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</si>
  <si>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</si>
  <si>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</si>
  <si>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</si>
  <si>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</si>
  <si>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</si>
  <si>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</si>
  <si>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</si>
  <si>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</si>
  <si>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</si>
  <si>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</si>
  <si>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</si>
  <si>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</si>
  <si>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</si>
  <si>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</si>
  <si>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</si>
  <si>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</si>
  <si>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</si>
  <si>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</si>
  <si>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</si>
  <si>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</si>
  <si>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</si>
  <si>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</si>
  <si>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</si>
  <si>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</si>
  <si>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</si>
  <si>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</si>
  <si>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</si>
  <si>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</si>
  <si>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</si>
  <si>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</si>
  <si>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</si>
  <si>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</si>
  <si>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</si>
  <si>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</si>
  <si>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</si>
  <si>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</si>
  <si>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</si>
  <si>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</si>
  <si>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</si>
  <si>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</si>
  <si>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</si>
  <si>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</si>
  <si>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</si>
  <si>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</si>
  <si>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</si>
  <si>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</si>
  <si>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</si>
  <si>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</si>
  <si>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</si>
  <si>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</si>
  <si>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</si>
  <si>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</si>
  <si>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</si>
  <si>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</si>
  <si>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</si>
  <si>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</si>
  <si>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</si>
  <si>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</si>
  <si>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</si>
  <si>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</si>
  <si>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</si>
  <si>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</si>
  <si>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</si>
  <si>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</si>
  <si>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</si>
  <si>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</si>
  <si>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</si>
  <si>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</si>
  <si>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</si>
  <si>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</si>
  <si>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</si>
  <si>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</si>
  <si>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</si>
  <si>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</si>
  <si>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</si>
  <si>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</si>
  <si>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</si>
  <si>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</si>
  <si>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</si>
  <si>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</si>
  <si>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</si>
  <si>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</si>
  <si>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</si>
  <si>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</si>
  <si>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</si>
  <si>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</si>
  <si>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</si>
  <si>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</si>
  <si>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</si>
  <si>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</si>
  <si>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</si>
  <si>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</si>
  <si>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</si>
  <si>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</si>
  <si>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</si>
  <si>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</si>
  <si>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</si>
  <si>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</si>
  <si>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</si>
  <si>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</si>
  <si>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</si>
  <si>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</si>
  <si>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</si>
  <si>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</si>
  <si>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</si>
  <si>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</si>
  <si>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</si>
  <si>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</si>
  <si>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</si>
  <si>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</si>
  <si>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</si>
  <si>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</si>
  <si>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</si>
  <si>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</si>
  <si>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</si>
  <si>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</si>
  <si>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</si>
  <si>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</si>
  <si>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</si>
  <si>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</si>
  <si>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</si>
  <si>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</si>
  <si>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</si>
  <si>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</si>
  <si>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</si>
  <si>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</si>
  <si>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</si>
  <si>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</si>
  <si>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</si>
  <si>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</si>
  <si>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</si>
  <si>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</si>
  <si>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</si>
  <si>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</si>
  <si>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</si>
  <si>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</si>
  <si>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</si>
  <si>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</si>
  <si>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</si>
  <si>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</si>
  <si>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</si>
  <si>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</si>
  <si>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</si>
  <si>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</si>
  <si>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</si>
  <si>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</si>
  <si>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</si>
  <si>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</si>
  <si>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</si>
  <si>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</si>
  <si>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</si>
  <si>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</si>
  <si>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</si>
  <si>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</si>
  <si>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</si>
  <si>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</si>
  <si>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</si>
  <si>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</si>
  <si>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</si>
  <si>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</si>
  <si>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</si>
  <si>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</si>
  <si>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</si>
  <si>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</si>
  <si>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</si>
  <si>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</si>
  <si>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</si>
  <si>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</si>
  <si>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</si>
  <si>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</si>
  <si>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</si>
  <si>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</si>
  <si>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</si>
  <si>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</si>
  <si>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</si>
  <si>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</si>
  <si>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</si>
  <si>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</si>
  <si>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</si>
  <si>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</si>
  <si>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</si>
  <si>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</si>
  <si>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</si>
  <si>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</si>
  <si>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</si>
  <si>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</si>
  <si>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</si>
  <si>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</si>
  <si>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</si>
  <si>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</si>
  <si>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</si>
  <si>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</si>
  <si>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</si>
  <si>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</si>
  <si>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</si>
  <si>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</si>
  <si>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</si>
  <si>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</si>
  <si>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</si>
  <si>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</si>
  <si>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</si>
  <si>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</si>
  <si>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</si>
  <si>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</si>
  <si>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</si>
  <si>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</si>
  <si>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</si>
  <si>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</si>
  <si>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</si>
  <si>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</si>
  <si>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</si>
  <si>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</si>
  <si>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</si>
  <si>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</si>
  <si>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</si>
  <si>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</si>
  <si>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</si>
  <si>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</si>
  <si>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</si>
  <si>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</si>
  <si>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</si>
  <si>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</si>
  <si>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</si>
  <si>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</si>
  <si>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</si>
  <si>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</si>
  <si>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</si>
  <si>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</si>
  <si>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</si>
  <si>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</si>
  <si>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</si>
  <si>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</si>
  <si>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</si>
  <si>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</si>
  <si>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</si>
  <si>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</si>
  <si>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</si>
  <si>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</si>
  <si>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</si>
  <si>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</si>
  <si>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</si>
  <si>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</si>
  <si>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</si>
  <si>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</si>
  <si>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</si>
  <si>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</si>
  <si>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</si>
  <si>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</si>
  <si>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</si>
  <si>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</si>
  <si>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</si>
  <si>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</si>
  <si>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</si>
  <si>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</si>
  <si>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</si>
  <si>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</si>
  <si>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</si>
  <si>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</si>
  <si>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</si>
  <si>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</si>
  <si>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</si>
  <si>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</si>
  <si>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</si>
  <si>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</si>
  <si>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</si>
  <si>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</si>
  <si>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</si>
  <si>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</si>
  <si>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</si>
  <si>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</si>
  <si>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</si>
  <si>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</si>
  <si>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</si>
  <si>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</si>
  <si>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</si>
  <si>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</si>
  <si>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</si>
  <si>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</si>
  <si>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</si>
  <si>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</si>
  <si>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</si>
  <si>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</si>
  <si>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</si>
  <si>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</si>
  <si>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</si>
  <si>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</si>
  <si>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</si>
  <si>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</si>
  <si>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</si>
  <si>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</si>
  <si>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</si>
  <si>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</si>
  <si>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</si>
  <si>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</si>
  <si>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</si>
  <si>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</si>
  <si>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</si>
  <si>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</si>
  <si>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</si>
  <si>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</si>
  <si>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</si>
  <si>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</si>
  <si>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</si>
  <si>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</si>
  <si>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</si>
  <si>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</si>
  <si>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</si>
  <si>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</si>
  <si>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</si>
  <si>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</si>
  <si>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</si>
  <si>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</si>
  <si>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</si>
  <si>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</si>
  <si>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</si>
  <si>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</si>
  <si>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</si>
  <si>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</si>
  <si>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</si>
  <si>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</si>
  <si>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</si>
  <si>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</si>
  <si>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</si>
  <si>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</si>
  <si>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</si>
  <si>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</si>
  <si>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</si>
  <si>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</si>
  <si>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</si>
  <si>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</si>
  <si>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</si>
  <si>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</si>
  <si>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</si>
  <si>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</si>
  <si>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</si>
  <si>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</si>
  <si>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</si>
  <si>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</si>
  <si>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</si>
  <si>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</si>
  <si>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</si>
  <si>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</si>
  <si>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</si>
  <si>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</si>
  <si>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</si>
  <si>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</si>
  <si>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</si>
  <si>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</si>
  <si>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</si>
  <si>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</si>
  <si>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</si>
  <si>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</si>
  <si>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</si>
  <si>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</si>
  <si>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</si>
  <si>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</si>
  <si>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</si>
  <si>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</si>
  <si>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</si>
  <si>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</si>
  <si>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</si>
  <si>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</si>
  <si>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</si>
  <si>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</si>
  <si>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</si>
  <si>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</si>
  <si>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</si>
  <si>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</si>
  <si>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</si>
  <si>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</si>
  <si>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</si>
  <si>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</si>
  <si>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</si>
  <si>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</si>
  <si>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</si>
  <si>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</si>
  <si>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</si>
  <si>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</si>
  <si>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</si>
  <si>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</si>
  <si>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</si>
  <si>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</si>
  <si>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</si>
  <si>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</si>
  <si>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</si>
  <si>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</si>
  <si>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</si>
  <si>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</si>
  <si>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</si>
  <si>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</si>
  <si>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</si>
  <si>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</si>
  <si>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</si>
  <si>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</si>
  <si>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</si>
  <si>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</si>
  <si>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</si>
  <si>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</si>
  <si>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</si>
  <si>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</si>
  <si>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</si>
  <si>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</si>
  <si>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</si>
  <si>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</si>
  <si>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</si>
  <si>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</si>
  <si>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</si>
  <si>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</si>
  <si>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</si>
  <si>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</si>
  <si>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</si>
  <si>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</si>
  <si>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</si>
  <si>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</si>
  <si>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</si>
  <si>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</si>
  <si>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</si>
  <si>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</si>
  <si>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</si>
  <si>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</si>
  <si>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</si>
  <si>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</si>
  <si>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</si>
  <si>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</si>
  <si>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</si>
  <si>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</si>
  <si>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</si>
  <si>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</si>
  <si>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</si>
  <si>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</si>
  <si>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</si>
  <si>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</si>
  <si>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</si>
  <si>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</si>
  <si>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</si>
  <si>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</si>
  <si>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</si>
  <si>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</si>
  <si>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</si>
  <si>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</si>
  <si>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</si>
  <si>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</si>
  <si>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</si>
  <si>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</si>
  <si>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</si>
  <si>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</si>
  <si>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</si>
  <si>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</si>
  <si>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</si>
  <si>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</si>
  <si>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</si>
  <si>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</si>
  <si>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</si>
  <si>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</si>
  <si>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</si>
  <si>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</si>
  <si>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</si>
  <si>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</si>
  <si>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</si>
  <si>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</si>
  <si>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</si>
  <si>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</si>
  <si>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</si>
  <si>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</si>
  <si>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</si>
  <si>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</si>
  <si>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</si>
  <si>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</si>
  <si>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</si>
  <si>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</si>
  <si>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</si>
  <si>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</si>
  <si>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</si>
  <si>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</si>
  <si>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</si>
  <si>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</si>
  <si>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</si>
  <si>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</si>
  <si>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</si>
  <si>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</si>
  <si>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</si>
  <si>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</si>
  <si>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</si>
  <si>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</si>
  <si>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</si>
  <si>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</si>
  <si>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</si>
  <si>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</si>
  <si>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</si>
  <si>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</si>
  <si>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</si>
  <si>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</si>
  <si>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</si>
  <si>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</si>
  <si>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</si>
  <si>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</si>
  <si>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</si>
  <si>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</si>
  <si>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</si>
  <si>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</si>
  <si>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</si>
  <si>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</si>
  <si>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</si>
  <si>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</si>
  <si>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</si>
  <si>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</si>
  <si>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</si>
  <si>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</si>
  <si>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</si>
  <si>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</si>
  <si>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</si>
  <si>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</si>
  <si>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</si>
  <si>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</si>
  <si>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</si>
  <si>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</si>
  <si>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</si>
  <si>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</si>
  <si>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</si>
  <si>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</si>
  <si>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</si>
  <si>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</si>
  <si>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</si>
  <si>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</si>
  <si>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</si>
  <si>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</si>
  <si>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</si>
  <si>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</si>
  <si>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</si>
  <si>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</si>
  <si>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</si>
  <si>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</si>
  <si>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</si>
  <si>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</si>
  <si>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</si>
  <si>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</si>
  <si>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</si>
  <si>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</si>
  <si>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</si>
  <si>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</si>
  <si>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</si>
  <si>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</si>
  <si>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</si>
  <si>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</si>
  <si>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</si>
  <si>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</si>
  <si>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</si>
  <si>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</si>
  <si>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</si>
  <si>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</si>
  <si>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</si>
  <si>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</si>
  <si>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</si>
  <si>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</si>
  <si>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</si>
  <si>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</si>
  <si>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</si>
  <si>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</si>
  <si>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</si>
  <si>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</si>
  <si>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</si>
  <si>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</si>
  <si>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</si>
  <si>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</si>
  <si>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</si>
  <si>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</si>
  <si>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</si>
  <si>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</si>
  <si>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</si>
  <si>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</si>
  <si>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</si>
  <si>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</si>
  <si>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</si>
  <si>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</si>
  <si>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</si>
  <si>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</si>
  <si>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</si>
  <si>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</si>
  <si>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</si>
  <si>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</si>
  <si>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</si>
  <si>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</si>
  <si>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</si>
  <si>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</si>
  <si>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</si>
  <si>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</si>
  <si>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</si>
  <si>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</si>
  <si>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</si>
  <si>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</si>
  <si>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</si>
  <si>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</si>
  <si>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</si>
  <si>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</si>
  <si>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</si>
  <si>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</si>
  <si>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</si>
  <si>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</si>
  <si>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</si>
  <si>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</si>
  <si>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</si>
  <si>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</si>
  <si>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</si>
  <si>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</si>
  <si>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</si>
  <si>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</si>
  <si>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</si>
  <si>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</si>
  <si>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</si>
  <si>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</si>
  <si>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</si>
  <si>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</si>
  <si>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</si>
  <si>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</si>
  <si>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</si>
  <si>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</si>
  <si>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</si>
  <si>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</si>
  <si>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</si>
  <si>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</si>
  <si>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</si>
  <si>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</si>
  <si>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</si>
  <si>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</si>
  <si>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</si>
  <si>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</si>
  <si>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</si>
  <si>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</si>
  <si>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</si>
  <si>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</si>
  <si>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</si>
  <si>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</si>
  <si>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</si>
  <si>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</si>
  <si>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</si>
  <si>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</si>
  <si>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</si>
  <si>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</si>
  <si>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</si>
  <si>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</si>
  <si>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</si>
  <si>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</si>
  <si>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</si>
  <si>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</si>
  <si>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</si>
  <si>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</si>
  <si>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</si>
  <si>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</si>
  <si>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</si>
  <si>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</si>
  <si>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</si>
  <si>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</si>
  <si>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</si>
  <si>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</si>
  <si>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</si>
  <si>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</si>
  <si>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</si>
  <si>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</si>
  <si>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</si>
  <si>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</si>
  <si>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</si>
  <si>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</si>
  <si>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</si>
  <si>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</si>
  <si>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</si>
  <si>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</si>
  <si>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</si>
  <si>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</si>
  <si>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</si>
  <si>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</si>
  <si>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</si>
  <si>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</si>
  <si>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</si>
  <si>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</si>
  <si>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</si>
  <si>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</si>
  <si>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</si>
  <si>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</si>
  <si>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</si>
  <si>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</si>
  <si>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</si>
  <si>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</si>
  <si>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</si>
  <si>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</si>
  <si>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</si>
  <si>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</si>
  <si>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</si>
  <si>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</si>
  <si>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</si>
  <si>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</si>
  <si>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</si>
  <si>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</si>
  <si>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</si>
  <si>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</si>
  <si>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</si>
  <si>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</si>
  <si>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</si>
  <si>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</si>
  <si>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</si>
  <si>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</si>
  <si>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</si>
  <si>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</si>
  <si>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</si>
  <si>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</si>
  <si>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</si>
  <si>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</si>
  <si>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</si>
  <si>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</si>
  <si>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</si>
  <si>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</si>
  <si>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</si>
  <si>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</si>
  <si>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</si>
  <si>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</si>
  <si>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</si>
  <si>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</si>
  <si>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</si>
  <si>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</si>
  <si>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</si>
  <si>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</si>
  <si>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</si>
  <si>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</si>
  <si>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</si>
  <si>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</si>
  <si>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</si>
  <si>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</si>
  <si>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</si>
  <si>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</si>
  <si>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</si>
  <si>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</si>
  <si>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</si>
  <si>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</si>
  <si>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</si>
  <si>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</si>
  <si>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</si>
  <si>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</si>
  <si>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</si>
  <si>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</si>
  <si>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</si>
  <si>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</si>
  <si>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</si>
  <si>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</si>
  <si>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</si>
  <si>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</si>
  <si>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</si>
  <si>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</si>
  <si>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</si>
  <si>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</si>
  <si>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</si>
  <si>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</si>
  <si>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</si>
  <si>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</si>
  <si>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</si>
  <si>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</si>
  <si>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</si>
  <si>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</si>
  <si>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</si>
  <si>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</si>
  <si>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</si>
  <si>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</si>
  <si>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</si>
  <si>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</si>
  <si>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</si>
  <si>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</si>
  <si>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</si>
  <si>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</si>
  <si>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</si>
  <si>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</si>
  <si>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</si>
  <si>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</si>
  <si>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</si>
  <si>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</si>
  <si>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</si>
  <si>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</si>
  <si>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</si>
  <si>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</si>
  <si>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</si>
  <si>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</si>
  <si>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</si>
  <si>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</si>
  <si>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</si>
  <si>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</si>
  <si>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</si>
  <si>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</si>
  <si>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</si>
  <si>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</si>
  <si>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</si>
  <si>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</si>
  <si>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</si>
  <si>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</si>
  <si>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</si>
  <si>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</si>
  <si>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</si>
  <si>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</si>
  <si>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</si>
  <si>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</si>
  <si>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</si>
  <si>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</si>
  <si>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</si>
  <si>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</si>
  <si>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</si>
  <si>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</si>
  <si>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</si>
  <si>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</si>
  <si>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</si>
  <si>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</si>
  <si>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</si>
  <si>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</si>
  <si>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</si>
  <si>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</si>
  <si>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</si>
  <si>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</si>
  <si>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</si>
  <si>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</si>
  <si>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</si>
  <si>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</si>
  <si>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</si>
  <si>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</si>
  <si>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</si>
  <si>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</si>
  <si>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</si>
  <si>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</si>
  <si>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</si>
  <si>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</si>
  <si>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</si>
  <si>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</si>
  <si>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</si>
  <si>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</si>
  <si>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</si>
  <si>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</si>
  <si>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</si>
  <si>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</si>
  <si>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</si>
  <si>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</si>
  <si>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</si>
  <si>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</si>
  <si>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</si>
  <si>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</si>
  <si>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</si>
  <si>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</si>
  <si>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</si>
  <si>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</si>
  <si>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</si>
  <si>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</si>
  <si>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</si>
  <si>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</si>
  <si>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</si>
  <si>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</si>
  <si>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</si>
  <si>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</si>
  <si>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</si>
  <si>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</si>
  <si>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</si>
  <si>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</si>
  <si>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</si>
  <si>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</si>
  <si>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</si>
  <si>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</si>
  <si>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</si>
  <si>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</si>
  <si>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</si>
  <si>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</si>
  <si>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</si>
  <si>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</si>
  <si>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</si>
  <si>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</si>
  <si>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</si>
  <si>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</si>
  <si>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</si>
  <si>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</si>
  <si>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</si>
  <si>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</si>
  <si>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</si>
  <si>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</si>
  <si>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</si>
  <si>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</si>
  <si>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</si>
  <si>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</si>
  <si>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</si>
  <si>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</si>
  <si>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</si>
  <si>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</si>
  <si>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</si>
  <si>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</si>
  <si>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</si>
  <si>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</si>
  <si>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</si>
  <si>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</si>
  <si>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</si>
  <si>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</si>
  <si>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</si>
  <si>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</si>
  <si>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</si>
  <si>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</si>
  <si>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</si>
  <si>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</si>
  <si>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</si>
  <si>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</si>
  <si>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</si>
  <si>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</si>
  <si>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</si>
  <si>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</si>
  <si>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</si>
  <si>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</si>
  <si>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</si>
  <si>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</si>
  <si>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</si>
  <si>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</si>
  <si>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</si>
  <si>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</si>
  <si>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</si>
  <si>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</si>
  <si>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</si>
  <si>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</si>
  <si>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</si>
  <si>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</si>
  <si>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</si>
  <si>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</si>
  <si>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</si>
  <si>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</si>
  <si>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</si>
  <si>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</si>
  <si>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</si>
  <si>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</si>
  <si>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</si>
  <si>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</si>
  <si>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</si>
  <si>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</si>
  <si>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</si>
  <si>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</si>
  <si>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</si>
  <si>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</si>
  <si>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</si>
  <si>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</si>
  <si>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</si>
  <si>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</si>
  <si>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</si>
  <si>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</si>
  <si>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</si>
  <si>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</si>
  <si>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</si>
  <si>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</si>
  <si>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</si>
  <si>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</si>
  <si>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</si>
  <si>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</si>
  <si>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</si>
  <si>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</si>
  <si>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</si>
  <si>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</si>
  <si>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</si>
  <si>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</si>
  <si>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</si>
  <si>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</si>
  <si>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</si>
  <si>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</si>
  <si>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</si>
  <si>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</si>
  <si>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</si>
  <si>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</si>
  <si>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</si>
  <si>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</si>
  <si>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</si>
  <si>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</si>
  <si>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</si>
  <si>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</si>
  <si>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</si>
  <si>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</si>
  <si>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</si>
  <si>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</si>
  <si>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</si>
  <si>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</si>
  <si>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</si>
  <si>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</si>
  <si>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</si>
  <si>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</si>
  <si>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</si>
  <si>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</si>
  <si>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</si>
  <si>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</si>
  <si>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</si>
  <si>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</si>
  <si>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</si>
  <si>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</si>
  <si>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</si>
  <si>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</si>
  <si>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</si>
  <si>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</si>
  <si>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</si>
  <si>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</si>
  <si>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</si>
  <si>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</si>
  <si>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</si>
  <si>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</si>
  <si>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</si>
  <si>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</si>
  <si>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</si>
  <si>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</si>
  <si>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</si>
  <si>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</si>
  <si>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</si>
  <si>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</si>
  <si>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</si>
  <si>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</si>
  <si>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</si>
  <si>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</si>
  <si>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</si>
  <si>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</si>
  <si>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</si>
  <si>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</si>
  <si>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</si>
  <si>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</si>
  <si>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</si>
  <si>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</si>
  <si>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</si>
  <si>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</si>
  <si>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</si>
  <si>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</si>
  <si>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</si>
  <si>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</si>
  <si>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</si>
  <si>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</si>
  <si>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</si>
  <si>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</si>
  <si>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</si>
  <si>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</si>
  <si>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</si>
  <si>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</si>
  <si>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</si>
  <si>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</si>
  <si>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</si>
  <si>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</si>
  <si>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</si>
  <si>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</si>
  <si>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</si>
  <si>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</si>
  <si>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</si>
  <si>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</si>
  <si>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</si>
  <si>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</si>
  <si>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</si>
  <si>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</si>
  <si>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</si>
  <si>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</si>
  <si>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</si>
  <si>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</si>
  <si>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</si>
  <si>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</si>
  <si>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</si>
  <si>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</si>
  <si>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</si>
  <si>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</si>
  <si>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</si>
  <si>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</si>
  <si>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</si>
  <si>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</si>
  <si>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</si>
  <si>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</si>
  <si>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</si>
  <si>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</si>
  <si>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</si>
  <si>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</si>
  <si>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</si>
  <si>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</si>
  <si>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</si>
  <si>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</si>
  <si>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</si>
  <si>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</si>
  <si>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</si>
  <si>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</si>
  <si>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</si>
  <si>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</si>
  <si>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</si>
  <si>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</si>
  <si>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</si>
  <si>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</si>
  <si>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</si>
  <si>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</si>
  <si>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</si>
  <si>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</si>
  <si>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</si>
  <si>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</si>
  <si>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</si>
  <si>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</si>
  <si>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</si>
  <si>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</si>
  <si>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</si>
  <si>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</si>
  <si>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</si>
  <si>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</si>
  <si>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</si>
  <si>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</si>
  <si>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</si>
  <si>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</si>
  <si>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</si>
  <si>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</si>
  <si>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</si>
  <si>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</si>
  <si>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</si>
  <si>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</si>
  <si>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</si>
  <si>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</si>
  <si>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</si>
  <si>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</si>
  <si>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</si>
  <si>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</si>
  <si>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</si>
  <si>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</si>
  <si>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</si>
  <si>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</si>
  <si>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</si>
  <si>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</si>
  <si>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</si>
  <si>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</si>
  <si>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</si>
  <si>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</si>
  <si>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</si>
  <si>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</si>
  <si>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</si>
  <si>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</si>
  <si>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</si>
  <si>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</si>
  <si>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</si>
  <si>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</si>
  <si>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</si>
  <si>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</si>
  <si>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</si>
  <si>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</si>
  <si>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</si>
  <si>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</si>
  <si>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</si>
  <si>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</si>
  <si>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</si>
  <si>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</si>
  <si>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</si>
  <si>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</si>
  <si>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</si>
  <si>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</si>
  <si>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</si>
  <si>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</si>
  <si>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</si>
  <si>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</si>
  <si>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</si>
  <si>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</si>
  <si>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</si>
  <si>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</si>
  <si>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</si>
  <si>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</si>
  <si>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</si>
  <si>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</si>
  <si>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</si>
  <si>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</si>
  <si>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</si>
  <si>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</si>
  <si>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</si>
  <si>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</si>
  <si>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</si>
  <si>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</si>
  <si>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</si>
  <si>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</si>
  <si>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</si>
  <si>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</si>
  <si>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</si>
  <si>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</si>
  <si>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</si>
  <si>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</si>
  <si>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</si>
  <si>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</si>
  <si>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</si>
  <si>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</si>
  <si>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</si>
  <si>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</si>
  <si>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</si>
  <si>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</si>
  <si>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</si>
  <si>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</si>
  <si>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</si>
  <si>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</si>
  <si>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</si>
  <si>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</si>
  <si>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</si>
  <si>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</si>
  <si>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</si>
  <si>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</si>
  <si>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</si>
  <si>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</si>
  <si>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</si>
  <si>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</si>
  <si>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</si>
  <si>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</si>
  <si>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</si>
  <si>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</si>
  <si>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</si>
  <si>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</si>
  <si>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</si>
  <si>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</si>
  <si>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</si>
  <si>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</si>
  <si>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</si>
  <si>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</si>
  <si>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</si>
  <si>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</si>
  <si>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</si>
  <si>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</si>
  <si>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</si>
  <si>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</si>
  <si>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</si>
  <si>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</si>
  <si>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</si>
  <si>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</si>
  <si>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</si>
  <si>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</si>
  <si>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</si>
  <si>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</si>
  <si>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</si>
  <si>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</si>
  <si>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</si>
  <si>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</si>
  <si>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</si>
  <si>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</si>
  <si>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</si>
  <si>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</si>
  <si>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</si>
  <si>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</si>
  <si>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</si>
  <si>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</si>
  <si>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</si>
  <si>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</si>
  <si>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</si>
  <si>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</si>
  <si>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</si>
  <si>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</si>
  <si>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</si>
  <si>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</si>
  <si>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</si>
  <si>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</si>
  <si>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</si>
  <si>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</si>
  <si>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</si>
  <si>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</si>
  <si>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</si>
  <si>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</si>
  <si>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</si>
  <si>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</si>
  <si>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</si>
  <si>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</si>
  <si>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</si>
  <si>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</si>
  <si>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</si>
  <si>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</si>
  <si>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</si>
  <si>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</si>
  <si>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</si>
  <si>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</si>
  <si>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</si>
  <si>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</si>
  <si>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</si>
  <si>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</si>
  <si>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</si>
  <si>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</si>
  <si>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</si>
  <si>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</si>
  <si>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</si>
  <si>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</si>
  <si>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</si>
  <si>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</si>
  <si>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</si>
  <si>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</si>
  <si>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</si>
  <si>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</si>
  <si>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</si>
  <si>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</si>
  <si>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</si>
  <si>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</si>
  <si>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</si>
  <si>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</si>
  <si>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</si>
  <si>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</si>
  <si>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</si>
  <si>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</si>
  <si>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</si>
  <si>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</si>
  <si>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</si>
  <si>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</si>
  <si>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</si>
  <si>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</si>
  <si>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</si>
  <si>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</si>
  <si>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</si>
  <si>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</si>
  <si>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</si>
  <si>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</si>
  <si>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</si>
  <si>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</si>
  <si>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</si>
  <si>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</si>
  <si>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</si>
  <si>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</si>
  <si>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</si>
  <si>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</si>
  <si>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</si>
  <si>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</si>
  <si>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</si>
  <si>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</si>
  <si>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</si>
  <si>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</si>
  <si>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</si>
  <si>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</si>
  <si>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</si>
  <si>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</si>
  <si>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</si>
  <si>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</si>
  <si>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</si>
  <si>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</si>
  <si>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</si>
  <si>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</si>
  <si>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</si>
  <si>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</si>
  <si>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</si>
  <si>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</si>
  <si>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</si>
  <si>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</si>
  <si>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</si>
  <si>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</si>
  <si>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</si>
  <si>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</si>
  <si>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</si>
  <si>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</si>
  <si>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</si>
  <si>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</si>
  <si>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</si>
  <si>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</si>
  <si>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</si>
  <si>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</si>
  <si>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</si>
  <si>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</si>
  <si>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</si>
  <si>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</si>
  <si>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</si>
  <si>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</si>
  <si>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</si>
  <si>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</si>
  <si>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</si>
  <si>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</si>
  <si>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</si>
  <si>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</si>
  <si>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</si>
  <si>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</si>
  <si>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</si>
  <si>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</si>
  <si>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</si>
  <si>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</si>
  <si>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</si>
  <si>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</si>
  <si>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</si>
  <si>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</si>
  <si>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</si>
  <si>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</si>
  <si>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</si>
  <si>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</si>
  <si>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</si>
  <si>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</si>
  <si>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</si>
  <si>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</si>
  <si>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</si>
  <si>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</si>
  <si>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</si>
  <si>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</si>
  <si>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</si>
  <si>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</si>
  <si>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</si>
  <si>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</si>
  <si>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</si>
  <si>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</si>
  <si>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</si>
  <si>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</si>
  <si>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</si>
  <si>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</si>
  <si>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</si>
  <si>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</si>
  <si>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</si>
  <si>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</si>
  <si>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</si>
  <si>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</si>
  <si>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</si>
  <si>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</si>
  <si>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</si>
  <si>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</si>
  <si>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</si>
  <si>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</si>
  <si>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</si>
  <si>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</si>
  <si>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</si>
  <si>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</si>
  <si>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</si>
  <si>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</si>
  <si>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</si>
  <si>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</si>
  <si>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</si>
  <si>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</si>
  <si>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</si>
  <si>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</si>
  <si>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</si>
  <si>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</si>
  <si>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</si>
  <si>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</si>
  <si>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</si>
  <si>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</si>
  <si>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</si>
  <si>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</si>
  <si>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</si>
  <si>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</si>
  <si>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</si>
  <si>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</si>
  <si>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</si>
  <si>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</si>
  <si>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</si>
  <si>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</si>
  <si>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</si>
  <si>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</si>
  <si>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</si>
  <si>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</si>
  <si>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</si>
  <si>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</si>
  <si>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</si>
  <si>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</si>
  <si>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</si>
  <si>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</si>
  <si>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</si>
  <si>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</si>
  <si>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</si>
  <si>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</si>
  <si>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</si>
  <si>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</si>
  <si>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</si>
  <si>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</si>
  <si>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</si>
  <si>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</si>
  <si>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</si>
  <si>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</si>
  <si>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</si>
  <si>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</si>
  <si>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</si>
  <si>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</si>
  <si>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</si>
  <si>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</si>
  <si>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</si>
  <si>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</si>
  <si>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</si>
  <si>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</si>
  <si>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</si>
  <si>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</si>
  <si>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</si>
  <si>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</si>
  <si>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</si>
  <si>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</si>
  <si>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</si>
  <si>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</si>
  <si>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</si>
  <si>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</si>
  <si>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</si>
  <si>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</si>
  <si>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</si>
  <si>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</si>
  <si>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</si>
  <si>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</si>
  <si>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</si>
  <si>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</si>
  <si>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</si>
  <si>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</si>
  <si>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</si>
  <si>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</si>
  <si>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</si>
  <si>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</si>
  <si>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</si>
  <si>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</si>
  <si>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</si>
  <si>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</si>
  <si>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</si>
  <si>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</si>
  <si>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</si>
  <si>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</si>
  <si>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</si>
  <si>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</si>
  <si>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</si>
  <si>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</si>
  <si>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</si>
  <si>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</si>
  <si>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</si>
  <si>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</si>
  <si>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</si>
  <si>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</si>
  <si>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</si>
  <si>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</si>
  <si>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</si>
  <si>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</si>
  <si>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</si>
  <si>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</si>
  <si>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</si>
  <si>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</si>
  <si>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</si>
  <si>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</si>
  <si>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</si>
  <si>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</si>
  <si>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</si>
  <si>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</si>
  <si>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</si>
  <si>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</si>
  <si>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</si>
  <si>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</si>
  <si>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</si>
  <si>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</si>
  <si>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</si>
  <si>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</si>
  <si>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</si>
  <si>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</si>
  <si>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</si>
  <si>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</si>
  <si>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</si>
  <si>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</si>
  <si>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</si>
  <si>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</si>
  <si>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</si>
  <si>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</si>
  <si>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</si>
  <si>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</si>
  <si>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</si>
  <si>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</si>
  <si>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</si>
  <si>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</si>
  <si>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</si>
  <si>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</si>
  <si>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</si>
  <si>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</si>
  <si>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</si>
  <si>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</si>
  <si>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</si>
  <si>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</si>
  <si>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</si>
  <si>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</si>
  <si>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</si>
  <si>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</si>
  <si>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</si>
  <si>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</si>
  <si>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</si>
  <si>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</si>
  <si>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</si>
  <si>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</si>
  <si>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</si>
  <si>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</si>
  <si>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</si>
  <si>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</si>
  <si>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</si>
  <si>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</si>
  <si>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</si>
  <si>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</si>
  <si>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</si>
  <si>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</si>
  <si>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</si>
  <si>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</si>
  <si>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</si>
  <si>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</si>
  <si>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</si>
  <si>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</si>
  <si>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</si>
  <si>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</si>
  <si>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</si>
  <si>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</si>
  <si>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</si>
  <si>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</si>
  <si>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</si>
  <si>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</si>
  <si>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</si>
  <si>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</si>
  <si>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</si>
  <si>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</si>
  <si>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</si>
  <si>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</si>
  <si>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</si>
  <si>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</si>
  <si>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</si>
  <si>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</si>
  <si>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</si>
  <si>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</si>
  <si>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</si>
  <si>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</si>
  <si>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</si>
  <si>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</si>
  <si>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</si>
  <si>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</si>
  <si>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</si>
  <si>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</si>
  <si>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</si>
  <si>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</si>
  <si>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</si>
  <si>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</si>
  <si>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</si>
  <si>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</si>
  <si>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</si>
  <si>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</si>
  <si>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</si>
  <si>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</si>
  <si>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</si>
  <si>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</si>
  <si>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</si>
  <si>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</si>
  <si>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</si>
  <si>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</si>
  <si>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</si>
  <si>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</si>
  <si>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</si>
  <si>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</si>
  <si>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</si>
  <si>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</si>
  <si>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</si>
  <si>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</si>
  <si>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</si>
  <si>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</si>
  <si>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</si>
  <si>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</si>
  <si>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</si>
  <si>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</si>
  <si>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</si>
  <si>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</si>
  <si>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</si>
  <si>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</si>
  <si>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</si>
  <si>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</si>
  <si>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</si>
  <si>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</si>
  <si>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</si>
  <si>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</si>
  <si>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</si>
  <si>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</si>
  <si>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</si>
  <si>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</si>
  <si>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</si>
  <si>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</si>
  <si>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</si>
  <si>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</si>
  <si>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</si>
  <si>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</si>
  <si>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</si>
  <si>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</si>
  <si>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</si>
  <si>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</si>
  <si>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</si>
  <si>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</si>
  <si>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</si>
  <si>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</si>
  <si>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</si>
  <si>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</si>
  <si>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</si>
  <si>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</si>
  <si>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</si>
  <si>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</si>
  <si>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</si>
  <si>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</si>
  <si>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</si>
  <si>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</si>
  <si>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</si>
  <si>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</si>
  <si>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</si>
  <si>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</si>
  <si>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</si>
  <si>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</si>
  <si>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</si>
  <si>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</si>
  <si>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</si>
  <si>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</si>
  <si>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</si>
  <si>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</si>
  <si>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</si>
  <si>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</si>
  <si>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</si>
  <si>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</si>
  <si>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</si>
  <si>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</si>
  <si>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</si>
  <si>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</si>
  <si>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</si>
  <si>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</si>
  <si>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</si>
  <si>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</si>
  <si>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</si>
  <si>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</si>
  <si>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</si>
  <si>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</si>
  <si>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</si>
  <si>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</si>
  <si>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</si>
  <si>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</si>
  <si>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</si>
  <si>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</si>
  <si>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</si>
  <si>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</si>
  <si>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</si>
  <si>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</si>
  <si>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</si>
  <si>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</si>
  <si>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</si>
  <si>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</si>
  <si>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</si>
  <si>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评估公司</t>
    <phoneticPr fontId="229" type="noConversion"/>
  </si>
  <si>
    <t>片区所属</t>
    <phoneticPr fontId="229" type="noConversion"/>
  </si>
  <si>
    <t>街区编号</t>
  </si>
  <si>
    <t>房建类（二级开发）用地面积（公顷）</t>
    <phoneticPr fontId="229" type="noConversion"/>
  </si>
  <si>
    <t>有建筑的房建用地面积-不含邻里游园
（公顷）</t>
    <phoneticPr fontId="229" type="noConversion"/>
  </si>
  <si>
    <t>房建类绿地面积（公顷）</t>
    <phoneticPr fontId="229" type="noConversion"/>
  </si>
  <si>
    <t>地上建筑面积
（万平方米）</t>
  </si>
  <si>
    <t>地下建筑面积
（万平方米）</t>
    <phoneticPr fontId="229" type="noConversion"/>
  </si>
  <si>
    <t>居住功能</t>
    <phoneticPr fontId="229" type="noConversion"/>
  </si>
  <si>
    <t>就业功能</t>
    <phoneticPr fontId="229" type="noConversion"/>
  </si>
  <si>
    <t>商业服务业功能</t>
    <phoneticPr fontId="229" type="noConversion"/>
  </si>
  <si>
    <t>地上地下住宅建筑面积</t>
    <phoneticPr fontId="229" type="noConversion"/>
  </si>
  <si>
    <t>地上
住宅建筑</t>
    <phoneticPr fontId="229" type="noConversion"/>
  </si>
  <si>
    <t>住宅
地下面积</t>
    <phoneticPr fontId="229" type="noConversion"/>
  </si>
  <si>
    <t>公服配套地上建筑面积
（万平方米）</t>
    <phoneticPr fontId="229" type="noConversion"/>
  </si>
  <si>
    <t>社区级公共服务配套</t>
    <phoneticPr fontId="229" type="noConversion"/>
  </si>
  <si>
    <t>邻里级公共服务配套</t>
    <phoneticPr fontId="229" type="noConversion"/>
  </si>
  <si>
    <t>幼儿园</t>
    <phoneticPr fontId="229" type="noConversion"/>
  </si>
  <si>
    <t>配套设施
地下面积</t>
    <phoneticPr fontId="229" type="noConversion"/>
  </si>
  <si>
    <t>商业办公公寓地上建筑面积
（万平方米）</t>
    <phoneticPr fontId="229" type="noConversion"/>
  </si>
  <si>
    <t>R类
底商</t>
    <phoneticPr fontId="229" type="noConversion"/>
  </si>
  <si>
    <t>F类（除邻里中心外）
底商
（20%）</t>
    <phoneticPr fontId="229" type="noConversion"/>
  </si>
  <si>
    <t>F类（除邻里中心外）
办公
（30%）</t>
    <phoneticPr fontId="229" type="noConversion"/>
  </si>
  <si>
    <t>F类（除邻里中心外）
公寓
（50%）</t>
    <phoneticPr fontId="229" type="noConversion"/>
  </si>
  <si>
    <t>F类(邻里中心)
底商
（40%）</t>
    <phoneticPr fontId="229" type="noConversion"/>
  </si>
  <si>
    <t>F类(邻里中心)
办公
（60%）</t>
    <phoneticPr fontId="229" type="noConversion"/>
  </si>
  <si>
    <t>F类
底商办公公寓
地下面积</t>
    <phoneticPr fontId="229" type="noConversion"/>
  </si>
  <si>
    <t>独立办公</t>
    <phoneticPr fontId="229" type="noConversion"/>
  </si>
  <si>
    <t>独立商业</t>
    <phoneticPr fontId="229" type="noConversion"/>
  </si>
  <si>
    <t>独立商业
地下面积</t>
    <phoneticPr fontId="229" type="noConversion"/>
  </si>
  <si>
    <t>康正</t>
    <phoneticPr fontId="229" type="noConversion"/>
  </si>
  <si>
    <t>出让片区</t>
    <phoneticPr fontId="229" type="noConversion"/>
  </si>
  <si>
    <t>RX01-04</t>
    <phoneticPr fontId="229" type="noConversion"/>
  </si>
  <si>
    <t>RX01-05</t>
    <phoneticPr fontId="229" type="noConversion"/>
  </si>
  <si>
    <t>安置片区</t>
    <phoneticPr fontId="229" type="noConversion"/>
  </si>
  <si>
    <t>RX01-01</t>
    <phoneticPr fontId="229" type="noConversion"/>
  </si>
  <si>
    <t>——</t>
    <phoneticPr fontId="229" type="noConversion"/>
  </si>
  <si>
    <t>RX01-02</t>
    <phoneticPr fontId="229" type="noConversion"/>
  </si>
  <si>
    <t>RX01-03</t>
    <phoneticPr fontId="229" type="noConversion"/>
  </si>
  <si>
    <t>RX02-01</t>
    <phoneticPr fontId="229" type="noConversion"/>
  </si>
  <si>
    <t>备注：1、房建类绿地包含所有邻里游园；2、其他市政类地下空间包括地下连通道空间</t>
    <phoneticPr fontId="229" type="noConversion"/>
  </si>
  <si>
    <t>备注：房建类（二级开发）用地面积包含：R1/R9/F1/A类/B1/B2用地及房建类绿地。不包含：U类供应设施用地/S类交通运输用地
城市建设用地面积=总用地-防护绿地-风景游憩绿地</t>
    <phoneticPr fontId="229" type="noConversion"/>
  </si>
  <si>
    <t xml:space="preserve">                    </t>
  </si>
  <si>
    <t/>
  </si>
  <si>
    <t>2020-09</t>
  </si>
  <si>
    <t>2020-08</t>
  </si>
  <si>
    <t>2020-07</t>
  </si>
  <si>
    <t>2020-06</t>
  </si>
  <si>
    <t>2020-05</t>
  </si>
  <si>
    <t>2020-04</t>
  </si>
  <si>
    <t>2020-03</t>
  </si>
  <si>
    <t>2020-02</t>
  </si>
  <si>
    <t>2020-01</t>
  </si>
  <si>
    <t>2019-12</t>
  </si>
  <si>
    <t>2019-11</t>
  </si>
  <si>
    <t>2019-10</t>
  </si>
  <si>
    <t xml:space="preserve">                </t>
  </si>
  <si>
    <t>区县</t>
  </si>
  <si>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天</t>
    </r>
    <r>
      <rPr>
        <sz val="10"/>
        <rFont val="Arial"/>
        <family val="2"/>
      </rPr>
      <t xml:space="preserve">)   </t>
    </r>
    <phoneticPr fontId="229" type="noConversion"/>
  </si>
  <si>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月</t>
    </r>
    <r>
      <rPr>
        <sz val="10"/>
        <rFont val="Arial"/>
        <family val="2"/>
      </rPr>
      <t xml:space="preserve">)   </t>
    </r>
    <phoneticPr fontId="229" type="noConversion"/>
  </si>
  <si>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</si>
  <si>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</si>
  <si>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4" type="noConversion"/>
  </si>
  <si>
    <r>
      <rPr>
        <sz val="10"/>
        <rFont val="宋体"/>
        <family val="3"/>
        <charset val="134"/>
      </rPr>
      <t>租售比</t>
    </r>
    <r>
      <rPr>
        <sz val="11"/>
        <color theme="1"/>
        <rFont val="宋体"/>
        <family val="3"/>
        <charset val="134"/>
        <scheme val="minor"/>
      </rPr>
      <t xml:space="preserve">                                                                                                                                    </t>
    </r>
    <phoneticPr fontId="4" type="noConversion"/>
  </si>
  <si>
    <t>和平区</t>
  </si>
  <si>
    <t>1:810</t>
  </si>
  <si>
    <t>1:835</t>
  </si>
  <si>
    <t>1:841</t>
  </si>
  <si>
    <t>1:832</t>
  </si>
  <si>
    <t>1:814</t>
  </si>
  <si>
    <t>1:820</t>
  </si>
  <si>
    <t>1:800</t>
  </si>
  <si>
    <t>1:794</t>
  </si>
  <si>
    <t>1:790</t>
  </si>
  <si>
    <t>1:777</t>
  </si>
  <si>
    <t>1:776</t>
  </si>
  <si>
    <t>1:767</t>
  </si>
  <si>
    <t>南开区</t>
  </si>
  <si>
    <t>1:599</t>
  </si>
  <si>
    <t>1:608</t>
  </si>
  <si>
    <t>1:618</t>
  </si>
  <si>
    <t>1:616</t>
  </si>
  <si>
    <t>1:602</t>
  </si>
  <si>
    <t>1:594</t>
  </si>
  <si>
    <t>1:629</t>
  </si>
  <si>
    <t>1:626</t>
  </si>
  <si>
    <t>1:617</t>
  </si>
  <si>
    <t>1:576</t>
  </si>
  <si>
    <t>1:583</t>
  </si>
  <si>
    <t>1:562</t>
  </si>
  <si>
    <t>河西区</t>
  </si>
  <si>
    <t>1:669</t>
  </si>
  <si>
    <t>1:675</t>
  </si>
  <si>
    <t>1:683</t>
  </si>
  <si>
    <t>1:665</t>
  </si>
  <si>
    <t>1:659</t>
  </si>
  <si>
    <t>1:653</t>
  </si>
  <si>
    <t>1:658</t>
  </si>
  <si>
    <t>1:657</t>
  </si>
  <si>
    <t>1:624</t>
  </si>
  <si>
    <t>1:637</t>
  </si>
  <si>
    <t>1:622</t>
  </si>
  <si>
    <t>河东区</t>
  </si>
  <si>
    <t>1:542</t>
  </si>
  <si>
    <t>1:561</t>
  </si>
  <si>
    <t>1:567</t>
  </si>
  <si>
    <t>1:548</t>
  </si>
  <si>
    <t>1:540</t>
  </si>
  <si>
    <t>1:579</t>
  </si>
  <si>
    <t>1:572</t>
  </si>
  <si>
    <t>1:554</t>
  </si>
  <si>
    <t>1:547</t>
  </si>
  <si>
    <t>1:512</t>
  </si>
  <si>
    <t>红桥区</t>
  </si>
  <si>
    <t>1:597</t>
  </si>
  <si>
    <t>1:603</t>
  </si>
  <si>
    <t>1:598</t>
  </si>
  <si>
    <t>1:574</t>
  </si>
  <si>
    <t>1:566</t>
  </si>
  <si>
    <t>1:627</t>
  </si>
  <si>
    <t>1:591</t>
  </si>
  <si>
    <t>1:565</t>
  </si>
  <si>
    <t>1:538</t>
  </si>
  <si>
    <t>河北区</t>
  </si>
  <si>
    <t>1:587</t>
  </si>
  <si>
    <t>1:595</t>
  </si>
  <si>
    <t>1:589</t>
  </si>
  <si>
    <t>1:612</t>
  </si>
  <si>
    <t>1:593</t>
  </si>
  <si>
    <t>1:578</t>
  </si>
  <si>
    <t>宝坻区</t>
  </si>
  <si>
    <t>1:271</t>
  </si>
  <si>
    <t>1:284</t>
  </si>
  <si>
    <t>1:222</t>
  </si>
  <si>
    <t>1:242</t>
  </si>
  <si>
    <t>1:344</t>
  </si>
  <si>
    <t>1:372</t>
  </si>
  <si>
    <t>1:387</t>
  </si>
  <si>
    <t>1:410</t>
  </si>
  <si>
    <t>1:333</t>
  </si>
  <si>
    <t>1:389</t>
  </si>
  <si>
    <t>1:339</t>
  </si>
  <si>
    <t>西青区</t>
  </si>
  <si>
    <t>1:636</t>
  </si>
  <si>
    <t>1:621</t>
  </si>
  <si>
    <t>1:614</t>
  </si>
  <si>
    <t>1:580</t>
  </si>
  <si>
    <t>1:611</t>
  </si>
  <si>
    <t>1:575</t>
  </si>
  <si>
    <t>1:524</t>
  </si>
  <si>
    <t>东丽区</t>
  </si>
  <si>
    <t>1:563</t>
  </si>
  <si>
    <t>1:557</t>
  </si>
  <si>
    <t>1:539</t>
  </si>
  <si>
    <t>1:530</t>
  </si>
  <si>
    <t>1:528</t>
  </si>
  <si>
    <t>1:537</t>
  </si>
  <si>
    <t>1:521</t>
  </si>
  <si>
    <t>1:515</t>
  </si>
  <si>
    <t>1:520</t>
  </si>
  <si>
    <t>1:517</t>
  </si>
  <si>
    <t>北辰区</t>
  </si>
  <si>
    <t>1:596</t>
  </si>
  <si>
    <t>1:615</t>
  </si>
  <si>
    <t>1:584</t>
  </si>
  <si>
    <t>1:605</t>
  </si>
  <si>
    <t>1:559</t>
  </si>
  <si>
    <t>1:568</t>
  </si>
  <si>
    <t>宁河区</t>
  </si>
  <si>
    <t>1:425</t>
  </si>
  <si>
    <t>1:301</t>
  </si>
  <si>
    <t>1:481</t>
  </si>
  <si>
    <t>1:452</t>
  </si>
  <si>
    <t>1:395</t>
  </si>
  <si>
    <t>1:441</t>
  </si>
  <si>
    <t>1:469</t>
  </si>
  <si>
    <t>1:421</t>
  </si>
  <si>
    <t>1:485</t>
  </si>
  <si>
    <t>1:354</t>
  </si>
  <si>
    <t>1:419</t>
  </si>
  <si>
    <t>津南区</t>
  </si>
  <si>
    <t>1:641</t>
  </si>
  <si>
    <t>1:685</t>
  </si>
  <si>
    <t>1:681</t>
  </si>
  <si>
    <t>1:688</t>
  </si>
  <si>
    <t>1:674</t>
  </si>
  <si>
    <t>1:677</t>
  </si>
  <si>
    <t>1:682</t>
  </si>
  <si>
    <t>1:690</t>
  </si>
  <si>
    <t>1:645</t>
  </si>
  <si>
    <t>1:610</t>
  </si>
  <si>
    <t>滨海新区</t>
  </si>
  <si>
    <t>1:628</t>
  </si>
  <si>
    <t>1:643</t>
  </si>
  <si>
    <t>1:635</t>
  </si>
  <si>
    <t>1:625</t>
  </si>
  <si>
    <t>1:601</t>
  </si>
  <si>
    <t>1:632</t>
  </si>
  <si>
    <t>1:620</t>
  </si>
  <si>
    <t>蓟州区</t>
  </si>
  <si>
    <t>1:396</t>
  </si>
  <si>
    <t>1:385</t>
  </si>
  <si>
    <t>1:374</t>
  </si>
  <si>
    <t>1:376</t>
  </si>
  <si>
    <t>1:332</t>
  </si>
  <si>
    <t>1:303</t>
  </si>
  <si>
    <t>1:394</t>
  </si>
  <si>
    <t>1:356</t>
  </si>
  <si>
    <t>1:361</t>
  </si>
  <si>
    <t>1:366</t>
  </si>
  <si>
    <t>1:399</t>
  </si>
  <si>
    <t>静海区</t>
  </si>
  <si>
    <t>1:586</t>
  </si>
  <si>
    <t>1:634</t>
  </si>
  <si>
    <t>1:640</t>
  </si>
  <si>
    <t>1:648</t>
  </si>
  <si>
    <t>1:655</t>
  </si>
  <si>
    <t>1:585</t>
  </si>
  <si>
    <t>武清区</t>
  </si>
  <si>
    <t>1:833</t>
  </si>
  <si>
    <t>1:825</t>
  </si>
  <si>
    <t>1:854</t>
  </si>
  <si>
    <t>1:829</t>
  </si>
  <si>
    <t>1:867</t>
  </si>
  <si>
    <t>1:874</t>
  </si>
  <si>
    <t>1:856</t>
  </si>
  <si>
    <t>1:907</t>
  </si>
  <si>
    <t>1:827</t>
  </si>
  <si>
    <t>1:786</t>
  </si>
  <si>
    <t>天津和平区</t>
    <phoneticPr fontId="4" type="noConversion"/>
  </si>
  <si>
    <t>天津南开区</t>
    <phoneticPr fontId="4" type="noConversion"/>
  </si>
  <si>
    <t>天津河西区</t>
    <phoneticPr fontId="4" type="noConversion"/>
  </si>
  <si>
    <t>正常</t>
  </si>
  <si>
    <t>住宅</t>
    <phoneticPr fontId="22" type="noConversion"/>
  </si>
  <si>
    <t>60-70（含）</t>
  </si>
  <si>
    <t>现状差，未来好</t>
    <phoneticPr fontId="4" type="noConversion"/>
  </si>
  <si>
    <t>现状差，未来较好</t>
    <phoneticPr fontId="4" type="noConversion"/>
  </si>
  <si>
    <t>七桶</t>
    <phoneticPr fontId="4" type="noConversion"/>
  </si>
  <si>
    <t>现状一般，未来较好</t>
    <phoneticPr fontId="4" type="noConversion"/>
  </si>
  <si>
    <t>好</t>
  </si>
  <si>
    <t>七通</t>
  </si>
  <si>
    <t>较好</t>
  </si>
  <si>
    <t>一般</t>
  </si>
  <si>
    <t>高层</t>
  </si>
  <si>
    <t>高层</t>
    <phoneticPr fontId="22" type="noConversion"/>
  </si>
  <si>
    <t>精装修</t>
  </si>
  <si>
    <t>精装修</t>
    <phoneticPr fontId="22" type="noConversion"/>
  </si>
  <si>
    <t>普通装修</t>
  </si>
  <si>
    <t>普通装修</t>
    <phoneticPr fontId="22" type="noConversion"/>
  </si>
  <si>
    <t>精装修</t>
    <phoneticPr fontId="22" type="noConversion"/>
  </si>
  <si>
    <t>普通装修</t>
    <phoneticPr fontId="22" type="noConversion"/>
  </si>
  <si>
    <t>物业公司管理</t>
  </si>
  <si>
    <t>物业公司管理</t>
    <phoneticPr fontId="22" type="noConversion"/>
  </si>
  <si>
    <t>七通</t>
    <phoneticPr fontId="22" type="noConversion"/>
  </si>
  <si>
    <t>平层</t>
    <phoneticPr fontId="22" type="noConversion"/>
  </si>
  <si>
    <t>规划实施优先程度</t>
    <phoneticPr fontId="22" type="noConversion"/>
  </si>
  <si>
    <t>已实施</t>
    <phoneticPr fontId="22" type="noConversion"/>
  </si>
  <si>
    <t>待实施</t>
    <phoneticPr fontId="2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</si>
  <si>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</si>
  <si>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序号</t>
    <phoneticPr fontId="4" type="noConversion"/>
  </si>
  <si>
    <t>所属市/区</t>
    <phoneticPr fontId="4" type="noConversion"/>
  </si>
  <si>
    <t>写字楼名称</t>
    <phoneticPr fontId="4" type="noConversion"/>
  </si>
  <si>
    <t>位置</t>
    <phoneticPr fontId="4" type="noConversion"/>
  </si>
  <si>
    <t>承租人</t>
    <phoneticPr fontId="4" type="noConversion"/>
  </si>
  <si>
    <t>出租时间</t>
    <phoneticPr fontId="4" type="noConversion"/>
  </si>
  <si>
    <t>年租金/月租金</t>
    <phoneticPr fontId="4" type="noConversion"/>
  </si>
  <si>
    <t>建筑面积</t>
    <phoneticPr fontId="4" type="noConversion"/>
  </si>
  <si>
    <t>日租金</t>
    <phoneticPr fontId="4" type="noConversion"/>
  </si>
  <si>
    <t>总楼层</t>
    <phoneticPr fontId="4" type="noConversion"/>
  </si>
  <si>
    <t>出租层次</t>
    <phoneticPr fontId="4" type="noConversion"/>
  </si>
  <si>
    <t>房屋类型</t>
    <phoneticPr fontId="4" type="noConversion"/>
  </si>
  <si>
    <t>装修情况</t>
    <phoneticPr fontId="4" type="noConversion"/>
  </si>
  <si>
    <t>雄安新区</t>
    <phoneticPr fontId="4" type="noConversion"/>
  </si>
  <si>
    <t>——</t>
    <phoneticPr fontId="4" type="noConversion"/>
  </si>
  <si>
    <t>容城县板正南大街</t>
    <phoneticPr fontId="4" type="noConversion"/>
  </si>
  <si>
    <t>中煤建设</t>
    <phoneticPr fontId="4" type="noConversion"/>
  </si>
  <si>
    <t>砖混</t>
    <phoneticPr fontId="4" type="noConversion"/>
  </si>
  <si>
    <t>京兆集团</t>
    <phoneticPr fontId="4" type="noConversion"/>
  </si>
  <si>
    <t>中国铁建</t>
    <phoneticPr fontId="4" type="noConversion"/>
  </si>
  <si>
    <t>容城县板正大街</t>
    <phoneticPr fontId="4" type="noConversion"/>
  </si>
  <si>
    <t>建邦电力</t>
    <phoneticPr fontId="4" type="noConversion"/>
  </si>
  <si>
    <t>中交三局</t>
    <phoneticPr fontId="4" type="noConversion"/>
  </si>
  <si>
    <t>A</t>
    <phoneticPr fontId="229" type="noConversion"/>
  </si>
  <si>
    <t>万达广场</t>
    <phoneticPr fontId="4" type="noConversion"/>
  </si>
  <si>
    <t>西美五洲大厦</t>
    <phoneticPr fontId="4" type="noConversion"/>
  </si>
  <si>
    <t>华润万象</t>
    <phoneticPr fontId="4" type="noConversion"/>
  </si>
  <si>
    <t>石家庄</t>
    <phoneticPr fontId="4" type="noConversion"/>
  </si>
  <si>
    <t>商务办公</t>
  </si>
  <si>
    <t>商务办公</t>
    <phoneticPr fontId="28" type="noConversion"/>
  </si>
  <si>
    <t>30-40（含）</t>
  </si>
  <si>
    <t>写字楼</t>
  </si>
  <si>
    <t>写字楼</t>
    <phoneticPr fontId="28" type="noConversion"/>
  </si>
  <si>
    <t>钢混</t>
  </si>
  <si>
    <t>钢混</t>
    <phoneticPr fontId="28" type="noConversion"/>
  </si>
  <si>
    <t>精装修</t>
    <phoneticPr fontId="28" type="noConversion"/>
  </si>
  <si>
    <t>普通装修</t>
    <phoneticPr fontId="28" type="noConversion"/>
  </si>
  <si>
    <t>待实施</t>
    <phoneticPr fontId="28" type="noConversion"/>
  </si>
  <si>
    <t>已实施</t>
    <phoneticPr fontId="28" type="noConversion"/>
  </si>
  <si>
    <t>普通装修</t>
    <phoneticPr fontId="28" type="noConversion"/>
  </si>
  <si>
    <t>标准层高</t>
  </si>
  <si>
    <t>标准层高</t>
    <phoneticPr fontId="28"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</si>
  <si>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</si>
  <si>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誉宏路</t>
  </si>
  <si>
    <t>国际城</t>
  </si>
  <si>
    <t>同祥城</t>
  </si>
  <si>
    <t>石家庄</t>
  </si>
  <si>
    <t>商业</t>
  </si>
  <si>
    <t>商业</t>
    <phoneticPr fontId="27" type="noConversion"/>
  </si>
  <si>
    <t>现状差，未来较好</t>
  </si>
  <si>
    <t>现状差，未来较好</t>
    <phoneticPr fontId="27" type="noConversion"/>
  </si>
  <si>
    <t>较好</t>
    <phoneticPr fontId="27" type="noConversion"/>
  </si>
  <si>
    <t>独立商业</t>
  </si>
  <si>
    <t>独立商业</t>
    <phoneticPr fontId="27" type="noConversion"/>
  </si>
  <si>
    <t>住宅配套</t>
  </si>
  <si>
    <t>住宅配套</t>
    <phoneticPr fontId="27" type="noConversion"/>
  </si>
  <si>
    <t>钢混</t>
    <phoneticPr fontId="27" type="noConversion"/>
  </si>
  <si>
    <t>简单装修</t>
  </si>
  <si>
    <t>简单装修</t>
    <phoneticPr fontId="27" type="noConversion"/>
  </si>
  <si>
    <t>毛坯</t>
  </si>
  <si>
    <t>毛坯</t>
    <phoneticPr fontId="27" type="noConversion"/>
  </si>
  <si>
    <t>设施设备</t>
    <phoneticPr fontId="27" type="noConversion"/>
  </si>
  <si>
    <t>楼层</t>
    <phoneticPr fontId="27" type="noConversion"/>
  </si>
  <si>
    <t>建筑结构</t>
  </si>
  <si>
    <t>已实施</t>
    <phoneticPr fontId="27" type="noConversion"/>
  </si>
  <si>
    <t>好</t>
    <phoneticPr fontId="27" type="noConversion"/>
  </si>
  <si>
    <r>
      <t>1-2</t>
    </r>
    <r>
      <rPr>
        <sz val="11"/>
        <color indexed="8"/>
        <rFont val="宋体"/>
        <family val="3"/>
        <charset val="134"/>
      </rPr>
      <t>层</t>
    </r>
    <phoneticPr fontId="27"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</si>
  <si>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</si>
  <si>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出让</t>
  </si>
  <si>
    <t>市场价格</t>
  </si>
  <si>
    <t>其他：</t>
  </si>
  <si>
    <t>河北省</t>
    <phoneticPr fontId="7" type="noConversion"/>
  </si>
  <si>
    <t>企业</t>
  </si>
  <si>
    <t>公寓</t>
  </si>
  <si>
    <t>否</t>
  </si>
  <si>
    <t>地上</t>
  </si>
  <si>
    <t>普通住宅</t>
  </si>
  <si>
    <t>底商</t>
  </si>
  <si>
    <t>商业（底商）</t>
  </si>
  <si>
    <t>商业（独立）</t>
  </si>
  <si>
    <r>
      <rPr>
        <sz val="11"/>
        <color theme="1"/>
        <rFont val="宋体"/>
        <family val="3"/>
        <charset val="134"/>
      </rPr>
      <t>用途</t>
    </r>
    <phoneticPr fontId="281" type="noConversion"/>
  </si>
  <si>
    <r>
      <rPr>
        <sz val="11"/>
        <color theme="1"/>
        <rFont val="宋体"/>
        <family val="3"/>
        <charset val="134"/>
      </rPr>
      <t>分摊面积（平方米）</t>
    </r>
    <phoneticPr fontId="281"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</si>
  <si>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81" type="noConversion"/>
  </si>
  <si>
    <r>
      <rPr>
        <sz val="11"/>
        <color theme="1"/>
        <rFont val="宋体"/>
        <family val="3"/>
        <charset val="134"/>
      </rPr>
      <t>住宅</t>
    </r>
    <phoneticPr fontId="281" type="noConversion"/>
  </si>
  <si>
    <r>
      <rPr>
        <sz val="11"/>
        <color theme="1"/>
        <rFont val="宋体"/>
        <family val="3"/>
        <charset val="134"/>
      </rPr>
      <t>商业（底商）</t>
    </r>
    <phoneticPr fontId="281" type="noConversion"/>
  </si>
  <si>
    <r>
      <rPr>
        <sz val="11"/>
        <color theme="1"/>
        <rFont val="宋体"/>
        <family val="3"/>
        <charset val="134"/>
      </rPr>
      <t>商业（独立）</t>
    </r>
    <phoneticPr fontId="281" type="noConversion"/>
  </si>
  <si>
    <r>
      <rPr>
        <sz val="11"/>
        <color theme="1"/>
        <rFont val="宋体"/>
        <family val="3"/>
        <charset val="134"/>
      </rPr>
      <t>办公</t>
    </r>
    <phoneticPr fontId="281" type="noConversion"/>
  </si>
  <si>
    <r>
      <rPr>
        <sz val="11"/>
        <color theme="1"/>
        <rFont val="宋体"/>
        <family val="3"/>
        <charset val="134"/>
      </rPr>
      <t>公寓</t>
    </r>
    <phoneticPr fontId="281" type="noConversion"/>
  </si>
  <si>
    <r>
      <rPr>
        <sz val="11"/>
        <color theme="1"/>
        <rFont val="宋体"/>
        <family val="3"/>
        <charset val="134"/>
      </rPr>
      <t>邻里中心</t>
    </r>
    <phoneticPr fontId="281" type="noConversion"/>
  </si>
  <si>
    <r>
      <rPr>
        <sz val="11"/>
        <color theme="1"/>
        <rFont val="宋体"/>
        <family val="3"/>
        <charset val="134"/>
      </rPr>
      <t>幼儿园</t>
    </r>
    <phoneticPr fontId="281" type="noConversion"/>
  </si>
  <si>
    <t>设备设施</t>
    <phoneticPr fontId="28" type="noConversion"/>
  </si>
  <si>
    <t>好</t>
    <phoneticPr fontId="28" type="noConversion"/>
  </si>
  <si>
    <t>较好</t>
    <phoneticPr fontId="28"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</si>
  <si>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</si>
  <si>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5" type="noConversion"/>
  </si>
  <si>
    <t>不动产收益法-住宅</t>
  </si>
  <si>
    <r>
      <t>不动产收益法</t>
    </r>
    <r>
      <rPr>
        <sz val="11"/>
        <color theme="1"/>
        <rFont val="Arial"/>
        <family val="2"/>
      </rPr>
      <t>-</t>
    </r>
    <r>
      <rPr>
        <sz val="11"/>
        <color theme="1"/>
        <rFont val="宋体"/>
        <family val="3"/>
        <charset val="134"/>
      </rPr>
      <t>独商</t>
    </r>
    <phoneticPr fontId="15" type="noConversion"/>
  </si>
  <si>
    <t>不动产收益法-底商</t>
  </si>
  <si>
    <t>不动产收益法-独商</t>
  </si>
  <si>
    <t>不动产收益法-办公</t>
  </si>
  <si>
    <t>不动产收益法-公寓</t>
  </si>
  <si>
    <t>已全部缴纳</t>
  </si>
  <si>
    <t>按票据</t>
  </si>
  <si>
    <t>押一</t>
  </si>
  <si>
    <r>
      <rPr>
        <sz val="11"/>
        <color indexed="8"/>
        <rFont val="宋体"/>
        <family val="3"/>
        <charset val="134"/>
      </rPr>
      <t>不动产收益法</t>
    </r>
    <r>
      <rPr>
        <sz val="11"/>
        <color indexed="8"/>
        <rFont val="Arial"/>
        <family val="2"/>
      </rPr>
      <t>-</t>
    </r>
    <r>
      <rPr>
        <sz val="11"/>
        <color indexed="8"/>
        <rFont val="宋体"/>
        <family val="3"/>
        <charset val="134"/>
      </rPr>
      <t>底商</t>
    </r>
    <phoneticPr fontId="15" type="noConversion"/>
  </si>
  <si>
    <t>——</t>
    <phoneticPr fontId="281" type="noConversion"/>
  </si>
  <si>
    <r>
      <rPr>
        <sz val="11"/>
        <color theme="1"/>
        <rFont val="宋体"/>
        <family val="3"/>
        <charset val="134"/>
      </rPr>
      <t>租金</t>
    </r>
    <phoneticPr fontId="281" type="noConversion"/>
  </si>
  <si>
    <r>
      <rPr>
        <sz val="11"/>
        <color theme="1"/>
        <rFont val="宋体"/>
        <family val="3"/>
        <charset val="134"/>
      </rPr>
      <t>售价</t>
    </r>
    <phoneticPr fontId="281" type="noConversion"/>
  </si>
  <si>
    <r>
      <t>1</t>
    </r>
    <r>
      <rPr>
        <sz val="11"/>
        <rFont val="宋体"/>
        <family val="3"/>
        <charset val="134"/>
      </rPr>
      <t>层</t>
    </r>
    <phoneticPr fontId="27" type="noConversion"/>
  </si>
  <si>
    <r>
      <t>1</t>
    </r>
    <r>
      <rPr>
        <sz val="11"/>
        <color indexed="8"/>
        <rFont val="宋体"/>
        <family val="3"/>
        <charset val="134"/>
      </rPr>
      <t>层</t>
    </r>
    <phoneticPr fontId="27" type="noConversion"/>
  </si>
  <si>
    <r>
      <t>1-2</t>
    </r>
    <r>
      <rPr>
        <sz val="11"/>
        <rFont val="宋体"/>
        <family val="3"/>
        <charset val="134"/>
      </rPr>
      <t>层</t>
    </r>
    <phoneticPr fontId="27" type="noConversion"/>
  </si>
  <si>
    <t>所在楼层</t>
    <phoneticPr fontId="27" type="noConversion"/>
  </si>
  <si>
    <t>比例</t>
    <phoneticPr fontId="27" type="noConversion"/>
  </si>
  <si>
    <r>
      <t>1-4</t>
    </r>
    <r>
      <rPr>
        <sz val="11"/>
        <rFont val="宋体"/>
        <family val="3"/>
        <charset val="134"/>
      </rPr>
      <t>层</t>
    </r>
    <phoneticPr fontId="27" type="noConversion"/>
  </si>
  <si>
    <t>——</t>
    <phoneticPr fontId="27" type="noConversion"/>
  </si>
  <si>
    <r>
      <t>1-2</t>
    </r>
    <r>
      <rPr>
        <sz val="11"/>
        <rFont val="宋体"/>
        <family val="3"/>
        <charset val="134"/>
      </rPr>
      <t>层</t>
    </r>
    <phoneticPr fontId="27" type="noConversion"/>
  </si>
  <si>
    <t>简单装修</t>
    <phoneticPr fontId="28" type="noConversion"/>
  </si>
  <si>
    <t>毛坯</t>
    <phoneticPr fontId="28" type="noConversion"/>
  </si>
  <si>
    <t>简单装修</t>
    <phoneticPr fontId="28" type="noConversion"/>
  </si>
  <si>
    <t>总价及分摊</t>
    <phoneticPr fontId="4" type="noConversion"/>
  </si>
  <si>
    <t>分摊/面积</t>
    <phoneticPr fontId="4" type="noConversion"/>
  </si>
  <si>
    <t>售价占比</t>
    <phoneticPr fontId="4" type="noConversion"/>
  </si>
  <si>
    <t>面积</t>
    <phoneticPr fontId="4" type="noConversion"/>
  </si>
  <si>
    <t>剩余法-待开发</t>
  </si>
  <si>
    <t>成本逼近法</t>
  </si>
  <si>
    <t>序号</t>
    <phoneticPr fontId="286" type="noConversion"/>
  </si>
  <si>
    <t>宗地编号</t>
    <phoneticPr fontId="286" type="noConversion"/>
  </si>
  <si>
    <t>土地面积（㎡）</t>
    <phoneticPr fontId="286" type="noConversion"/>
  </si>
  <si>
    <t>规划容积率</t>
    <phoneticPr fontId="286" type="noConversion"/>
  </si>
  <si>
    <t>规划容积率</t>
    <phoneticPr fontId="286" type="noConversion"/>
  </si>
  <si>
    <r>
      <rPr>
        <b/>
        <sz val="11"/>
        <color rgb="FF000000"/>
        <rFont val="Arial"/>
        <family val="2"/>
      </rPr>
      <t>地上</t>
    </r>
    <phoneticPr fontId="286" type="noConversion"/>
  </si>
  <si>
    <t>地下</t>
    <phoneticPr fontId="286" type="noConversion"/>
  </si>
  <si>
    <t>合计（不含人防）</t>
    <phoneticPr fontId="286" type="noConversion"/>
  </si>
  <si>
    <t>计容（㎡）</t>
    <phoneticPr fontId="286" type="noConversion"/>
  </si>
  <si>
    <t>小计</t>
    <phoneticPr fontId="286" type="noConversion"/>
  </si>
  <si>
    <t>非计容（㎡）</t>
    <phoneticPr fontId="286" type="noConversion"/>
  </si>
  <si>
    <t>合计</t>
    <phoneticPr fontId="286" type="noConversion"/>
  </si>
  <si>
    <t>地下车位（非人防）</t>
    <phoneticPr fontId="286" type="noConversion"/>
  </si>
  <si>
    <t>地下商业（经营性面积）</t>
    <phoneticPr fontId="286" type="noConversion"/>
  </si>
  <si>
    <t>地下办公
（经营性面积）</t>
    <phoneticPr fontId="286" type="noConversion"/>
  </si>
  <si>
    <t>储藏间</t>
    <phoneticPr fontId="286" type="noConversion"/>
  </si>
  <si>
    <t>设备用房</t>
    <phoneticPr fontId="286" type="noConversion"/>
  </si>
  <si>
    <t>自行车库</t>
    <phoneticPr fontId="286" type="noConversion"/>
  </si>
  <si>
    <t>小计</t>
    <phoneticPr fontId="286" type="noConversion"/>
  </si>
  <si>
    <t>人防
（㎡）</t>
    <phoneticPr fontId="286" type="noConversion"/>
  </si>
  <si>
    <t>合计</t>
    <phoneticPr fontId="286" type="noConversion"/>
  </si>
  <si>
    <t>安置房</t>
    <phoneticPr fontId="286" type="noConversion"/>
  </si>
  <si>
    <t>底商</t>
    <phoneticPr fontId="286" type="noConversion"/>
  </si>
  <si>
    <t>独立商业</t>
    <phoneticPr fontId="286" type="noConversion"/>
  </si>
  <si>
    <t>办公</t>
    <phoneticPr fontId="286" type="noConversion"/>
  </si>
  <si>
    <t>酒店</t>
    <phoneticPr fontId="286" type="noConversion"/>
  </si>
  <si>
    <t>公寓</t>
    <phoneticPr fontId="286" type="noConversion"/>
  </si>
  <si>
    <t>其他配套设施（㎡）</t>
    <phoneticPr fontId="286" type="noConversion"/>
  </si>
  <si>
    <t>地库出入口（含人防）</t>
    <phoneticPr fontId="286" type="noConversion"/>
  </si>
  <si>
    <t>汽车坡道以及自行车坡道</t>
    <phoneticPr fontId="286" type="noConversion"/>
  </si>
  <si>
    <t>屋顶水箱间等纵向凸出物</t>
    <phoneticPr fontId="286" type="noConversion"/>
  </si>
  <si>
    <t>闷顶面积</t>
    <phoneticPr fontId="286" type="noConversion"/>
  </si>
  <si>
    <t>首层架空面积</t>
    <phoneticPr fontId="286" type="noConversion"/>
  </si>
  <si>
    <t>1层临主街底商</t>
    <phoneticPr fontId="286" type="noConversion"/>
  </si>
  <si>
    <t>1层临小区内街底商</t>
    <phoneticPr fontId="286" type="noConversion"/>
  </si>
  <si>
    <t>1-2层临主街底商</t>
    <phoneticPr fontId="286" type="noConversion"/>
  </si>
  <si>
    <t>1-2层临小区内街底商</t>
    <phoneticPr fontId="286" type="noConversion"/>
  </si>
  <si>
    <t>公服配套</t>
    <phoneticPr fontId="286" type="noConversion"/>
  </si>
  <si>
    <t>预留公服</t>
    <phoneticPr fontId="286" type="noConversion"/>
  </si>
  <si>
    <t>邻里中心（B单元2个，D单元1个）</t>
    <phoneticPr fontId="286" type="noConversion"/>
  </si>
  <si>
    <t>公共市政设施（开关站，公交场站）</t>
    <phoneticPr fontId="286" type="noConversion"/>
  </si>
  <si>
    <r>
      <rPr>
        <sz val="11"/>
        <rFont val="宋体"/>
        <family val="3"/>
        <charset val="134"/>
      </rPr>
      <t>5G宏基站</t>
    </r>
    <phoneticPr fontId="286" type="noConversion"/>
  </si>
  <si>
    <t>个数（个）</t>
    <phoneticPr fontId="286" type="noConversion"/>
  </si>
  <si>
    <t>规划建筑面积
（㎡）</t>
    <phoneticPr fontId="286" type="noConversion"/>
  </si>
  <si>
    <t>RX01-01</t>
    <phoneticPr fontId="286" type="noConversion"/>
  </si>
  <si>
    <t>RX01-02</t>
    <phoneticPr fontId="286" type="noConversion"/>
  </si>
  <si>
    <t>RX01-03</t>
    <phoneticPr fontId="286" type="noConversion"/>
  </si>
  <si>
    <t>RX02-01A</t>
    <phoneticPr fontId="286" type="noConversion"/>
  </si>
  <si>
    <t>RX02-01B</t>
    <phoneticPr fontId="286" type="noConversion"/>
  </si>
  <si>
    <t>RX02-02</t>
    <phoneticPr fontId="286" type="noConversion"/>
  </si>
  <si>
    <t>RX02-03</t>
    <phoneticPr fontId="286" type="noConversion"/>
  </si>
  <si>
    <t>RX02-04</t>
    <phoneticPr fontId="286" type="noConversion"/>
  </si>
  <si>
    <t>RX02-05</t>
    <phoneticPr fontId="286" type="noConversion"/>
  </si>
  <si>
    <t>RX02-06</t>
    <phoneticPr fontId="286" type="noConversion"/>
  </si>
  <si>
    <t>RX03-05</t>
    <phoneticPr fontId="286" type="noConversion"/>
  </si>
  <si>
    <t>RX03-08</t>
    <phoneticPr fontId="286" type="noConversion"/>
  </si>
  <si>
    <t>RX03-09</t>
    <phoneticPr fontId="286" type="noConversion"/>
  </si>
  <si>
    <r>
      <rPr>
        <sz val="11"/>
        <color theme="1"/>
        <rFont val="宋体"/>
        <family val="3"/>
        <charset val="134"/>
      </rPr>
      <t>用途</t>
    </r>
    <phoneticPr fontId="229" type="noConversion"/>
  </si>
  <si>
    <r>
      <rPr>
        <sz val="11"/>
        <color theme="1"/>
        <rFont val="宋体"/>
        <family val="3"/>
        <charset val="134"/>
      </rPr>
      <t>分摊面积（平方米）</t>
    </r>
    <phoneticPr fontId="229"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</si>
  <si>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29" type="noConversion"/>
  </si>
  <si>
    <r>
      <rPr>
        <sz val="11"/>
        <color theme="1"/>
        <rFont val="宋体"/>
        <family val="3"/>
        <charset val="134"/>
      </rPr>
      <t>租金</t>
    </r>
    <phoneticPr fontId="229" type="noConversion"/>
  </si>
  <si>
    <r>
      <rPr>
        <sz val="11"/>
        <color theme="1"/>
        <rFont val="宋体"/>
        <family val="3"/>
        <charset val="134"/>
      </rPr>
      <t>售价</t>
    </r>
    <phoneticPr fontId="229" type="noConversion"/>
  </si>
  <si>
    <t>住宅</t>
    <phoneticPr fontId="229" type="noConversion"/>
  </si>
  <si>
    <r>
      <rPr>
        <sz val="11"/>
        <color theme="1"/>
        <rFont val="宋体"/>
        <family val="3"/>
        <charset val="134"/>
      </rPr>
      <t>商业（底商）</t>
    </r>
    <phoneticPr fontId="229" type="noConversion"/>
  </si>
  <si>
    <r>
      <rPr>
        <sz val="11"/>
        <color theme="1"/>
        <rFont val="宋体"/>
        <family val="3"/>
        <charset val="134"/>
      </rPr>
      <t>商业（独立）</t>
    </r>
    <phoneticPr fontId="229" type="noConversion"/>
  </si>
  <si>
    <r>
      <rPr>
        <sz val="11"/>
        <color theme="1"/>
        <rFont val="宋体"/>
        <family val="3"/>
        <charset val="134"/>
      </rPr>
      <t>办公</t>
    </r>
    <phoneticPr fontId="229" type="noConversion"/>
  </si>
  <si>
    <r>
      <rPr>
        <sz val="11"/>
        <color theme="1"/>
        <rFont val="宋体"/>
        <family val="3"/>
        <charset val="134"/>
      </rPr>
      <t>公寓</t>
    </r>
    <phoneticPr fontId="229" type="noConversion"/>
  </si>
  <si>
    <t>其他配套设施</t>
    <phoneticPr fontId="229" type="noConversion"/>
  </si>
  <si>
    <t>——</t>
    <phoneticPr fontId="229" type="noConversion"/>
  </si>
  <si>
    <t>酒店</t>
  </si>
  <si>
    <t>酒店</t>
    <phoneticPr fontId="281" type="noConversion"/>
  </si>
  <si>
    <t>酒店</t>
    <phoneticPr fontId="8" type="noConversion"/>
  </si>
  <si>
    <t>公寓</t>
    <phoneticPr fontId="8" type="noConversion"/>
  </si>
  <si>
    <r>
      <t>不动产收益法</t>
    </r>
    <r>
      <rPr>
        <sz val="11"/>
        <color theme="1"/>
        <rFont val="Arial"/>
        <family val="2"/>
      </rPr>
      <t>-</t>
    </r>
    <r>
      <rPr>
        <sz val="11"/>
        <color theme="1"/>
        <rFont val="宋体"/>
        <family val="3"/>
        <charset val="134"/>
      </rPr>
      <t>酒店</t>
    </r>
    <phoneticPr fontId="15" type="noConversion"/>
  </si>
  <si>
    <t>不动产收益法-酒店</t>
  </si>
  <si>
    <t>房型</t>
    <phoneticPr fontId="229" type="noConversion"/>
  </si>
  <si>
    <t>标准大床房</t>
    <phoneticPr fontId="229" type="noConversion"/>
  </si>
  <si>
    <t>标准双床房</t>
    <phoneticPr fontId="229" type="noConversion"/>
  </si>
  <si>
    <t>豪华大床房</t>
    <phoneticPr fontId="229" type="noConversion"/>
  </si>
  <si>
    <t>豪华双床房</t>
    <phoneticPr fontId="229" type="noConversion"/>
  </si>
  <si>
    <t>无障碍客房</t>
    <phoneticPr fontId="229" type="noConversion"/>
  </si>
  <si>
    <t>标准套房</t>
    <phoneticPr fontId="229" type="noConversion"/>
  </si>
  <si>
    <t>客房数量</t>
    <phoneticPr fontId="229" type="noConversion"/>
  </si>
  <si>
    <t>房价</t>
    <phoneticPr fontId="229" type="noConversion"/>
  </si>
  <si>
    <t>合计</t>
    <phoneticPr fontId="229" type="noConversion"/>
  </si>
  <si>
    <t>仁达</t>
    <phoneticPr fontId="229" type="noConversion"/>
  </si>
  <si>
    <t>平方米</t>
    <phoneticPr fontId="229" type="noConversion"/>
  </si>
  <si>
    <t>行政套房</t>
    <phoneticPr fontId="4" type="noConversion"/>
  </si>
  <si>
    <t>标准大床、双床房</t>
    <phoneticPr fontId="4" type="noConversion"/>
  </si>
  <si>
    <t>豪华大床、双床房</t>
    <phoneticPr fontId="4" type="noConversion"/>
  </si>
  <si>
    <t>单间面积</t>
    <phoneticPr fontId="229" type="noConversion"/>
  </si>
  <si>
    <t>客房面积</t>
    <phoneticPr fontId="229" type="noConversion"/>
  </si>
  <si>
    <t>剩余法</t>
    <phoneticPr fontId="229" type="noConversion"/>
  </si>
  <si>
    <t>权重</t>
    <phoneticPr fontId="229" type="noConversion"/>
  </si>
  <si>
    <t>成本法</t>
    <phoneticPr fontId="229" type="noConversion"/>
  </si>
  <si>
    <t>结果单价</t>
    <phoneticPr fontId="229" type="noConversion"/>
  </si>
  <si>
    <t>面积</t>
    <phoneticPr fontId="229" type="noConversion"/>
  </si>
  <si>
    <t>住宅</t>
    <phoneticPr fontId="229" type="noConversion"/>
  </si>
  <si>
    <t>合计</t>
    <phoneticPr fontId="229" type="noConversion"/>
  </si>
  <si>
    <t>总价</t>
    <phoneticPr fontId="229" type="noConversion"/>
  </si>
  <si>
    <t>酒店</t>
    <phoneticPr fontId="229" type="noConversion"/>
  </si>
  <si>
    <t>宗地号</t>
    <phoneticPr fontId="291" type="noConversion"/>
  </si>
  <si>
    <t>建设用地面积（不含绿地、道路）
（㎡）</t>
    <phoneticPr fontId="291" type="noConversion"/>
  </si>
  <si>
    <t>地上规划建筑面积
（㎡）</t>
    <phoneticPr fontId="291" type="noConversion"/>
  </si>
  <si>
    <t>地上可收益规划建筑面积
（㎡）</t>
    <phoneticPr fontId="291" type="noConversion"/>
  </si>
  <si>
    <t>安置房地上规划建筑面积
（㎡）</t>
    <phoneticPr fontId="291" type="noConversion"/>
  </si>
  <si>
    <t>办公地上规划建筑面积
（㎡）</t>
    <phoneticPr fontId="291" type="noConversion"/>
  </si>
  <si>
    <t>底商地上规划建筑面积
（㎡）</t>
    <phoneticPr fontId="291" type="noConversion"/>
  </si>
  <si>
    <t>集中商业地上规划建筑面积
（㎡）</t>
    <phoneticPr fontId="291" type="noConversion"/>
  </si>
  <si>
    <t>公寓地上规划建筑面积
（㎡）</t>
    <phoneticPr fontId="291" type="noConversion"/>
  </si>
  <si>
    <t>容积率</t>
    <phoneticPr fontId="291" type="noConversion"/>
  </si>
  <si>
    <t>总价
（万元）</t>
    <phoneticPr fontId="291" type="noConversion"/>
  </si>
  <si>
    <t>地面单价
（元/㎡）</t>
    <phoneticPr fontId="291" type="noConversion"/>
  </si>
  <si>
    <t>亩单价
（万元/亩）</t>
    <phoneticPr fontId="291" type="noConversion"/>
  </si>
  <si>
    <t>综合楼面单价
（元/㎡）</t>
    <phoneticPr fontId="291" type="noConversion"/>
  </si>
  <si>
    <t>分用途楼面单价</t>
    <phoneticPr fontId="291" type="noConversion"/>
  </si>
  <si>
    <t>评估机构</t>
    <phoneticPr fontId="291" type="noConversion"/>
  </si>
  <si>
    <t>各用途汇总地价（万元）</t>
    <phoneticPr fontId="291" type="noConversion"/>
  </si>
  <si>
    <t>差额
（万元）</t>
    <phoneticPr fontId="291" type="noConversion"/>
  </si>
  <si>
    <t>安置房</t>
    <phoneticPr fontId="291" type="noConversion"/>
  </si>
  <si>
    <t>地价
（万元）</t>
    <phoneticPr fontId="291" type="noConversion"/>
  </si>
  <si>
    <t>办公</t>
    <phoneticPr fontId="291" type="noConversion"/>
  </si>
  <si>
    <t>底商</t>
    <phoneticPr fontId="291" type="noConversion"/>
  </si>
  <si>
    <t>集中商业</t>
    <phoneticPr fontId="291" type="noConversion"/>
  </si>
  <si>
    <t>公寓
（40年）</t>
    <phoneticPr fontId="291" type="noConversion"/>
  </si>
  <si>
    <t>酒店</t>
    <phoneticPr fontId="291" type="noConversion"/>
  </si>
  <si>
    <t>康正</t>
    <phoneticPr fontId="291" type="noConversion"/>
  </si>
  <si>
    <t>底商</t>
    <phoneticPr fontId="229" type="noConversion"/>
  </si>
  <si>
    <t>集中商业</t>
    <phoneticPr fontId="229" type="noConversion"/>
  </si>
  <si>
    <t>租金水平</t>
    <phoneticPr fontId="229" type="noConversion"/>
  </si>
  <si>
    <t>建安水平</t>
    <phoneticPr fontId="229" type="noConversion"/>
  </si>
  <si>
    <t>用途</t>
    <phoneticPr fontId="229" type="noConversion"/>
  </si>
  <si>
    <t>住宅</t>
    <phoneticPr fontId="229" type="noConversion"/>
  </si>
  <si>
    <t>集中商业</t>
    <phoneticPr fontId="229" type="noConversion"/>
  </si>
  <si>
    <t>利润率</t>
    <phoneticPr fontId="229" type="noConversion"/>
  </si>
  <si>
    <t>空置率</t>
    <phoneticPr fontId="229" type="noConversion"/>
  </si>
  <si>
    <t>自定义</t>
  </si>
  <si>
    <t>住宅</t>
    <phoneticPr fontId="229" type="noConversion"/>
  </si>
  <si>
    <t>底商</t>
    <phoneticPr fontId="229" type="noConversion"/>
  </si>
  <si>
    <t>XARX-0001</t>
    <phoneticPr fontId="229" type="noConversion"/>
  </si>
  <si>
    <t>XARX-0002</t>
    <phoneticPr fontId="229" type="noConversion"/>
  </si>
  <si>
    <t>XARX-0003</t>
    <phoneticPr fontId="229" type="noConversion"/>
  </si>
  <si>
    <t>XARX-0004</t>
    <phoneticPr fontId="229" type="noConversion"/>
  </si>
  <si>
    <t>XARX-0005</t>
    <phoneticPr fontId="229" type="noConversion"/>
  </si>
  <si>
    <t>总用地面积（㎡）</t>
    <phoneticPr fontId="291" type="noConversion"/>
  </si>
  <si>
    <t>车位</t>
    <phoneticPr fontId="229" type="noConversion"/>
  </si>
  <si>
    <t>地下</t>
  </si>
  <si>
    <t>车库</t>
  </si>
  <si>
    <t>车库</t>
    <phoneticPr fontId="8" type="noConversion"/>
  </si>
  <si>
    <r>
      <t>不动产收益法</t>
    </r>
    <r>
      <rPr>
        <sz val="11"/>
        <color theme="1"/>
        <rFont val="Arial"/>
        <family val="2"/>
      </rPr>
      <t>-</t>
    </r>
    <r>
      <rPr>
        <sz val="11"/>
        <color theme="1"/>
        <rFont val="宋体"/>
        <family val="3"/>
        <charset val="134"/>
      </rPr>
      <t>车库</t>
    </r>
    <phoneticPr fontId="15" type="noConversion"/>
  </si>
  <si>
    <t>不动产收益法-车库</t>
  </si>
  <si>
    <t>车位</t>
    <phoneticPr fontId="229" type="noConversion"/>
  </si>
  <si>
    <t>酒店地上规划建筑面积
（㎡）</t>
    <phoneticPr fontId="291" type="noConversion"/>
  </si>
  <si>
    <t>地下车位建筑面积（㎡）</t>
    <phoneticPr fontId="229" type="noConversion"/>
  </si>
  <si>
    <t>车库</t>
    <phoneticPr fontId="291" type="noConversion"/>
  </si>
  <si>
    <t>——</t>
    <phoneticPr fontId="229" type="noConversion"/>
  </si>
  <si>
    <t>XARX-0002</t>
  </si>
  <si>
    <t>XARX-0003</t>
  </si>
  <si>
    <t>XARX-0004</t>
  </si>
  <si>
    <t>XARX-0005</t>
  </si>
  <si>
    <t>容西安置房项目地价一览表</t>
    <phoneticPr fontId="291" type="noConversion"/>
  </si>
  <si>
    <t>宗地号</t>
    <phoneticPr fontId="291" type="noConversion"/>
  </si>
  <si>
    <t>建设用地面积（㎡）</t>
    <phoneticPr fontId="291" type="noConversion"/>
  </si>
  <si>
    <t>地上规划建筑面积
（㎡）</t>
    <phoneticPr fontId="291" type="noConversion"/>
  </si>
  <si>
    <t>地上可收益规划建筑面积
（㎡）</t>
    <phoneticPr fontId="291" type="noConversion"/>
  </si>
  <si>
    <t>安置房地上规划建筑面积
（㎡）</t>
    <phoneticPr fontId="291" type="noConversion"/>
  </si>
  <si>
    <t>办公地上规划建筑面积
（㎡）</t>
    <phoneticPr fontId="291" type="noConversion"/>
  </si>
  <si>
    <t>底商地上规划建筑面积
（㎡）</t>
    <phoneticPr fontId="291" type="noConversion"/>
  </si>
  <si>
    <t>公寓地上规划建筑面积
（㎡）</t>
    <phoneticPr fontId="291" type="noConversion"/>
  </si>
  <si>
    <t>商业街地上规划建筑面积（㎡）</t>
    <phoneticPr fontId="291" type="noConversion"/>
  </si>
  <si>
    <t>容积率</t>
    <phoneticPr fontId="291" type="noConversion"/>
  </si>
  <si>
    <t>总价
（万元）</t>
    <phoneticPr fontId="291" type="noConversion"/>
  </si>
  <si>
    <t>地面单价
（元/㎡）</t>
    <phoneticPr fontId="291" type="noConversion"/>
  </si>
  <si>
    <t>亩单价
（万元/亩）</t>
    <phoneticPr fontId="291" type="noConversion"/>
  </si>
  <si>
    <t>综合楼面单价
（元/㎡）</t>
    <phoneticPr fontId="291" type="noConversion"/>
  </si>
  <si>
    <t>分用途楼面单价</t>
    <phoneticPr fontId="291" type="noConversion"/>
  </si>
  <si>
    <t>评估机构</t>
    <phoneticPr fontId="291" type="noConversion"/>
  </si>
  <si>
    <t>各用途汇总地价（万元）</t>
    <phoneticPr fontId="291" type="noConversion"/>
  </si>
  <si>
    <t>差额
（万元）</t>
    <phoneticPr fontId="291" type="noConversion"/>
  </si>
  <si>
    <t>安置房</t>
    <phoneticPr fontId="291" type="noConversion"/>
  </si>
  <si>
    <t>地价
（万元）</t>
    <phoneticPr fontId="291" type="noConversion"/>
  </si>
  <si>
    <t>办公</t>
    <phoneticPr fontId="291" type="noConversion"/>
  </si>
  <si>
    <t>底商</t>
    <phoneticPr fontId="291" type="noConversion"/>
  </si>
  <si>
    <t>公寓
（40年）</t>
    <phoneticPr fontId="291" type="noConversion"/>
  </si>
  <si>
    <t>商业街</t>
    <phoneticPr fontId="291" type="noConversion"/>
  </si>
  <si>
    <t>地价（万元</t>
    <phoneticPr fontId="291" type="noConversion"/>
  </si>
  <si>
    <t>XARX-0001</t>
    <phoneticPr fontId="291" type="noConversion"/>
  </si>
  <si>
    <t>康正</t>
    <phoneticPr fontId="29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</si>
</sst>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9"/>
      <name val="宋体"/>
      <family val="3"/>
      <charset val="134"/>
      <scheme val="minor"/>
    </font>
    <font>
      <b/>
      <sz val="10"/>
      <name val="宋体"/>
      <family val="3"/>
      <charset val="134"/>
      <scheme val="minor"/>
    </font>
    <font>
      <sz val="10"/>
      <name val="宋体"/>
      <family val="3"/>
      <charset val="134"/>
      <scheme val="minor"/>
    </font>
    <font>
      <sz val="11"/>
      <color theme="9" tint="-0.249977111117893"/>
      <name val="Arial"/>
      <family val="3"/>
    </font>
    <font>
      <sz val="11"/>
      <color rgb="FF000000"/>
      <name val="宋体"/>
      <family val="3"/>
      <charset val="134"/>
    </font>
    <font>
      <sz val="12"/>
      <color theme="1"/>
      <name val="微软雅黑"/>
      <family val="2"/>
      <charset val="134"/>
    </font>
    <font>
      <b/>
      <sz val="11"/>
      <color rgb="FF000000"/>
      <name val="Arial"/>
      <family val="2"/>
    </font>
    <font>
      <b/>
      <sz val="11"/>
      <color rgb="FF000000"/>
      <name val="宋体"/>
      <family val="3"/>
      <charset val="134"/>
    </font>
    <font>
      <sz val="11"/>
      <color rgb="FF000000"/>
      <name val="微软雅黑"/>
      <family val="2"/>
      <charset val="134"/>
    </font>
    <font>
      <sz val="11"/>
      <color theme="1"/>
      <name val="宋体"/>
      <family val="3"/>
      <charset val="134"/>
      <scheme val="minor"/>
    </font>
    <font>
      <sz val="9"/>
      <name val="宋体"/>
      <family val="2"/>
      <charset val="134"/>
      <scheme val="minor"/>
    </font>
    <font>
      <sz val="10"/>
      <color theme="1"/>
      <name val="宋体"/>
      <family val="2"/>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79998168889431442"/>
        <bgColor indexed="64"/>
      </patternFill>
    </fill>
  </fills>
  <borders count="16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87" fillId="0" borderId="0"/>
    <xf numFmtId="0" fontId="33" fillId="0" borderId="0"/>
    <xf numFmtId="0" fontId="33" fillId="0" borderId="0"/>
    <xf numFmtId="0" fontId="146"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43" fontId="257" fillId="0" borderId="0" applyFont="0" applyFill="0" applyBorder="0" applyAlignment="0" applyProtection="0">
      <alignment vertical="center"/>
    </xf>
    <xf numFmtId="0" fontId="181" fillId="0" borderId="0">
      <alignment vertical="center"/>
    </xf>
    <xf numFmtId="9" fontId="290" fillId="0" borderId="0" applyFont="0" applyFill="0" applyBorder="0" applyAlignment="0" applyProtection="0">
      <alignment vertical="center"/>
    </xf>
  </cellStyleXfs>
  <cellXfs count="379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282" fillId="0" borderId="0" xfId="16" applyFont="1" applyFill="1" applyBorder="1" applyAlignment="1">
      <alignment horizontal="center" vertical="center" wrapText="1"/>
    </xf>
    <xf numFmtId="0" fontId="282" fillId="0" borderId="0" xfId="16" applyFont="1" applyAlignment="1">
      <alignment horizontal="center" vertical="center" wrapText="1"/>
    </xf>
    <xf numFmtId="0" fontId="282" fillId="22" borderId="10" xfId="16" applyFont="1" applyFill="1" applyBorder="1" applyAlignment="1">
      <alignment horizontal="center" vertical="center" wrapText="1"/>
    </xf>
    <xf numFmtId="180" fontId="282" fillId="23" borderId="10" xfId="16" applyNumberFormat="1" applyFont="1" applyFill="1" applyBorder="1" applyAlignment="1">
      <alignment horizontal="center" vertical="center" wrapText="1"/>
    </xf>
    <xf numFmtId="180" fontId="282" fillId="15" borderId="10" xfId="16" applyNumberFormat="1" applyFont="1" applyFill="1" applyBorder="1" applyAlignment="1">
      <alignment horizontal="center" vertical="center" wrapText="1"/>
    </xf>
    <xf numFmtId="180" fontId="282" fillId="22" borderId="10" xfId="16" applyNumberFormat="1" applyFont="1" applyFill="1" applyBorder="1" applyAlignment="1">
      <alignment horizontal="center" vertical="center" wrapText="1"/>
    </xf>
    <xf numFmtId="0" fontId="282" fillId="6" borderId="2" xfId="16" applyFont="1" applyFill="1" applyBorder="1" applyAlignment="1">
      <alignment horizontal="center" vertical="center" wrapText="1"/>
    </xf>
    <xf numFmtId="177" fontId="283" fillId="20" borderId="2" xfId="16" applyNumberFormat="1" applyFont="1" applyFill="1" applyBorder="1" applyAlignment="1">
      <alignment horizontal="center" vertical="center" wrapText="1"/>
    </xf>
    <xf numFmtId="177" fontId="283" fillId="21" borderId="2" xfId="16" applyNumberFormat="1" applyFont="1" applyFill="1" applyBorder="1" applyAlignment="1">
      <alignment horizontal="center" vertical="center" wrapText="1"/>
    </xf>
    <xf numFmtId="180" fontId="283"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0" fontId="283" fillId="0" borderId="0" xfId="16" applyFont="1" applyFill="1" applyBorder="1" applyAlignment="1">
      <alignment horizontal="center" vertical="center" wrapText="1"/>
    </xf>
    <xf numFmtId="0" fontId="283" fillId="0" borderId="0" xfId="16" applyFont="1" applyAlignment="1">
      <alignment horizontal="center" vertical="center" wrapText="1"/>
    </xf>
    <xf numFmtId="177" fontId="283" fillId="0" borderId="2" xfId="16" applyNumberFormat="1" applyFont="1" applyBorder="1" applyAlignment="1">
      <alignment horizontal="center" vertical="center" wrapText="1"/>
    </xf>
    <xf numFmtId="0" fontId="283" fillId="0" borderId="0" xfId="16" applyFont="1" applyFill="1" applyAlignment="1">
      <alignment horizontal="center" vertical="center" wrapText="1"/>
    </xf>
    <xf numFmtId="0" fontId="1" fillId="0" borderId="0" xfId="16">
      <alignment vertical="center"/>
    </xf>
    <xf numFmtId="0" fontId="87" fillId="0" borderId="0" xfId="17"/>
    <xf numFmtId="0" fontId="87" fillId="0" borderId="0" xfId="17" applyAlignment="1">
      <alignment wrapText="1"/>
    </xf>
    <xf numFmtId="0" fontId="87" fillId="0" borderId="0" xfId="18" applyAlignment="1">
      <alignment horizontal="center" vertical="center" wrapText="1"/>
    </xf>
    <xf numFmtId="0" fontId="87" fillId="0" borderId="0" xfId="17" applyFont="1" applyAlignment="1">
      <alignment wrapText="1"/>
    </xf>
    <xf numFmtId="0" fontId="82" fillId="0" borderId="59" xfId="0" applyNumberFormat="1" applyFont="1" applyFill="1" applyBorder="1" applyAlignment="1" applyProtection="1">
      <alignment horizontal="center" vertical="center" wrapText="1"/>
      <protection locked="0"/>
    </xf>
    <xf numFmtId="49" fontId="263"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49" fontId="263" fillId="0" borderId="12" xfId="0" applyNumberFormat="1"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28" fillId="0" borderId="2" xfId="19" applyFont="1" applyBorder="1" applyAlignment="1">
      <alignment horizontal="center" vertical="center" wrapText="1"/>
    </xf>
    <xf numFmtId="0" fontId="128" fillId="0" borderId="0" xfId="19" applyFont="1" applyAlignment="1">
      <alignment horizontal="center" vertical="center" wrapText="1"/>
    </xf>
    <xf numFmtId="0" fontId="146" fillId="0" borderId="0" xfId="1">
      <alignment vertical="center"/>
    </xf>
    <xf numFmtId="0" fontId="146" fillId="0" borderId="0" xfId="1" applyFont="1">
      <alignment vertical="center"/>
    </xf>
    <xf numFmtId="0" fontId="82" fillId="0" borderId="45" xfId="0"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159" fillId="0" borderId="51" xfId="2" applyNumberFormat="1" applyFont="1" applyFill="1" applyBorder="1" applyAlignment="1" applyProtection="1">
      <alignment horizontal="center" vertical="center"/>
      <protection locked="0"/>
    </xf>
    <xf numFmtId="0" fontId="150" fillId="0" borderId="2" xfId="0" applyFont="1" applyBorder="1" applyAlignment="1">
      <alignment horizontal="center" vertical="center"/>
    </xf>
    <xf numFmtId="0" fontId="82" fillId="0" borderId="50" xfId="0" applyNumberFormat="1" applyFont="1" applyFill="1" applyBorder="1" applyAlignment="1" applyProtection="1">
      <alignment horizontal="center" vertical="center" wrapText="1"/>
      <protection locked="0"/>
    </xf>
    <xf numFmtId="0" fontId="87" fillId="24" borderId="2" xfId="2" applyFont="1" applyFill="1" applyBorder="1" applyAlignment="1" applyProtection="1">
      <alignment horizontal="center" vertical="center"/>
      <protection locked="0"/>
    </xf>
    <xf numFmtId="0" fontId="150" fillId="0" borderId="2" xfId="0" applyFont="1" applyBorder="1" applyAlignment="1">
      <alignment horizontal="center" vertical="center" wrapText="1"/>
    </xf>
    <xf numFmtId="0" fontId="145" fillId="5" borderId="0" xfId="0" applyFont="1" applyFill="1" applyBorder="1" applyAlignment="1" applyProtection="1">
      <alignment horizontal="center" vertical="center"/>
      <protection locked="0"/>
    </xf>
    <xf numFmtId="0" fontId="150" fillId="16" borderId="2" xfId="0" applyFont="1" applyFill="1" applyBorder="1" applyAlignment="1">
      <alignment horizontal="center" vertical="center"/>
    </xf>
    <xf numFmtId="0" fontId="77" fillId="5" borderId="8"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185" fontId="93" fillId="8" borderId="0" xfId="0" applyNumberFormat="1" applyFont="1" applyFill="1" applyAlignment="1" applyProtection="1">
      <protection locked="0"/>
    </xf>
    <xf numFmtId="0" fontId="93" fillId="8" borderId="0" xfId="0" applyFont="1" applyFill="1" applyAlignment="1" applyProtection="1">
      <protection locked="0"/>
    </xf>
    <xf numFmtId="177" fontId="93" fillId="8" borderId="0" xfId="0" applyNumberFormat="1" applyFont="1" applyFill="1" applyAlignment="1" applyProtection="1">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85" fontId="77" fillId="8" borderId="0" xfId="0" applyNumberFormat="1" applyFont="1" applyFill="1" applyAlignment="1" applyProtection="1">
      <protection locked="0"/>
    </xf>
    <xf numFmtId="177" fontId="77" fillId="8" borderId="0" xfId="0" applyNumberFormat="1" applyFont="1" applyFill="1" applyAlignment="1" applyProtection="1">
      <protection locked="0"/>
    </xf>
    <xf numFmtId="185" fontId="77" fillId="0" borderId="0" xfId="0" applyNumberFormat="1" applyFont="1" applyFill="1" applyAlignment="1" applyProtection="1">
      <protection locked="0"/>
    </xf>
    <xf numFmtId="177" fontId="77" fillId="0" borderId="0" xfId="0" applyNumberFormat="1" applyFont="1" applyFill="1" applyAlignment="1" applyProtection="1">
      <protection locked="0"/>
    </xf>
    <xf numFmtId="0" fontId="285" fillId="0" borderId="0" xfId="27" applyNumberFormat="1" applyFont="1" applyBorder="1" applyAlignment="1">
      <alignment horizontal="center" vertical="center" wrapText="1"/>
    </xf>
    <xf numFmtId="0" fontId="181" fillId="0" borderId="0" xfId="27">
      <alignment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9" fillId="0" borderId="157"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285" fillId="15" borderId="157" xfId="27" applyNumberFormat="1" applyFont="1" applyFill="1" applyBorder="1" applyAlignment="1">
      <alignment horizontal="center" vertical="center" wrapText="1"/>
    </xf>
    <xf numFmtId="0" fontId="285" fillId="15" borderId="0" xfId="27" applyNumberFormat="1" applyFont="1" applyFill="1" applyBorder="1" applyAlignment="1">
      <alignment horizontal="center" vertical="center" wrapText="1"/>
    </xf>
    <xf numFmtId="0" fontId="181" fillId="15" borderId="0" xfId="27" applyFill="1">
      <alignment vertical="center"/>
    </xf>
    <xf numFmtId="0" fontId="285" fillId="25" borderId="157" xfId="27" applyNumberFormat="1" applyFont="1" applyFill="1" applyBorder="1" applyAlignment="1">
      <alignment horizontal="center" vertical="center" wrapText="1"/>
    </xf>
    <xf numFmtId="0" fontId="285" fillId="25" borderId="0" xfId="27" applyNumberFormat="1" applyFont="1" applyFill="1" applyBorder="1" applyAlignment="1">
      <alignment horizontal="center" vertical="center" wrapText="1"/>
    </xf>
    <xf numFmtId="0" fontId="181" fillId="25" borderId="0" xfId="27" applyFill="1">
      <alignment vertical="center"/>
    </xf>
    <xf numFmtId="0" fontId="288" fillId="0" borderId="157" xfId="27" applyNumberFormat="1" applyFont="1" applyBorder="1" applyAlignment="1">
      <alignment horizontal="center" vertical="center" wrapText="1"/>
    </xf>
    <xf numFmtId="0" fontId="0" fillId="0" borderId="0" xfId="0" applyAlignment="1">
      <alignment horizontal="center" vertical="center"/>
    </xf>
    <xf numFmtId="0" fontId="168" fillId="0" borderId="2" xfId="0" applyFont="1" applyBorder="1" applyAlignment="1">
      <alignment horizontal="center" vertical="center"/>
    </xf>
    <xf numFmtId="178" fontId="82" fillId="0" borderId="2" xfId="2" applyNumberFormat="1" applyFont="1" applyFill="1" applyBorder="1" applyAlignment="1" applyProtection="1">
      <alignment vertical="center"/>
      <protection locked="0"/>
    </xf>
    <xf numFmtId="0" fontId="146" fillId="0" borderId="0" xfId="0" applyFont="1" applyAlignment="1">
      <alignment horizontal="center" vertical="center"/>
    </xf>
    <xf numFmtId="9" fontId="231" fillId="9" borderId="2" xfId="0" applyNumberFormat="1" applyFont="1" applyFill="1" applyBorder="1" applyAlignment="1">
      <alignment horizontal="center" vertical="center"/>
    </xf>
    <xf numFmtId="9" fontId="0" fillId="0" borderId="0" xfId="0" applyNumberFormat="1">
      <alignment vertical="center"/>
    </xf>
    <xf numFmtId="0" fontId="0" fillId="0" borderId="0" xfId="0" applyFont="1" applyAlignment="1">
      <alignment horizontal="center" vertical="center"/>
    </xf>
    <xf numFmtId="0" fontId="76" fillId="5" borderId="2" xfId="0" applyFont="1" applyFill="1" applyBorder="1" applyAlignment="1" applyProtection="1">
      <alignment horizontal="center" vertical="center"/>
    </xf>
    <xf numFmtId="0" fontId="0" fillId="6" borderId="0" xfId="0" applyFill="1">
      <alignment vertical="center"/>
    </xf>
    <xf numFmtId="0" fontId="165" fillId="0" borderId="0" xfId="0" applyFont="1" applyAlignment="1">
      <alignment horizontal="center" vertical="center" wrapText="1"/>
    </xf>
    <xf numFmtId="0" fontId="170" fillId="0" borderId="2" xfId="0" applyFont="1" applyBorder="1" applyAlignment="1">
      <alignment horizontal="center" vertical="center" wrapText="1"/>
    </xf>
    <xf numFmtId="185" fontId="165" fillId="0" borderId="2" xfId="0" applyNumberFormat="1" applyFont="1" applyBorder="1" applyAlignment="1">
      <alignment horizontal="center" vertical="center" wrapText="1"/>
    </xf>
    <xf numFmtId="0" fontId="165" fillId="0" borderId="2" xfId="0" applyNumberFormat="1" applyFont="1" applyFill="1" applyBorder="1" applyAlignment="1">
      <alignment horizontal="center" vertical="center" wrapText="1"/>
    </xf>
    <xf numFmtId="0" fontId="165" fillId="0" borderId="2" xfId="0" applyFont="1" applyBorder="1" applyAlignment="1">
      <alignment horizontal="center" vertical="center" wrapText="1"/>
    </xf>
    <xf numFmtId="0" fontId="292" fillId="0" borderId="2" xfId="0" applyFont="1" applyBorder="1" applyAlignment="1">
      <alignment horizontal="center" vertical="center" wrapText="1"/>
    </xf>
    <xf numFmtId="0" fontId="165" fillId="0" borderId="2" xfId="0" applyFont="1" applyFill="1" applyBorder="1" applyAlignment="1">
      <alignment horizontal="center" vertical="center" wrapText="1"/>
    </xf>
    <xf numFmtId="0" fontId="170" fillId="9" borderId="2" xfId="0" applyFont="1" applyFill="1" applyBorder="1" applyAlignment="1">
      <alignment horizontal="center" vertical="center" wrapText="1"/>
    </xf>
    <xf numFmtId="0" fontId="170" fillId="0" borderId="2" xfId="0" applyFont="1" applyFill="1" applyBorder="1" applyAlignment="1">
      <alignment horizontal="center" vertical="center" wrapText="1"/>
    </xf>
    <xf numFmtId="185" fontId="165" fillId="0" borderId="2" xfId="0" applyNumberFormat="1" applyFont="1" applyFill="1" applyBorder="1" applyAlignment="1">
      <alignment horizontal="center" vertical="center" wrapText="1"/>
    </xf>
    <xf numFmtId="0" fontId="165" fillId="0" borderId="0" xfId="0" applyFont="1" applyFill="1" applyAlignment="1">
      <alignment horizontal="center" vertical="center" wrapText="1"/>
    </xf>
    <xf numFmtId="1" fontId="165" fillId="0" borderId="2" xfId="0" applyNumberFormat="1" applyFont="1" applyBorder="1" applyAlignment="1">
      <alignment horizontal="center" vertical="center"/>
    </xf>
    <xf numFmtId="0" fontId="165" fillId="0" borderId="2" xfId="0" applyFont="1" applyBorder="1" applyAlignment="1">
      <alignment horizontal="center" vertical="center"/>
    </xf>
    <xf numFmtId="0" fontId="146" fillId="0" borderId="2" xfId="0" applyFont="1" applyBorder="1">
      <alignment vertical="center"/>
    </xf>
    <xf numFmtId="0" fontId="0" fillId="0" borderId="2" xfId="0" applyBorder="1">
      <alignmen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9" fontId="0" fillId="0" borderId="2" xfId="28" applyFont="1" applyBorder="1" applyAlignment="1">
      <alignment horizontal="center" vertical="center"/>
    </xf>
    <xf numFmtId="0" fontId="0" fillId="0" borderId="2" xfId="0" applyFill="1" applyBorder="1">
      <alignment vertical="center"/>
    </xf>
    <xf numFmtId="1" fontId="0" fillId="0" borderId="2" xfId="0" applyNumberFormat="1" applyBorder="1">
      <alignment vertical="center"/>
    </xf>
    <xf numFmtId="185" fontId="0" fillId="0" borderId="2" xfId="0" applyNumberFormat="1" applyBorder="1">
      <alignment vertical="center"/>
    </xf>
    <xf numFmtId="0" fontId="0" fillId="25" borderId="2" xfId="0" applyFill="1" applyBorder="1">
      <alignment vertical="center"/>
    </xf>
    <xf numFmtId="185" fontId="0" fillId="25" borderId="2" xfId="0" applyNumberFormat="1" applyFill="1" applyBorder="1">
      <alignment vertical="center"/>
    </xf>
    <xf numFmtId="1" fontId="0" fillId="25" borderId="2" xfId="0" applyNumberFormat="1" applyFill="1" applyBorder="1">
      <alignment vertical="center"/>
    </xf>
    <xf numFmtId="0" fontId="86" fillId="26" borderId="10" xfId="0" applyFont="1" applyFill="1" applyBorder="1" applyAlignment="1" applyProtection="1">
      <alignment horizontal="center" vertical="center"/>
    </xf>
    <xf numFmtId="182" fontId="0" fillId="0" borderId="2" xfId="0" applyNumberFormat="1" applyBorder="1" applyAlignment="1">
      <alignment horizontal="center" vertical="center"/>
    </xf>
    <xf numFmtId="185" fontId="0" fillId="0" borderId="0" xfId="0" applyNumberFormat="1">
      <alignment vertical="center"/>
    </xf>
    <xf numFmtId="1" fontId="0" fillId="0" borderId="0" xfId="0" applyNumberFormat="1">
      <alignment vertical="center"/>
    </xf>
    <xf numFmtId="0" fontId="0" fillId="26" borderId="0" xfId="0" applyFill="1">
      <alignment vertical="center"/>
    </xf>
    <xf numFmtId="1" fontId="128" fillId="0" borderId="2" xfId="0" applyNumberFormat="1" applyFont="1" applyBorder="1" applyAlignment="1">
      <alignment horizontal="center" vertical="center" wrapText="1"/>
    </xf>
    <xf numFmtId="177" fontId="165" fillId="0" borderId="2" xfId="0" applyNumberFormat="1"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170" fillId="9"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77" fillId="5" borderId="8"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46" fillId="0" borderId="2" xfId="0" applyFont="1" applyFill="1" applyBorder="1" applyAlignment="1">
      <alignment horizontal="center" vertical="center"/>
    </xf>
    <xf numFmtId="0" fontId="0" fillId="0" borderId="2" xfId="0" applyFill="1" applyBorder="1" applyAlignment="1">
      <alignment horizontal="center" vertical="center"/>
    </xf>
    <xf numFmtId="0" fontId="146" fillId="0" borderId="8" xfId="0" applyFont="1" applyBorder="1">
      <alignment vertical="center"/>
    </xf>
    <xf numFmtId="0" fontId="146" fillId="0" borderId="9" xfId="0" applyFont="1" applyBorder="1">
      <alignment vertical="center"/>
    </xf>
    <xf numFmtId="0" fontId="170" fillId="0" borderId="2" xfId="0" applyFont="1" applyBorder="1" applyAlignment="1">
      <alignment horizontal="center"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0" fillId="16" borderId="10" xfId="0" applyFill="1" applyBorder="1" applyAlignment="1">
      <alignment horizontal="center" vertical="center"/>
    </xf>
    <xf numFmtId="0" fontId="0" fillId="16" borderId="3" xfId="0" applyFill="1" applyBorder="1" applyAlignment="1">
      <alignment horizontal="center" vertical="center"/>
    </xf>
    <xf numFmtId="0" fontId="0" fillId="16" borderId="21" xfId="0" applyFill="1" applyBorder="1" applyAlignment="1">
      <alignment horizontal="center" vertical="center"/>
    </xf>
    <xf numFmtId="0" fontId="0" fillId="16" borderId="2" xfId="0" applyFill="1" applyBorder="1" applyAlignment="1">
      <alignment horizontal="center" vertical="center"/>
    </xf>
    <xf numFmtId="0" fontId="0" fillId="16" borderId="4" xfId="0" applyFill="1" applyBorder="1" applyAlignment="1">
      <alignment horizontal="center" vertical="center"/>
    </xf>
    <xf numFmtId="0" fontId="0" fillId="16" borderId="13" xfId="0" applyFill="1" applyBorder="1" applyAlignment="1">
      <alignment horizontal="center" vertical="center"/>
    </xf>
    <xf numFmtId="0" fontId="0" fillId="16" borderId="17" xfId="0" applyFill="1" applyBorder="1" applyAlignment="1">
      <alignment horizontal="center" vertical="center"/>
    </xf>
    <xf numFmtId="0" fontId="170" fillId="0" borderId="10" xfId="0" applyFont="1" applyBorder="1" applyAlignment="1">
      <alignment horizontal="center" vertical="center" wrapText="1"/>
    </xf>
    <xf numFmtId="0" fontId="170" fillId="0" borderId="21" xfId="0" applyFont="1" applyBorder="1" applyAlignment="1">
      <alignment horizontal="center" vertical="center" wrapText="1"/>
    </xf>
    <xf numFmtId="0" fontId="170" fillId="0" borderId="5" xfId="0" applyFont="1" applyBorder="1" applyAlignment="1">
      <alignment horizontal="center" vertical="center" wrapText="1"/>
    </xf>
    <xf numFmtId="0" fontId="170" fillId="0" borderId="8" xfId="0" applyFont="1" applyBorder="1" applyAlignment="1">
      <alignment horizontal="center" vertical="center" wrapText="1"/>
    </xf>
    <xf numFmtId="0" fontId="170" fillId="0" borderId="9" xfId="0" applyFont="1" applyBorder="1" applyAlignment="1">
      <alignment horizontal="center" vertical="center" wrapText="1"/>
    </xf>
    <xf numFmtId="0" fontId="146" fillId="0" borderId="0" xfId="0" applyFont="1" applyAlignment="1">
      <alignment horizontal="center" vertical="center"/>
    </xf>
    <xf numFmtId="0" fontId="0" fillId="0" borderId="0" xfId="0" applyAlignment="1">
      <alignment horizontal="center" vertical="center"/>
    </xf>
    <xf numFmtId="0" fontId="146" fillId="25" borderId="5" xfId="0" applyFont="1" applyFill="1" applyBorder="1" applyAlignment="1">
      <alignment horizontal="center" vertical="center"/>
    </xf>
    <xf numFmtId="0" fontId="146" fillId="25" borderId="8" xfId="0" applyFont="1" applyFill="1" applyBorder="1" applyAlignment="1">
      <alignment horizontal="center" vertical="center"/>
    </xf>
    <xf numFmtId="0" fontId="146" fillId="25" borderId="9" xfId="0" applyFont="1" applyFill="1" applyBorder="1" applyAlignment="1">
      <alignment horizontal="center" vertical="center"/>
    </xf>
    <xf numFmtId="0" fontId="170" fillId="0" borderId="2" xfId="0" applyFont="1" applyBorder="1" applyAlignment="1">
      <alignment horizontal="center" vertical="center" wrapText="1"/>
    </xf>
    <xf numFmtId="0" fontId="170" fillId="9" borderId="2" xfId="0" applyFont="1" applyFill="1" applyBorder="1" applyAlignment="1">
      <alignment horizontal="center" vertical="center" wrapText="1"/>
    </xf>
    <xf numFmtId="0" fontId="165" fillId="0" borderId="10" xfId="0" applyFont="1" applyBorder="1" applyAlignment="1">
      <alignment horizontal="center" vertical="center" wrapText="1"/>
    </xf>
    <xf numFmtId="0" fontId="165" fillId="0" borderId="3" xfId="0" applyFont="1" applyBorder="1" applyAlignment="1">
      <alignment horizontal="center" vertical="center" wrapText="1"/>
    </xf>
    <xf numFmtId="0" fontId="165" fillId="0" borderId="21" xfId="0" applyFont="1" applyBorder="1" applyAlignment="1">
      <alignment horizontal="center" vertical="center" wrapText="1"/>
    </xf>
    <xf numFmtId="0" fontId="146" fillId="16" borderId="10" xfId="0" applyFont="1" applyFill="1" applyBorder="1" applyAlignment="1">
      <alignment horizontal="center" vertical="center"/>
    </xf>
    <xf numFmtId="0" fontId="0" fillId="25" borderId="19" xfId="0" applyFill="1" applyBorder="1" applyAlignment="1">
      <alignment horizontal="center" vertical="center"/>
    </xf>
    <xf numFmtId="0" fontId="0" fillId="6" borderId="2" xfId="0" applyFill="1" applyBorder="1" applyAlignment="1">
      <alignment horizontal="center" vertical="center"/>
    </xf>
    <xf numFmtId="0" fontId="285" fillId="0" borderId="157" xfId="27" applyNumberFormat="1" applyFont="1" applyBorder="1" applyAlignment="1">
      <alignment horizontal="center" vertical="center" wrapText="1"/>
    </xf>
    <xf numFmtId="0" fontId="285" fillId="0" borderId="161" xfId="27" applyNumberFormat="1" applyFont="1" applyBorder="1" applyAlignment="1">
      <alignment horizontal="center" vertical="center" wrapText="1"/>
    </xf>
    <xf numFmtId="0" fontId="285" fillId="0" borderId="165" xfId="27" applyNumberFormat="1" applyFont="1" applyBorder="1" applyAlignment="1">
      <alignment horizontal="center" vertical="center" wrapText="1"/>
    </xf>
    <xf numFmtId="0" fontId="288" fillId="0" borderId="157" xfId="27" applyNumberFormat="1" applyFont="1" applyBorder="1" applyAlignment="1">
      <alignment horizontal="center" vertical="center" wrapText="1"/>
    </xf>
    <xf numFmtId="0" fontId="285" fillId="6" borderId="157" xfId="27" applyNumberFormat="1" applyFont="1" applyFill="1" applyBorder="1" applyAlignment="1">
      <alignment horizontal="center" vertical="center" wrapText="1"/>
    </xf>
    <xf numFmtId="0" fontId="288" fillId="0" borderId="161" xfId="27" applyNumberFormat="1" applyFont="1" applyBorder="1" applyAlignment="1">
      <alignment horizontal="center" vertical="center" wrapText="1"/>
    </xf>
    <xf numFmtId="0" fontId="288" fillId="0" borderId="165" xfId="27" applyNumberFormat="1" applyFont="1" applyBorder="1" applyAlignment="1">
      <alignment horizontal="center" vertical="center" wrapText="1"/>
    </xf>
    <xf numFmtId="0" fontId="285" fillId="0" borderId="162" xfId="27" applyNumberFormat="1" applyFont="1" applyBorder="1" applyAlignment="1">
      <alignment horizontal="center" vertical="center" wrapText="1"/>
    </xf>
    <xf numFmtId="0" fontId="285" fillId="0" borderId="163" xfId="27" applyNumberFormat="1" applyFont="1" applyBorder="1" applyAlignment="1">
      <alignment horizontal="center" vertical="center" wrapText="1"/>
    </xf>
    <xf numFmtId="0" fontId="285" fillId="0" borderId="164" xfId="27" applyNumberFormat="1" applyFont="1" applyBorder="1" applyAlignment="1">
      <alignment horizontal="center" vertical="center" wrapText="1"/>
    </xf>
    <xf numFmtId="0" fontId="287" fillId="0" borderId="157" xfId="27" applyNumberFormat="1" applyFont="1" applyBorder="1" applyAlignment="1">
      <alignment horizontal="center" vertical="center" wrapText="1"/>
    </xf>
    <xf numFmtId="0" fontId="288" fillId="0" borderId="159" xfId="27" applyNumberFormat="1" applyFont="1" applyBorder="1" applyAlignment="1">
      <alignment horizontal="center" vertical="center" wrapText="1"/>
    </xf>
    <xf numFmtId="0" fontId="288" fillId="0" borderId="160" xfId="27" applyNumberFormat="1" applyFont="1" applyBorder="1" applyAlignment="1">
      <alignment horizontal="center" vertical="center" wrapText="1"/>
    </xf>
    <xf numFmtId="0" fontId="285" fillId="0" borderId="158" xfId="27" applyNumberFormat="1" applyFont="1" applyBorder="1" applyAlignment="1">
      <alignment horizontal="center" vertical="center" wrapText="1"/>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11"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3" fillId="0" borderId="60" xfId="0" applyFont="1" applyFill="1" applyBorder="1" applyAlignment="1" applyProtection="1">
      <alignment horizontal="center" vertical="center" wrapText="1"/>
      <protection locked="0"/>
    </xf>
    <xf numFmtId="0" fontId="263" fillId="0" borderId="48" xfId="0" applyFont="1" applyFill="1" applyBorder="1" applyAlignment="1" applyProtection="1">
      <alignment horizontal="center" vertical="center" wrapText="1"/>
      <protection locked="0"/>
    </xf>
    <xf numFmtId="0" fontId="263" fillId="0" borderId="64" xfId="0" applyFont="1" applyFill="1" applyBorder="1" applyAlignment="1" applyProtection="1">
      <alignment horizontal="center" vertical="center" wrapText="1"/>
      <protection locked="0"/>
    </xf>
    <xf numFmtId="0" fontId="263" fillId="0" borderId="16"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7" fillId="0" borderId="0" xfId="17"/>
    <xf numFmtId="180" fontId="282" fillId="0" borderId="5" xfId="16" applyNumberFormat="1" applyFont="1" applyFill="1" applyBorder="1" applyAlignment="1">
      <alignment horizontal="center" vertical="center" wrapText="1"/>
    </xf>
    <xf numFmtId="180" fontId="282" fillId="0" borderId="8" xfId="16" applyNumberFormat="1" applyFont="1" applyFill="1" applyBorder="1" applyAlignment="1">
      <alignment horizontal="center" vertical="center" wrapText="1"/>
    </xf>
    <xf numFmtId="180" fontId="282" fillId="0" borderId="9" xfId="16" applyNumberFormat="1" applyFont="1" applyFill="1" applyBorder="1" applyAlignment="1">
      <alignment horizontal="center" vertical="center" wrapText="1"/>
    </xf>
    <xf numFmtId="0" fontId="283" fillId="0" borderId="2" xfId="16" applyFont="1" applyBorder="1" applyAlignment="1">
      <alignment horizontal="center" vertical="center" wrapText="1"/>
    </xf>
    <xf numFmtId="0" fontId="282" fillId="0" borderId="18" xfId="16" applyFont="1" applyBorder="1" applyAlignment="1">
      <alignment horizontal="center" vertical="center" wrapText="1"/>
    </xf>
    <xf numFmtId="0" fontId="282" fillId="0" borderId="3" xfId="16" applyFont="1" applyBorder="1" applyAlignment="1">
      <alignment horizontal="center" vertical="center" wrapText="1"/>
    </xf>
    <xf numFmtId="0" fontId="282" fillId="6" borderId="10" xfId="16" applyFont="1" applyFill="1" applyBorder="1" applyAlignment="1">
      <alignment horizontal="center" vertical="center" wrapText="1"/>
    </xf>
    <xf numFmtId="0" fontId="282" fillId="6" borderId="3" xfId="16" applyFont="1" applyFill="1" applyBorder="1" applyAlignment="1">
      <alignment horizontal="center" vertical="center" wrapText="1"/>
    </xf>
    <xf numFmtId="177" fontId="282" fillId="20" borderId="10" xfId="16" applyNumberFormat="1" applyFont="1" applyFill="1" applyBorder="1" applyAlignment="1">
      <alignment horizontal="center" vertical="center" wrapText="1"/>
    </xf>
    <xf numFmtId="177" fontId="282" fillId="20" borderId="3" xfId="16" applyNumberFormat="1" applyFont="1" applyFill="1" applyBorder="1" applyAlignment="1">
      <alignment horizontal="center" vertical="center" wrapText="1"/>
    </xf>
    <xf numFmtId="177" fontId="282" fillId="21" borderId="10" xfId="16" applyNumberFormat="1" applyFont="1" applyFill="1" applyBorder="1" applyAlignment="1">
      <alignment horizontal="center" vertical="center" wrapText="1"/>
    </xf>
    <xf numFmtId="177" fontId="282" fillId="21" borderId="3" xfId="16" applyNumberFormat="1" applyFont="1" applyFill="1" applyBorder="1" applyAlignment="1">
      <alignment horizontal="center" vertical="center" wrapText="1"/>
    </xf>
    <xf numFmtId="0" fontId="282" fillId="0" borderId="0" xfId="16" applyFont="1" applyAlignment="1">
      <alignment horizontal="center" vertical="center" wrapText="1"/>
    </xf>
    <xf numFmtId="0" fontId="282" fillId="0" borderId="10" xfId="16" applyFont="1" applyBorder="1" applyAlignment="1">
      <alignment horizontal="center" vertical="center" wrapText="1"/>
    </xf>
    <xf numFmtId="0" fontId="282" fillId="16" borderId="10" xfId="16" applyFont="1" applyFill="1" applyBorder="1" applyAlignment="1">
      <alignment horizontal="center" vertical="center" wrapText="1"/>
    </xf>
    <xf numFmtId="0" fontId="282" fillId="16" borderId="3" xfId="16" applyFont="1" applyFill="1" applyBorder="1" applyAlignment="1">
      <alignment horizontal="center" vertical="center" wrapText="1"/>
    </xf>
    <xf numFmtId="0" fontId="170" fillId="27" borderId="2" xfId="0" applyFont="1" applyFill="1" applyBorder="1" applyAlignment="1">
      <alignment horizontal="center" vertical="center" wrapText="1"/>
    </xf>
    <xf numFmtId="1" fontId="165" fillId="27" borderId="2" xfId="0" applyNumberFormat="1" applyFont="1" applyFill="1" applyBorder="1" applyAlignment="1">
      <alignment horizontal="center" vertical="center"/>
    </xf>
    <xf numFmtId="0" fontId="165" fillId="27" borderId="2" xfId="0" applyFont="1" applyFill="1" applyBorder="1" applyAlignment="1">
      <alignment horizontal="center" vertical="center" wrapText="1"/>
    </xf>
    <xf numFmtId="0" fontId="165" fillId="27" borderId="2" xfId="0" applyNumberFormat="1" applyFont="1" applyFill="1" applyBorder="1" applyAlignment="1">
      <alignment horizontal="center" vertical="center" wrapText="1"/>
    </xf>
    <xf numFmtId="0" fontId="165" fillId="27" borderId="10" xfId="0" applyFont="1" applyFill="1" applyBorder="1" applyAlignment="1">
      <alignment horizontal="center" vertical="center" wrapText="1"/>
    </xf>
    <xf numFmtId="0" fontId="165" fillId="27" borderId="3" xfId="0" applyFont="1" applyFill="1" applyBorder="1" applyAlignment="1">
      <alignment horizontal="center" vertical="center" wrapText="1"/>
    </xf>
    <xf numFmtId="0" fontId="165" fillId="27" borderId="21" xfId="0" applyFont="1" applyFill="1" applyBorder="1" applyAlignment="1">
      <alignment horizontal="center" vertical="center" wrapText="1"/>
    </xf>
    <xf numFmtId="0" fontId="170" fillId="0" borderId="2" xfId="0" applyFont="1" applyFill="1" applyBorder="1" applyAlignment="1">
      <alignment horizontal="center" vertical="center" wrapText="1"/>
    </xf>
    <xf numFmtId="0" fontId="170" fillId="0" borderId="10" xfId="0" applyFont="1" applyFill="1" applyBorder="1" applyAlignment="1">
      <alignment horizontal="center" vertical="center" wrapText="1"/>
    </xf>
    <xf numFmtId="0" fontId="170" fillId="0" borderId="5" xfId="0" applyFont="1" applyFill="1" applyBorder="1" applyAlignment="1">
      <alignment horizontal="center" vertical="center" wrapText="1"/>
    </xf>
    <xf numFmtId="0" fontId="170" fillId="0" borderId="8" xfId="0" applyFont="1" applyFill="1" applyBorder="1" applyAlignment="1">
      <alignment horizontal="center" vertical="center" wrapText="1"/>
    </xf>
    <xf numFmtId="0" fontId="170" fillId="0" borderId="21" xfId="0" applyFont="1" applyFill="1" applyBorder="1" applyAlignment="1">
      <alignment horizontal="center" vertical="center" wrapText="1"/>
    </xf>
    <xf numFmtId="0" fontId="170" fillId="9" borderId="10" xfId="0" applyFont="1" applyFill="1" applyBorder="1" applyAlignment="1">
      <alignment horizontal="center" vertical="center" wrapText="1"/>
    </xf>
    <xf numFmtId="0" fontId="170" fillId="9" borderId="21" xfId="0" applyFont="1" applyFill="1" applyBorder="1" applyAlignment="1">
      <alignment horizontal="center" vertical="center" wrapText="1"/>
    </xf>
    <xf numFmtId="0" fontId="274" fillId="0" borderId="19" xfId="0" applyFont="1" applyFill="1" applyBorder="1" applyAlignment="1">
      <alignment horizontal="center" vertical="center" wrapText="1"/>
    </xf>
    <xf numFmtId="0" fontId="292" fillId="0" borderId="0" xfId="0" applyFont="1" applyFill="1" applyAlignment="1">
      <alignment horizontal="center" vertical="center" wrapText="1"/>
    </xf>
    <xf numFmtId="0" fontId="292" fillId="0" borderId="0" xfId="0" applyFont="1" applyAlignment="1">
      <alignment horizontal="center" vertical="center" wrapText="1"/>
    </xf>
    <xf numFmtId="0" fontId="165" fillId="27" borderId="0" xfId="0" applyFont="1" applyFill="1" applyAlignment="1">
      <alignment horizontal="center" vertical="center" wrapText="1"/>
    </xf>
  </cellXfs>
  <cellStyles count="29">
    <cellStyle name="百分比" xfId="28" builtinId="5"/>
    <cellStyle name="百分比 2" xfId="11"/>
    <cellStyle name="常规" xfId="0" builtinId="0"/>
    <cellStyle name="常规 10" xfId="16"/>
    <cellStyle name="常规 10 2" xfId="20"/>
    <cellStyle name="常规 10 2 12" xfId="19"/>
    <cellStyle name="常规 11" xfId="17"/>
    <cellStyle name="常规 12" xfId="18"/>
    <cellStyle name="常规 13" xfId="27"/>
    <cellStyle name="常规 16" xfId="1"/>
    <cellStyle name="常规 162" xfId="21"/>
    <cellStyle name="常规 2" xfId="2"/>
    <cellStyle name="常规 2 2" xfId="3"/>
    <cellStyle name="常规 2 2 2 2 3" xfId="12"/>
    <cellStyle name="常规 2 23" xfId="22"/>
    <cellStyle name="常规 3" xfId="4"/>
    <cellStyle name="常规 3 2" xfId="5"/>
    <cellStyle name="常规 4" xfId="6"/>
    <cellStyle name="常规 45" xfId="23"/>
    <cellStyle name="常规 48" xfId="24"/>
    <cellStyle name="常规 5" xfId="7"/>
    <cellStyle name="常规 5 2" xfId="25"/>
    <cellStyle name="常规 6" xfId="8"/>
    <cellStyle name="常规 6 2" xfId="10"/>
    <cellStyle name="常规 6 2 2" xfId="13"/>
    <cellStyle name="常规 7" xfId="9"/>
    <cellStyle name="常规 8" xfId="15"/>
    <cellStyle name="常规 9" xfId="14"/>
    <cellStyle name="千位分隔 2" xfId="26"/>
  </cellStyles>
  <dxfs count="26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4.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12</xdr:col>
      <xdr:colOff>190500</xdr:colOff>
      <xdr:row>9</xdr:row>
      <xdr:rowOff>69573</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38100" y="0"/>
          <a:ext cx="10210800" cy="1612623"/>
        </a:xfrm>
        <a:prstGeom prst="rect">
          <a:avLst/>
        </a:prstGeom>
      </xdr:spPr>
    </xdr:pic>
    <xdr:clientData/>
  </xdr:twoCellAnchor>
  <xdr:twoCellAnchor editAs="oneCell">
    <xdr:from>
      <xdr:col>0</xdr:col>
      <xdr:colOff>0</xdr:colOff>
      <xdr:row>9</xdr:row>
      <xdr:rowOff>12700</xdr:rowOff>
    </xdr:from>
    <xdr:to>
      <xdr:col>12</xdr:col>
      <xdr:colOff>152400</xdr:colOff>
      <xdr:row>28</xdr:row>
      <xdr:rowOff>13570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555750"/>
          <a:ext cx="10210800" cy="3258420"/>
        </a:xfrm>
        <a:prstGeom prst="rect">
          <a:avLst/>
        </a:prstGeom>
      </xdr:spPr>
    </xdr:pic>
    <xdr:clientData/>
  </xdr:twoCellAnchor>
  <xdr:twoCellAnchor editAs="oneCell">
    <xdr:from>
      <xdr:col>0</xdr:col>
      <xdr:colOff>76200</xdr:colOff>
      <xdr:row>28</xdr:row>
      <xdr:rowOff>25400</xdr:rowOff>
    </xdr:from>
    <xdr:to>
      <xdr:col>6</xdr:col>
      <xdr:colOff>342900</xdr:colOff>
      <xdr:row>52</xdr:row>
      <xdr:rowOff>76200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76200" y="4826000"/>
          <a:ext cx="5295900" cy="416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382737</xdr:colOff>
      <xdr:row>43</xdr:row>
      <xdr:rowOff>127000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602937" cy="7499350"/>
        </a:xfrm>
        <a:prstGeom prst="rect">
          <a:avLst/>
        </a:prstGeom>
      </xdr:spPr>
    </xdr:pic>
    <xdr:clientData/>
  </xdr:twoCellAnchor>
  <xdr:twoCellAnchor editAs="oneCell">
    <xdr:from>
      <xdr:col>0</xdr:col>
      <xdr:colOff>0</xdr:colOff>
      <xdr:row>90</xdr:row>
      <xdr:rowOff>127000</xdr:rowOff>
    </xdr:from>
    <xdr:to>
      <xdr:col>11</xdr:col>
      <xdr:colOff>977900</xdr:colOff>
      <xdr:row>128</xdr:row>
      <xdr:rowOff>95922</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16357600"/>
          <a:ext cx="10198100" cy="6484022"/>
        </a:xfrm>
        <a:prstGeom prst="rect">
          <a:avLst/>
        </a:prstGeom>
      </xdr:spPr>
    </xdr:pic>
    <xdr:clientData/>
  </xdr:twoCellAnchor>
  <xdr:twoCellAnchor editAs="oneCell">
    <xdr:from>
      <xdr:col>0</xdr:col>
      <xdr:colOff>0</xdr:colOff>
      <xdr:row>51</xdr:row>
      <xdr:rowOff>127000</xdr:rowOff>
    </xdr:from>
    <xdr:to>
      <xdr:col>11</xdr:col>
      <xdr:colOff>803275</xdr:colOff>
      <xdr:row>71</xdr:row>
      <xdr:rowOff>73761</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9671050"/>
          <a:ext cx="10023475" cy="3375761"/>
        </a:xfrm>
        <a:prstGeom prst="rect">
          <a:avLst/>
        </a:prstGeom>
      </xdr:spPr>
    </xdr:pic>
    <xdr:clientData/>
  </xdr:twoCellAnchor>
  <xdr:twoCellAnchor editAs="oneCell">
    <xdr:from>
      <xdr:col>0</xdr:col>
      <xdr:colOff>0</xdr:colOff>
      <xdr:row>70</xdr:row>
      <xdr:rowOff>169334</xdr:rowOff>
    </xdr:from>
    <xdr:to>
      <xdr:col>11</xdr:col>
      <xdr:colOff>900289</xdr:colOff>
      <xdr:row>79</xdr:row>
      <xdr:rowOff>52834</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2970934"/>
          <a:ext cx="10120489" cy="1426550"/>
        </a:xfrm>
        <a:prstGeom prst="rect">
          <a:avLst/>
        </a:prstGeom>
      </xdr:spPr>
    </xdr:pic>
    <xdr:clientData/>
  </xdr:twoCellAnchor>
  <xdr:twoCellAnchor editAs="oneCell">
    <xdr:from>
      <xdr:col>0</xdr:col>
      <xdr:colOff>0</xdr:colOff>
      <xdr:row>51</xdr:row>
      <xdr:rowOff>169334</xdr:rowOff>
    </xdr:from>
    <xdr:to>
      <xdr:col>11</xdr:col>
      <xdr:colOff>900289</xdr:colOff>
      <xdr:row>61</xdr:row>
      <xdr:rowOff>153857</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9713384"/>
          <a:ext cx="10120489" cy="1699023"/>
        </a:xfrm>
        <a:prstGeom prst="rect">
          <a:avLst/>
        </a:prstGeom>
      </xdr:spPr>
    </xdr:pic>
    <xdr:clientData/>
  </xdr:twoCellAnchor>
  <xdr:twoCellAnchor editAs="oneCell">
    <xdr:from>
      <xdr:col>14</xdr:col>
      <xdr:colOff>0</xdr:colOff>
      <xdr:row>48</xdr:row>
      <xdr:rowOff>0</xdr:rowOff>
    </xdr:from>
    <xdr:to>
      <xdr:col>20</xdr:col>
      <xdr:colOff>380328</xdr:colOff>
      <xdr:row>74</xdr:row>
      <xdr:rowOff>37500</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12025313" y="8429625"/>
          <a:ext cx="5380953"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20&#30123;/&#38596;&#23433;4+4/&#27979;&#31639;&#8212;&#8212;&#20840;&#31199;-&#26141;&#23703;&#25972;&#20307;0703-&#21806;9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3433;&#32622;&#29255;&#21306;RX0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525&#27827;&#21271;&#30465;&#38596;&#23433;&#26032;&#21306;&#23481;&#35199;&#29255;&#21306;/2020-1-0525-P04TDCR6/&#27979;&#31639;-&#20986;&#35753;&#29255;&#21306;RX01-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23433;&#32622;&#29255;&#21306;RX02-0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23433;&#32622;&#29255;&#21306;RX01-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23433;&#32622;&#29255;&#21306;RX02-0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系统读取表"/>
      <sheetName val="结果表"/>
      <sheetName val="4项目"/>
      <sheetName val="面积明细618"/>
      <sheetName val="面积621"/>
      <sheetName val="面积630"/>
      <sheetName val="土地取得费"/>
      <sheetName val="成本明细"/>
      <sheetName val="征拆成本分摊"/>
      <sheetName val="成本逼近法 (2)"/>
      <sheetName val="成本逼近法"/>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数据-取费表"/>
      <sheetName val="结果汇总"/>
      <sheetName val="剩余法-待开发"/>
      <sheetName val="不动产收益法-住宅"/>
      <sheetName val="不动产收益法-商务办公"/>
      <sheetName val="不动产收益法-科研"/>
      <sheetName val="不动产收益法-商业"/>
      <sheetName val="酒店收入计算"/>
      <sheetName val="土地开发成本（旧）"/>
      <sheetName val="不动产比较法-住宅"/>
      <sheetName val="住宅案例"/>
      <sheetName val="不动产比较法-住宅-天津"/>
      <sheetName val="住宅案例-天津"/>
      <sheetName val="不动产比较法--商务办公"/>
      <sheetName val="不动产比较法--科研3.3"/>
      <sheetName val="办公案例"/>
      <sheetName val="保定产业科研"/>
      <sheetName val="不动产比较法-商业"/>
      <sheetName val="商业案例-雄安"/>
      <sheetName val="商业案例-石家庄"/>
      <sheetName val="不动产比较法-工业"/>
      <sheetName val="不动产比较法-车位"/>
      <sheetName val="不动产比较法-仓储"/>
      <sheetName val="典型户型修正"/>
      <sheetName val="存贷款利率"/>
      <sheetName val="不动产比较法--科研"/>
      <sheetName val="科研案例-天津"/>
      <sheetName val="北京项目对比"/>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不动产收益法-商务办公</v>
          </cell>
        </row>
        <row r="21">
          <cell r="A21" t="str">
            <v>戊类库房</v>
          </cell>
          <cell r="B21" t="str">
            <v>不动产收益法-科研</v>
          </cell>
        </row>
        <row r="22">
          <cell r="A22" t="str">
            <v>燃品库房</v>
          </cell>
          <cell r="B22" t="str">
            <v>不动产收益法-商业</v>
          </cell>
        </row>
        <row r="23">
          <cell r="A23" t="str">
            <v>非燃品库房</v>
          </cell>
          <cell r="B23" t="str">
            <v>不动产收益法-住宅</v>
          </cell>
        </row>
        <row r="24">
          <cell r="A24" t="str">
            <v>——</v>
          </cell>
          <cell r="B24" t="str">
            <v>*</v>
          </cell>
        </row>
        <row r="25">
          <cell r="A25" t="str">
            <v>限价商品房</v>
          </cell>
          <cell r="B25" t="str">
            <v>*</v>
          </cell>
        </row>
        <row r="26">
          <cell r="A26" t="str">
            <v>自住商品房</v>
          </cell>
          <cell r="B26" t="str">
            <v>*</v>
          </cell>
        </row>
        <row r="27">
          <cell r="A27" t="str">
            <v>商务办公</v>
          </cell>
          <cell r="B27" t="str">
            <v>*</v>
          </cell>
        </row>
        <row r="28">
          <cell r="A28" t="str">
            <v>科研</v>
          </cell>
          <cell r="B28" t="str">
            <v>*</v>
          </cell>
        </row>
        <row r="29">
          <cell r="A29" t="str">
            <v>商业（含旅馆）</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商务办公</v>
          </cell>
        </row>
        <row r="20">
          <cell r="C20" t="str">
            <v>科研</v>
          </cell>
        </row>
        <row r="21">
          <cell r="C21" t="str">
            <v>商业（含旅馆）</v>
          </cell>
        </row>
        <row r="22">
          <cell r="C22" t="str">
            <v>普通住宅</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37"/>
      <sheetData sheetId="38"/>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row>
      </sheetData>
      <sheetData sheetId="48"/>
      <sheetData sheetId="49">
        <row r="62">
          <cell r="A62" t="str">
            <v>交易情况</v>
          </cell>
          <cell r="C62" t="str">
            <v>正常</v>
          </cell>
          <cell r="D62" t="str">
            <v>挂牌</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cell r="C119" t="str">
            <v>正常层高</v>
          </cell>
        </row>
        <row r="123">
          <cell r="B123" t="str">
            <v>内部装修</v>
          </cell>
          <cell r="C123" t="str">
            <v>精装修</v>
          </cell>
          <cell r="D123" t="str">
            <v>普通装修</v>
          </cell>
          <cell r="E123" t="str">
            <v>简单装修</v>
          </cell>
        </row>
      </sheetData>
      <sheetData sheetId="50"/>
      <sheetData sheetId="51"/>
      <sheetData sheetId="52"/>
      <sheetData sheetId="53">
        <row r="61">
          <cell r="A61" t="str">
            <v>交易情况</v>
          </cell>
          <cell r="C61" t="str">
            <v>正常</v>
          </cell>
          <cell r="D61" t="str">
            <v>挂牌</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cell r="D105" t="str">
            <v>砖混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普通装修</v>
          </cell>
          <cell r="D122" t="str">
            <v>简单装修</v>
          </cell>
          <cell r="E122" t="str">
            <v>毛坯</v>
          </cell>
        </row>
      </sheetData>
      <sheetData sheetId="54"/>
      <sheetData sheetId="55"/>
      <sheetData sheetId="5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车库+商业"/>
      <sheetName val="剩余法-待开发"/>
      <sheetName val="不动产收益法-住宅"/>
      <sheetName val="剩余法-车库"/>
      <sheetName val="剩余法-底商"/>
      <sheetName val="剩余法-住宅"/>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不动产收益法-底商</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不动产收益法-住宅</v>
          </cell>
        </row>
        <row r="22">
          <cell r="A22" t="str">
            <v>燃品库房</v>
          </cell>
          <cell r="B22" t="str">
            <v>不动产收益法-公寓</v>
          </cell>
        </row>
        <row r="23">
          <cell r="A23" t="str">
            <v>非燃品库房</v>
          </cell>
          <cell r="B23" t="str">
            <v>不动产收益法-独商</v>
          </cell>
        </row>
        <row r="24">
          <cell r="A24" t="str">
            <v>——</v>
          </cell>
          <cell r="B24" t="str">
            <v>剩余法底商</v>
          </cell>
        </row>
        <row r="25">
          <cell r="A25" t="str">
            <v>限价商品房</v>
          </cell>
          <cell r="B25" t="str">
            <v>不动产收益法-车库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商业（底商）</v>
          </cell>
        </row>
        <row r="21">
          <cell r="C21" t="str">
            <v>商业（独立）</v>
          </cell>
        </row>
        <row r="22">
          <cell r="C22" t="str">
            <v>办公</v>
          </cell>
        </row>
        <row r="23">
          <cell r="C23" t="str">
            <v>公寓</v>
          </cell>
        </row>
        <row r="24">
          <cell r="C24" t="str">
            <v>车库</v>
          </cell>
        </row>
      </sheetData>
      <sheetData sheetId="13">
        <row r="7">
          <cell r="Q7">
            <v>0.1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19">
          <cell r="G19">
            <v>20117</v>
          </cell>
        </row>
      </sheetData>
      <sheetData sheetId="30">
        <row r="3">
          <cell r="B3">
            <v>1060</v>
          </cell>
        </row>
      </sheetData>
      <sheetData sheetId="31"/>
      <sheetData sheetId="32"/>
      <sheetData sheetId="33"/>
      <sheetData sheetId="34">
        <row r="3">
          <cell r="B3" t="e">
            <v>#DIV/0!</v>
          </cell>
        </row>
      </sheetData>
      <sheetData sheetId="35">
        <row r="3">
          <cell r="B3">
            <v>6242</v>
          </cell>
        </row>
      </sheetData>
      <sheetData sheetId="36">
        <row r="3">
          <cell r="B3">
            <v>804</v>
          </cell>
        </row>
      </sheetData>
      <sheetData sheetId="37"/>
      <sheetData sheetId="38"/>
      <sheetData sheetId="39"/>
      <sheetData sheetId="40">
        <row r="3">
          <cell r="B3">
            <v>0</v>
          </cell>
        </row>
      </sheetData>
      <sheetData sheetId="41">
        <row r="3">
          <cell r="B3">
            <v>0</v>
          </cell>
        </row>
      </sheetData>
      <sheetData sheetId="4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高层</v>
          </cell>
        </row>
        <row r="105">
          <cell r="B105" t="str">
            <v>建筑结构</v>
          </cell>
        </row>
        <row r="107">
          <cell r="B107" t="str">
            <v>建筑品质</v>
          </cell>
        </row>
        <row r="109">
          <cell r="B109" t="str">
            <v>公共部分装修</v>
          </cell>
          <cell r="C109" t="str">
            <v>精装修</v>
          </cell>
          <cell r="D109" t="str">
            <v>普通装修</v>
          </cell>
        </row>
        <row r="114">
          <cell r="B114" t="str">
            <v>物业管理</v>
          </cell>
          <cell r="C114" t="str">
            <v>物业公司管理</v>
          </cell>
        </row>
        <row r="116">
          <cell r="B116" t="str">
            <v>市政基础设施</v>
          </cell>
          <cell r="C116" t="str">
            <v>七通</v>
          </cell>
        </row>
        <row r="118">
          <cell r="B118" t="str">
            <v>房型</v>
          </cell>
          <cell r="C118" t="str">
            <v>平层</v>
          </cell>
        </row>
        <row r="122">
          <cell r="B122" t="str">
            <v>内部装修</v>
          </cell>
          <cell r="C122" t="str">
            <v>精装修</v>
          </cell>
          <cell r="D122" t="str">
            <v>普通装修</v>
          </cell>
        </row>
      </sheetData>
      <sheetData sheetId="43">
        <row r="61">
          <cell r="A61" t="str">
            <v>交易情况</v>
          </cell>
          <cell r="C61" t="str">
            <v>正常</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简单装修</v>
          </cell>
          <cell r="D122" t="str">
            <v>毛坯</v>
          </cell>
        </row>
      </sheetData>
      <sheetData sheetId="44"/>
      <sheetData sheetId="45">
        <row r="62">
          <cell r="A62" t="str">
            <v>交易情况</v>
          </cell>
          <cell r="C62" t="str">
            <v>正常</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成本1023"/>
      <sheetName val="剩余法-待开发"/>
      <sheetName val="不动产收益法-住宅"/>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U6">
            <v>1.9</v>
          </cell>
        </row>
        <row r="7">
          <cell r="U7">
            <v>2.5</v>
          </cell>
        </row>
        <row r="8">
          <cell r="U8">
            <v>2.1</v>
          </cell>
        </row>
        <row r="9">
          <cell r="U9">
            <v>2.5</v>
          </cell>
        </row>
        <row r="10">
          <cell r="U10">
            <v>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8">
          <cell r="E8">
            <v>834.7</v>
          </cell>
        </row>
        <row r="14">
          <cell r="E14">
            <v>66.19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车库+商业"/>
      <sheetName val="剩余法-车库"/>
      <sheetName val="剩余法-底商"/>
      <sheetName val="剩余法-待开发"/>
      <sheetName val="不动产收益法-住宅"/>
      <sheetName val="剩余法-住宅"/>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AK6">
            <v>1.4999999999999999E-2</v>
          </cell>
          <cell r="AL6">
            <v>1.5E-3</v>
          </cell>
        </row>
        <row r="7">
          <cell r="AM7">
            <v>0.01</v>
          </cell>
        </row>
        <row r="19">
          <cell r="B19">
            <v>1</v>
          </cell>
        </row>
        <row r="20">
          <cell r="B20">
            <v>1.5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B3">
            <v>1060</v>
          </cell>
        </row>
        <row r="18">
          <cell r="F18">
            <v>0.08</v>
          </cell>
        </row>
        <row r="20">
          <cell r="F20">
            <v>0.2</v>
          </cell>
        </row>
      </sheetData>
      <sheetData sheetId="30"/>
      <sheetData sheetId="31">
        <row r="3">
          <cell r="B3" t="e">
            <v>#DIV/0!</v>
          </cell>
        </row>
      </sheetData>
      <sheetData sheetId="32">
        <row r="3">
          <cell r="B3">
            <v>6194</v>
          </cell>
        </row>
      </sheetData>
      <sheetData sheetId="33"/>
      <sheetData sheetId="34"/>
      <sheetData sheetId="35">
        <row r="3">
          <cell r="B3">
            <v>802</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9">
          <cell r="G19">
            <v>27073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结果表"/>
      <sheetName val="成本逼近法"/>
      <sheetName val="剩余法-车库+商业"/>
      <sheetName val="不动产收益法-住宅"/>
      <sheetName val="剩余法-车库"/>
      <sheetName val="剩余法-底商"/>
      <sheetName val="剩余法-待开发"/>
      <sheetName val="剩余法-住宅"/>
      <sheetName val="剩余法-独商"/>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9">
          <cell r="G19">
            <v>31282</v>
          </cell>
        </row>
      </sheetData>
      <sheetData sheetId="30">
        <row r="3">
          <cell r="B3">
            <v>1059</v>
          </cell>
        </row>
      </sheetData>
      <sheetData sheetId="31"/>
      <sheetData sheetId="32"/>
      <sheetData sheetId="33">
        <row r="3">
          <cell r="B3" t="e">
            <v>#DIV/0!</v>
          </cell>
        </row>
      </sheetData>
      <sheetData sheetId="34">
        <row r="3">
          <cell r="B3">
            <v>6194</v>
          </cell>
        </row>
      </sheetData>
      <sheetData sheetId="35"/>
      <sheetData sheetId="36">
        <row r="3">
          <cell r="B3">
            <v>802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面积拆分"/>
      <sheetName val="地块指标20210118"/>
      <sheetName val="估价对象房地状况"/>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剩余法-车库+商业"/>
      <sheetName val="剩余法-车库"/>
      <sheetName val="剩余法-底商"/>
      <sheetName val="剩余法-待开发"/>
      <sheetName val="不动产收益法-住宅"/>
      <sheetName val="剩余法-住宅"/>
      <sheetName val="不动产收益法-车库"/>
      <sheetName val="不动产收益法-底商"/>
      <sheetName val="不动产收益法-独商"/>
      <sheetName val="不动产收益法-办公"/>
      <sheetName val="不动产收益法-公寓"/>
      <sheetName val="不动产比较法-住宅"/>
      <sheetName val="不动产比较法-商业"/>
      <sheetName val="商业案例"/>
      <sheetName val="不动产比较法-办公"/>
      <sheetName val="不动产比较法-工业"/>
      <sheetName val="不动产比较法-车位"/>
      <sheetName val="不动产比较法-仓储"/>
      <sheetName val="典型户型修正"/>
      <sheetName val="存贷款利率"/>
      <sheetName val="住宅案例-天津"/>
      <sheetName val="办公案例"/>
      <sheetName val="表-彩色"/>
      <sheetName val="系统读取表"/>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
          <cell r="B3">
            <v>1060</v>
          </cell>
        </row>
      </sheetData>
      <sheetData sheetId="30"/>
      <sheetData sheetId="31">
        <row r="3">
          <cell r="B3" t="e">
            <v>#DIV/0!</v>
          </cell>
        </row>
      </sheetData>
      <sheetData sheetId="32">
        <row r="3">
          <cell r="B3">
            <v>6154</v>
          </cell>
        </row>
      </sheetData>
      <sheetData sheetId="33"/>
      <sheetData sheetId="34"/>
      <sheetData sheetId="35">
        <row r="3">
          <cell r="B3">
            <v>790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9">
          <cell r="G19">
            <v>19538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2629</v>
      </c>
      <c r="B1" s="2605" t="s">
        <v>2726</v>
      </c>
    </row>
    <row r="2" spans="1:55" s="2609" customFormat="1" ht="15" thickTop="1">
      <c r="A2" s="2607" t="s">
        <v>2633</v>
      </c>
      <c r="B2" s="2608" t="str">
        <f>'预评函-封皮'!B37</f>
        <v>河北省出让国有建设用地使用权市场价格预评估</v>
      </c>
      <c r="AX2" s="2610"/>
      <c r="AZ2" s="2610"/>
      <c r="BA2" s="2611"/>
      <c r="BC2" s="2611"/>
    </row>
    <row r="3" spans="1:55" s="2612" customFormat="1">
      <c r="A3" s="2591" t="s">
        <v>2634</v>
      </c>
      <c r="B3" s="2594">
        <f>'预评函-封皮'!B40</f>
        <v>0</v>
      </c>
    </row>
    <row r="4" spans="1:55" s="2593" customFormat="1">
      <c r="A4" s="2591" t="s">
        <v>2635</v>
      </c>
      <c r="B4" s="2592" t="str">
        <f>'预评函-封皮'!B46</f>
        <v>土地估价师、土地估价师</v>
      </c>
      <c r="N4" s="2593" t="str">
        <f>'预评函-1'!A28</f>
        <v>——</v>
      </c>
    </row>
    <row r="5" spans="1:55" s="2606" customFormat="1" ht="15" thickBot="1">
      <c r="A5" s="2613" t="s">
        <v>2636</v>
      </c>
      <c r="B5" s="2614" t="str">
        <f>'预评函-封皮'!B49</f>
        <v>康正预评字号</v>
      </c>
    </row>
    <row r="6" spans="1:55" s="2615" customFormat="1" ht="15" thickTop="1">
      <c r="A6" s="2607" t="s">
        <v>2678</v>
      </c>
      <c r="B6" s="2608" t="str">
        <f>'预评函-1'!A4</f>
        <v>受贵公司委托，我公司对河北省出让国有建设用地使用权市场价格进行了预评估。</v>
      </c>
      <c r="AM6" s="2616"/>
    </row>
    <row r="7" spans="1:55" s="2590" customFormat="1">
      <c r="A7" s="2591" t="s">
        <v>2630</v>
      </c>
      <c r="B7" s="2592" t="str">
        <f>'预评函-1'!A6</f>
        <v>估价对象为使用的、位于河北省出让国有建设用地使用权。根据《国有土地使用证》[]，估价对象（分摊）出让国有建设用地使用权面积为98307平方米。根据《建设工程规划许可证》[]、《出让合同》[]，估价对象规划建筑面积为196602平方米。</v>
      </c>
    </row>
    <row r="8" spans="1:55" s="2590" customFormat="1">
      <c r="A8" s="2591" t="s">
        <v>2631</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2681</v>
      </c>
      <c r="B9" s="2592" t="str">
        <f>'预评函-1'!A9</f>
        <v>本次评估为委托估价方了解标的物之市场价格提供参考依据而评估出让国有建设用地使用权市场价格。</v>
      </c>
    </row>
    <row r="10" spans="1:55" s="2590" customFormat="1">
      <c r="A10" s="2591" t="s">
        <v>2632</v>
      </c>
      <c r="B10" s="2592" t="str">
        <f>'预评函-1'!A11</f>
        <v>2020年10月21日</v>
      </c>
    </row>
    <row r="11" spans="1:55" s="2590" customFormat="1">
      <c r="A11" s="2591" t="s">
        <v>2638</v>
      </c>
      <c r="B11" s="2592" t="str">
        <f>'预评函-1'!A14</f>
        <v>根据《国有土地使用证》[]，本次评估估价对象证载（地类）用途为。</v>
      </c>
    </row>
    <row r="12" spans="1:55" s="2590" customFormat="1">
      <c r="A12" s="2591" t="s">
        <v>2639</v>
      </c>
      <c r="B12" s="2592" t="str">
        <f>'预评函-1'!A15</f>
        <v>本次评估设定用途即为证载用途。</v>
      </c>
    </row>
    <row r="13" spans="1:55" s="2590" customFormat="1">
      <c r="A13" s="2591" t="s">
        <v>2640</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2641</v>
      </c>
      <c r="B14" s="2592" t="str">
        <f>'预评函-1'!A18</f>
        <v>。本次评估设定土地开发程度为红线外市政基础设施达“七通”、宗地红线内场地平整。</v>
      </c>
    </row>
    <row r="15" spans="1:55" s="2590" customFormat="1">
      <c r="A15" s="2591" t="s">
        <v>2637</v>
      </c>
      <c r="B15" s="2592" t="str">
        <f>'预评函-1'!A20</f>
        <v>根据《国有土地使用证》[]，估价对象（分摊）出让国有建设用地使用权面积为98307平方米。根据《建设工程规划许可证》[]、《出让合同》[]，估价对象规划建筑面积为196602平方米。</v>
      </c>
    </row>
    <row r="16" spans="1:55" s="2590" customFormat="1">
      <c r="A16" s="2591" t="s">
        <v>2642</v>
      </c>
      <c r="B16" s="259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地下车库2060年10月20日。截至估价期日，出让国有建设用地使用权剩余土地使用年限为。</v>
      </c>
    </row>
    <row r="17" spans="1:48" s="2590" customFormat="1">
      <c r="A17" s="2591" t="s">
        <v>2643</v>
      </c>
      <c r="B17" s="2592" t="str">
        <f>'预评函-1'!A23</f>
        <v>本次评估设定估价对象剩余土地使用年限为。</v>
      </c>
    </row>
    <row r="18" spans="1:48" s="2590" customFormat="1">
      <c r="A18" s="2591" t="s">
        <v>2644</v>
      </c>
      <c r="B18" s="2592" t="str">
        <f>'预评函-1'!A25</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19" spans="1:48" s="2590" customFormat="1">
      <c r="A19" s="2591" t="s">
        <v>2645</v>
      </c>
      <c r="B19" s="2592" t="str">
        <f>'预评函-1'!A26</f>
        <v>——</v>
      </c>
    </row>
    <row r="20" spans="1:48" s="2590" customFormat="1">
      <c r="A20" s="2591" t="s">
        <v>2646</v>
      </c>
      <c r="B20" s="2592" t="str">
        <f>'预评函-1'!A27</f>
        <v>——</v>
      </c>
    </row>
    <row r="21" spans="1:48" s="2606" customFormat="1" ht="15" thickBot="1">
      <c r="A21" s="2613" t="s">
        <v>2647</v>
      </c>
      <c r="B21" s="2614" t="str">
        <f>'预评函-1'!A28</f>
        <v>——</v>
      </c>
    </row>
    <row r="22" spans="1:48" ht="15" thickTop="1">
      <c r="A22" s="2602" t="s">
        <v>2648</v>
      </c>
      <c r="B22" s="2603"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1" t="s">
        <v>2649</v>
      </c>
      <c r="B23" s="2592" t="str">
        <f>'预评函-2'!K2</f>
        <v>估价期日：2020年10月21日</v>
      </c>
    </row>
    <row r="24" spans="1:48">
      <c r="A24" s="2591" t="s">
        <v>2650</v>
      </c>
      <c r="B24" s="2592" t="str">
        <f>'预评函-2'!R2</f>
        <v>估价期日的国有建设用地使用权性质：出让</v>
      </c>
    </row>
    <row r="25" spans="1:48">
      <c r="A25" s="2591" t="s">
        <v>2706</v>
      </c>
      <c r="B25" s="2592" t="str">
        <f>'预评函-2'!A3</f>
        <v>估价期日土地使用者</v>
      </c>
    </row>
    <row r="26" spans="1:48">
      <c r="A26" s="2591" t="s">
        <v>2682</v>
      </c>
      <c r="B26" s="2592" t="str">
        <f>'预评函-2'!A5</f>
        <v>中信开发</v>
      </c>
    </row>
    <row r="27" spans="1:48">
      <c r="A27" s="2591" t="s">
        <v>2707</v>
      </c>
      <c r="B27" s="2592" t="str">
        <f>'预评函-2'!B3</f>
        <v>宗地编号/不动产单元号</v>
      </c>
    </row>
    <row r="28" spans="1:48">
      <c r="A28" s="2591" t="s">
        <v>2683</v>
      </c>
      <c r="B28" s="2592" t="str">
        <f>'预评函-2'!B5</f>
        <v>11111111111</v>
      </c>
    </row>
    <row r="29" spans="1:48">
      <c r="A29" s="2591" t="s">
        <v>2709</v>
      </c>
      <c r="B29" s="2592">
        <f>'预评函-2'!C5</f>
        <v>22</v>
      </c>
    </row>
    <row r="30" spans="1:48">
      <c r="A30" s="2591" t="s">
        <v>2710</v>
      </c>
      <c r="B30" s="2592" t="str">
        <f>'预评函-2'!D3</f>
        <v>土地使用证编号/不动产权证书编号</v>
      </c>
    </row>
    <row r="31" spans="1:48">
      <c r="A31" s="2591" t="s">
        <v>2684</v>
      </c>
      <c r="B31" s="2592" t="str">
        <f>'预评函-2'!D5</f>
        <v>京国土字第111号</v>
      </c>
    </row>
    <row r="32" spans="1:48">
      <c r="A32" s="2591" t="s">
        <v>2685</v>
      </c>
      <c r="B32" s="2592">
        <f>'预评函-2'!E5</f>
        <v>0</v>
      </c>
      <c r="AV32" s="2596"/>
    </row>
    <row r="33" spans="1:2">
      <c r="A33" s="2591" t="s">
        <v>2686</v>
      </c>
      <c r="B33" s="2592">
        <f>'预评函-2'!F5</f>
        <v>258</v>
      </c>
    </row>
    <row r="34" spans="1:2">
      <c r="A34" s="2591" t="s">
        <v>2687</v>
      </c>
      <c r="B34" s="2592">
        <f>'预评函-2'!G5</f>
        <v>0</v>
      </c>
    </row>
    <row r="35" spans="1:2">
      <c r="A35" s="2591" t="s">
        <v>2688</v>
      </c>
      <c r="B35" s="2592">
        <f>'预评函-2'!H5</f>
        <v>1.5</v>
      </c>
    </row>
    <row r="36" spans="1:2">
      <c r="A36" s="2591" t="s">
        <v>2689</v>
      </c>
      <c r="B36" s="2592">
        <f>'预评函-2'!I5</f>
        <v>1.5</v>
      </c>
    </row>
    <row r="37" spans="1:2">
      <c r="A37" s="2591" t="s">
        <v>2690</v>
      </c>
      <c r="B37" s="2592">
        <f>'预评函-2'!J5</f>
        <v>1.5</v>
      </c>
    </row>
    <row r="38" spans="1:2">
      <c r="A38" s="2591" t="s">
        <v>2691</v>
      </c>
      <c r="B38" s="2592" t="str">
        <f>'预评函-2'!K5</f>
        <v>红线外七通、宗地红线内</v>
      </c>
    </row>
    <row r="39" spans="1:2">
      <c r="A39" s="2591" t="s">
        <v>2692</v>
      </c>
      <c r="B39" s="2592" t="str">
        <f>'预评函-2'!L5</f>
        <v>红线外七通、宗地红线内场地</v>
      </c>
    </row>
    <row r="40" spans="1:2">
      <c r="A40" s="2591" t="s">
        <v>2711</v>
      </c>
      <c r="B40" s="2592" t="str">
        <f>'预评函-2'!M3</f>
        <v>（剩余）土地使用年限/年</v>
      </c>
    </row>
    <row r="41" spans="1:2">
      <c r="A41" s="2591" t="s">
        <v>2693</v>
      </c>
      <c r="B41" s="2592">
        <f>'预评函-2'!M5</f>
        <v>0</v>
      </c>
    </row>
    <row r="42" spans="1:2">
      <c r="A42" s="2591" t="s">
        <v>2712</v>
      </c>
      <c r="B42" s="2592" t="str">
        <f>'预评函-2'!N3</f>
        <v>（分摊）出让国有建设用地使用权面积/㎡</v>
      </c>
    </row>
    <row r="43" spans="1:2">
      <c r="A43" s="2591" t="s">
        <v>2694</v>
      </c>
      <c r="B43" s="2592">
        <f>'预评函-2'!N5</f>
        <v>98307</v>
      </c>
    </row>
    <row r="44" spans="1:2">
      <c r="A44" s="2591" t="s">
        <v>2713</v>
      </c>
      <c r="B44" s="2592" t="str">
        <f>'预评函-2'!O3</f>
        <v>规划建筑面积/㎡</v>
      </c>
    </row>
    <row r="45" spans="1:2">
      <c r="A45" s="2591" t="s">
        <v>2695</v>
      </c>
      <c r="B45" s="2592">
        <f>'预评函-2'!O5</f>
        <v>196602</v>
      </c>
    </row>
    <row r="46" spans="1:2">
      <c r="A46" s="2591" t="s">
        <v>2696</v>
      </c>
      <c r="B46" s="2592">
        <f ca="1">'预评函-2'!P5</f>
        <v>1751</v>
      </c>
    </row>
    <row r="47" spans="1:2">
      <c r="A47" s="2591" t="s">
        <v>2697</v>
      </c>
      <c r="B47" s="2592">
        <f ca="1">'预评函-2'!Q5</f>
        <v>876</v>
      </c>
    </row>
    <row r="48" spans="1:2">
      <c r="A48" s="2591" t="s">
        <v>2698</v>
      </c>
      <c r="B48" s="2592">
        <f ca="1">'预评函-2'!R5</f>
        <v>17216</v>
      </c>
    </row>
    <row r="49" spans="1:2">
      <c r="A49" s="2591" t="s">
        <v>2714</v>
      </c>
      <c r="B49" s="2592" t="str">
        <f>'预评函-2'!A6</f>
        <v>——</v>
      </c>
    </row>
    <row r="50" spans="1:2">
      <c r="A50" s="2591" t="s">
        <v>2699</v>
      </c>
      <c r="B50" s="2592" t="str">
        <f>'预评函-2'!R6</f>
        <v>——</v>
      </c>
    </row>
    <row r="51" spans="1:2">
      <c r="A51" s="2591" t="s">
        <v>2715</v>
      </c>
      <c r="B51" s="2592" t="str">
        <f>'预评函-2'!A7</f>
        <v>——</v>
      </c>
    </row>
    <row r="52" spans="1:2">
      <c r="A52" s="2591" t="s">
        <v>2700</v>
      </c>
      <c r="B52" s="2592" t="str">
        <f>'预评函-2'!R7</f>
        <v>——</v>
      </c>
    </row>
    <row r="53" spans="1:2">
      <c r="A53" s="2591" t="s">
        <v>2716</v>
      </c>
      <c r="B53" s="2592" t="str">
        <f>'预评函-2'!A8</f>
        <v>——</v>
      </c>
    </row>
    <row r="54" spans="1:2" s="2606" customFormat="1" ht="15" thickBot="1">
      <c r="A54" s="2613" t="s">
        <v>2701</v>
      </c>
      <c r="B54" s="2614" t="str">
        <f>'预评函-2'!R8</f>
        <v>——</v>
      </c>
    </row>
    <row r="55" spans="1:2" ht="15" thickTop="1">
      <c r="A55" s="2602" t="s">
        <v>2651</v>
      </c>
      <c r="B55" s="2603" t="str">
        <f>'预评函-3'!A2</f>
        <v>1.权利限制：根据估价对象《不动产权证书》原件、《国有土地使用权》复印件，截至估价期日，估价对象抵押权未见登记。未设定租赁等其他他项权利。</v>
      </c>
    </row>
    <row r="56" spans="1:2">
      <c r="A56" s="2591" t="s">
        <v>2652</v>
      </c>
      <c r="B56" s="2592" t="str">
        <f>'预评函-3'!A3</f>
        <v>2.基础设施条件：估价对象实际开发程度为红线外七通、宗地红线内；本次评估设定开发程度为红线外七通、宗地红线内场地。</v>
      </c>
    </row>
    <row r="57" spans="1:2">
      <c r="A57" s="2591" t="s">
        <v>2653</v>
      </c>
      <c r="B57" s="2592" t="str">
        <f>'预评函-3'!A4</f>
        <v>3.估价规划限制条件：详见《建设工程规划许可证》[]、《出让合同》[]。</v>
      </c>
    </row>
    <row r="58" spans="1:2" s="2606" customFormat="1" ht="15" thickBot="1">
      <c r="A58" s="2613" t="s">
        <v>2702</v>
      </c>
      <c r="B58" s="2614" t="str">
        <f>'预评函-3'!A5</f>
        <v>4.影响价格的其他限定条件：无。</v>
      </c>
    </row>
    <row r="59" spans="1:2" ht="15" thickTop="1">
      <c r="A59" s="2602" t="s">
        <v>2654</v>
      </c>
      <c r="B59" s="2603" t="str">
        <f>'预评函-3'!A8</f>
        <v>2.本次评估设定估价对象宗地权属无争议，未被查封或者以其他形式限制其房地产权利，未设定抵押权等他项权利，不涉及第三方权利义务。</v>
      </c>
    </row>
    <row r="60" spans="1:2">
      <c r="A60" s="2591" t="s">
        <v>2655</v>
      </c>
      <c r="B60" s="2592" t="str">
        <f>'预评函-3'!A9</f>
        <v>——</v>
      </c>
    </row>
    <row r="61" spans="1:2">
      <c r="A61" s="2591" t="s">
        <v>2657</v>
      </c>
      <c r="B61" s="2592" t="str">
        <f>'预评函-3'!A10</f>
        <v>——</v>
      </c>
    </row>
    <row r="62" spans="1:2">
      <c r="A62" s="2591" t="s">
        <v>2656</v>
      </c>
      <c r="B62" s="2592" t="str">
        <f>'预评函-3'!A11</f>
        <v>——</v>
      </c>
    </row>
    <row r="63" spans="1:2">
      <c r="A63" s="2591" t="s">
        <v>2658</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2659</v>
      </c>
      <c r="B64" s="2597" t="str">
        <f>'预评函-3'!A13</f>
        <v>（3）。</v>
      </c>
    </row>
    <row r="65" spans="1:2">
      <c r="A65" s="2591" t="s">
        <v>2660</v>
      </c>
      <c r="B65" s="2598" t="str">
        <f>'预评函-3'!A14</f>
        <v>——</v>
      </c>
    </row>
    <row r="66" spans="1:2">
      <c r="A66" s="2591" t="s">
        <v>2661</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2662</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2665</v>
      </c>
      <c r="B68" s="2617">
        <f>'预评函-3'!D30</f>
        <v>42558</v>
      </c>
    </row>
    <row r="69" spans="1:2" ht="15" thickTop="1">
      <c r="A69" s="2602" t="s">
        <v>2663</v>
      </c>
      <c r="B69" s="2603" t="str">
        <f>'预评函-3'!A20</f>
        <v>土地估价师</v>
      </c>
    </row>
    <row r="70" spans="1:2">
      <c r="A70" s="2591" t="s">
        <v>2663</v>
      </c>
      <c r="B70" s="2598">
        <f>'预评函-3'!B20</f>
        <v>0</v>
      </c>
    </row>
    <row r="71" spans="1:2">
      <c r="A71" s="2591" t="s">
        <v>2664</v>
      </c>
      <c r="B71" s="2592" t="str">
        <f>'预评函-3'!A21</f>
        <v>土地估价师</v>
      </c>
    </row>
    <row r="72" spans="1:2" s="2606" customFormat="1" ht="15" thickBot="1">
      <c r="A72" s="2613" t="s">
        <v>2664</v>
      </c>
      <c r="B72" s="2619">
        <f>'预评函-3'!B21</f>
        <v>0</v>
      </c>
    </row>
    <row r="73" spans="1:2" ht="15" thickTop="1">
      <c r="A73" s="2602" t="s">
        <v>2723</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2724</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2725</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2759</v>
      </c>
      <c r="B76" s="260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42" sqref="C42"/>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1"/>
  </cols>
  <sheetData>
    <row r="1" spans="1:21" ht="15" thickBot="1">
      <c r="A1" s="1584" t="s">
        <v>1925</v>
      </c>
      <c r="B1" s="3456" t="str">
        <f>IF(B10="北京市","北京市",C10)&amp;F10&amp;B16&amp;"国有建设用地使用权"&amp;B9&amp;"预评估"</f>
        <v>河北省出让国有建设用地使用权市场价格预评估</v>
      </c>
      <c r="C1" s="3457"/>
      <c r="D1" s="3457"/>
      <c r="E1" s="3457"/>
      <c r="F1" s="3457"/>
      <c r="G1" s="3457"/>
      <c r="H1" s="3457"/>
      <c r="I1" s="3458"/>
      <c r="J1" s="3070"/>
      <c r="K1" s="2307" t="str">
        <f>IF(B10="北京市","北京市",C10)&amp;F10&amp;B16&amp;"国有建设用地使用权"&amp;B9</f>
        <v>河北省出让国有建设用地使用权市场价格</v>
      </c>
      <c r="L1" s="3049"/>
      <c r="M1" s="3049"/>
      <c r="N1" s="3050"/>
      <c r="O1" s="3051"/>
      <c r="P1" s="3050"/>
      <c r="Q1" s="3050"/>
      <c r="R1" s="3050"/>
      <c r="S1" s="3050"/>
      <c r="T1" s="3050"/>
      <c r="U1" s="3050"/>
    </row>
    <row r="2" spans="1:21">
      <c r="A2" s="1585" t="s">
        <v>1926</v>
      </c>
      <c r="B2" s="1752"/>
      <c r="D2" s="3070"/>
      <c r="E2" s="3070"/>
      <c r="F2" s="3070"/>
      <c r="G2" s="3070"/>
      <c r="H2" s="3071"/>
      <c r="I2" s="3072"/>
      <c r="J2" s="3070"/>
      <c r="K2" s="2307" t="str">
        <f>IF(B10="北京市","北京市",C10)&amp;F10&amp;B16&amp;"国有建设用地使用权"</f>
        <v>河北省出让国有建设用地使用权</v>
      </c>
      <c r="L2" s="3049"/>
      <c r="M2" s="3049"/>
      <c r="N2" s="3050"/>
      <c r="O2" s="3051"/>
      <c r="P2" s="3050"/>
      <c r="Q2" s="3050"/>
      <c r="R2" s="3050"/>
      <c r="S2" s="3050"/>
      <c r="T2" s="3050"/>
      <c r="U2" s="3050"/>
    </row>
    <row r="3" spans="1:21">
      <c r="A3" s="1586" t="s">
        <v>1927</v>
      </c>
      <c r="B3" s="1587"/>
      <c r="C3" s="2993" t="s">
        <v>1983</v>
      </c>
      <c r="D3" s="1587">
        <v>44125</v>
      </c>
      <c r="E3" s="3070"/>
      <c r="F3" s="3070"/>
      <c r="G3" s="3070"/>
      <c r="H3" s="3071"/>
      <c r="I3" s="3072"/>
      <c r="J3" s="3070"/>
      <c r="K3" s="3053"/>
      <c r="L3" s="3049"/>
      <c r="M3" s="3049"/>
      <c r="N3" s="3050"/>
      <c r="O3" s="3051"/>
      <c r="P3" s="3050"/>
      <c r="Q3" s="3050"/>
      <c r="R3" s="3050"/>
      <c r="S3" s="3050"/>
      <c r="T3" s="3050"/>
      <c r="U3" s="3050"/>
    </row>
    <row r="4" spans="1:21" ht="15" thickBot="1">
      <c r="A4" s="1589" t="s">
        <v>1928</v>
      </c>
      <c r="B4" s="1753" t="s">
        <v>2860</v>
      </c>
      <c r="C4" s="1756">
        <f>SUMIF(土地估价师,B4,估价师及机构信息!E3:E16)</f>
        <v>0</v>
      </c>
      <c r="D4" s="1753" t="s">
        <v>2860</v>
      </c>
      <c r="E4" s="1756">
        <f>SUMIF(土地估价师,D4,估价师及机构信息!E3:E16)</f>
        <v>0</v>
      </c>
      <c r="F4" s="1753" t="s">
        <v>943</v>
      </c>
      <c r="G4" s="1756">
        <f>SUMIF(土地估价师,F4,估价师及机构信息!E3:E16)</f>
        <v>0</v>
      </c>
      <c r="H4" s="1753" t="s">
        <v>943</v>
      </c>
      <c r="I4" s="1756">
        <f>SUMIF(土地估价师,H4,估价师及机构信息!E3:E16)</f>
        <v>0</v>
      </c>
      <c r="J4" s="3070"/>
      <c r="K4" s="2307" t="str">
        <f>IF(AND(F4="——",H4="——"),B4&amp;"、"&amp;D4,IF(AND(F4&lt;&gt;"——",H4="——"),B4&amp;"、"&amp;D4&amp;"、"&amp;F4,B4&amp;"、"&amp;D4&amp;"、"&amp;F4&amp;"、"&amp;H4))</f>
        <v>土地估价师、土地估价师</v>
      </c>
      <c r="L4" s="3049"/>
      <c r="M4" s="3049"/>
      <c r="N4" s="3050"/>
      <c r="O4" s="3051"/>
      <c r="P4" s="3050"/>
      <c r="Q4" s="3050"/>
      <c r="R4" s="3050"/>
      <c r="S4" s="3050"/>
      <c r="T4" s="3050"/>
      <c r="U4" s="3050"/>
    </row>
    <row r="5" spans="1:21" ht="15" thickTop="1">
      <c r="A5" s="1590" t="s">
        <v>1929</v>
      </c>
      <c r="B5" s="1700"/>
      <c r="C5" s="1591"/>
      <c r="D5" s="1592"/>
      <c r="E5" s="3070"/>
      <c r="F5" s="3070"/>
      <c r="G5" s="3070"/>
      <c r="H5" s="3071"/>
      <c r="I5" s="3072"/>
      <c r="J5" s="3070"/>
      <c r="K5" s="3053"/>
      <c r="L5" s="3049"/>
      <c r="M5" s="3049"/>
      <c r="N5" s="3050"/>
      <c r="O5" s="3051"/>
      <c r="P5" s="3050"/>
      <c r="Q5" s="3050"/>
      <c r="R5" s="3050"/>
      <c r="S5" s="3050"/>
      <c r="T5" s="3050"/>
      <c r="U5" s="3050"/>
    </row>
    <row r="6" spans="1:21" ht="26.25">
      <c r="A6" s="1588" t="s">
        <v>2679</v>
      </c>
      <c r="B6" s="1700"/>
      <c r="C6" s="1675"/>
      <c r="D6" s="1593"/>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4" t="s">
        <v>2680</v>
      </c>
      <c r="B7" s="1700"/>
      <c r="C7" s="1675"/>
      <c r="D7" s="1593"/>
      <c r="E7" s="3070"/>
      <c r="F7" s="3070"/>
      <c r="G7" s="3070"/>
      <c r="H7" s="3071"/>
      <c r="I7" s="3072"/>
      <c r="J7" s="3070"/>
      <c r="K7" s="3053"/>
      <c r="L7" s="3049"/>
      <c r="M7" s="3049"/>
      <c r="N7" s="3050"/>
      <c r="O7" s="3051"/>
      <c r="P7" s="3050"/>
      <c r="Q7" s="3050"/>
      <c r="R7" s="3050"/>
      <c r="S7" s="3050"/>
      <c r="T7" s="3050"/>
      <c r="U7" s="3050"/>
    </row>
    <row r="8" spans="1:21">
      <c r="A8" s="2994" t="s">
        <v>1930</v>
      </c>
      <c r="B8" s="1595" t="s">
        <v>3315</v>
      </c>
      <c r="C8" s="1596"/>
      <c r="D8" s="3462" t="s">
        <v>1932</v>
      </c>
      <c r="E8" s="1754"/>
      <c r="F8" s="1597"/>
      <c r="G8" s="3071"/>
      <c r="H8" s="3071"/>
      <c r="I8" s="3074"/>
      <c r="J8" s="3070"/>
      <c r="K8" s="3053"/>
      <c r="L8" s="3049"/>
      <c r="M8" s="3049"/>
      <c r="N8" s="3050"/>
      <c r="O8" s="3051"/>
      <c r="P8" s="3050"/>
      <c r="Q8" s="3050"/>
      <c r="R8" s="3050"/>
      <c r="S8" s="3050"/>
      <c r="T8" s="3050"/>
      <c r="U8" s="3050"/>
    </row>
    <row r="9" spans="1:21" ht="15" thickBot="1">
      <c r="A9" s="2995" t="s">
        <v>1931</v>
      </c>
      <c r="B9" s="1598" t="s">
        <v>3316</v>
      </c>
      <c r="C9" s="1599"/>
      <c r="D9" s="3463"/>
      <c r="E9" s="1598"/>
      <c r="F9" s="1661"/>
      <c r="G9" s="3075"/>
      <c r="H9" s="3075"/>
      <c r="I9" s="3076"/>
      <c r="J9" s="3070"/>
      <c r="K9" s="3053"/>
      <c r="L9" s="3049"/>
      <c r="M9" s="3049"/>
      <c r="N9" s="3050"/>
      <c r="O9" s="3051"/>
      <c r="P9" s="3050"/>
      <c r="Q9" s="3050"/>
      <c r="R9" s="3050"/>
      <c r="S9" s="3050"/>
      <c r="T9" s="3050"/>
      <c r="U9" s="3050"/>
    </row>
    <row r="10" spans="1:21" ht="15" thickTop="1">
      <c r="A10" s="2996" t="s">
        <v>1987</v>
      </c>
      <c r="B10" s="1637" t="s">
        <v>3317</v>
      </c>
      <c r="C10" s="1600" t="s">
        <v>3318</v>
      </c>
      <c r="D10" s="1592"/>
      <c r="E10" s="1601" t="s">
        <v>1934</v>
      </c>
      <c r="F10" s="1602"/>
      <c r="G10" s="1659"/>
      <c r="H10" s="1660"/>
      <c r="I10" s="1592"/>
      <c r="J10" s="3070"/>
      <c r="K10" s="3053"/>
      <c r="L10" s="3049"/>
      <c r="M10" s="3049"/>
      <c r="N10" s="3050"/>
      <c r="O10" s="3051"/>
      <c r="P10" s="3050"/>
      <c r="Q10" s="3050"/>
      <c r="R10" s="3050"/>
      <c r="S10" s="3050"/>
      <c r="T10" s="3050"/>
      <c r="U10" s="3050"/>
    </row>
    <row r="11" spans="1:21">
      <c r="A11" s="2997" t="s">
        <v>1988</v>
      </c>
      <c r="B11" s="1617" t="s">
        <v>3319</v>
      </c>
      <c r="C11" s="1603"/>
      <c r="D11" s="1676"/>
      <c r="E11" s="3069"/>
      <c r="F11" s="3069"/>
      <c r="G11" s="3069"/>
      <c r="H11" s="3069"/>
      <c r="I11" s="3069"/>
      <c r="J11" s="3070"/>
      <c r="K11" s="3053"/>
      <c r="L11" s="3049"/>
      <c r="M11" s="3049"/>
      <c r="N11" s="3050"/>
      <c r="O11" s="3051"/>
      <c r="P11" s="3050"/>
      <c r="Q11" s="3050"/>
      <c r="R11" s="3050"/>
      <c r="S11" s="3050"/>
      <c r="T11" s="3050"/>
      <c r="U11" s="3050"/>
    </row>
    <row r="12" spans="1:21">
      <c r="A12" s="1696" t="s">
        <v>2046</v>
      </c>
      <c r="B12" s="3459"/>
      <c r="C12" s="3460"/>
      <c r="D12" s="3461"/>
      <c r="E12" s="1618" t="s">
        <v>2049</v>
      </c>
      <c r="F12" s="3477" t="s">
        <v>2861</v>
      </c>
      <c r="G12" s="3478"/>
      <c r="H12" s="3478"/>
      <c r="I12" s="3479"/>
      <c r="J12" s="3070"/>
      <c r="K12" s="3053"/>
      <c r="L12" s="3049"/>
      <c r="M12" s="3049"/>
      <c r="N12" s="3050"/>
      <c r="O12" s="3051"/>
      <c r="P12" s="3050"/>
      <c r="Q12" s="3050"/>
      <c r="R12" s="3050"/>
      <c r="S12" s="3050"/>
      <c r="T12" s="3050"/>
      <c r="U12" s="3050"/>
    </row>
    <row r="13" spans="1:21">
      <c r="A13" s="1609" t="s">
        <v>2047</v>
      </c>
      <c r="B13" s="3459"/>
      <c r="C13" s="3460"/>
      <c r="D13" s="3461"/>
      <c r="E13" s="1618" t="s">
        <v>2049</v>
      </c>
      <c r="F13" s="3477" t="s">
        <v>2862</v>
      </c>
      <c r="G13" s="3478"/>
      <c r="H13" s="3478"/>
      <c r="I13" s="3479"/>
      <c r="J13" s="3070"/>
      <c r="K13" s="3053"/>
      <c r="L13" s="3049"/>
      <c r="M13" s="3049"/>
      <c r="N13" s="3050"/>
      <c r="O13" s="3051"/>
      <c r="P13" s="3050"/>
      <c r="Q13" s="3050"/>
      <c r="R13" s="3050"/>
      <c r="S13" s="3050"/>
      <c r="T13" s="3050"/>
      <c r="U13" s="3050"/>
    </row>
    <row r="14" spans="1:21">
      <c r="A14" s="1586" t="s">
        <v>2050</v>
      </c>
      <c r="B14" s="1618"/>
      <c r="C14" s="1755"/>
      <c r="D14" s="1651" t="str">
        <f>IF(C14="不一致","是否符合证载地类范围","")</f>
        <v/>
      </c>
      <c r="E14" s="1618"/>
      <c r="F14" s="1701"/>
      <c r="G14" s="1646"/>
      <c r="H14" s="1646"/>
      <c r="I14" s="1748"/>
      <c r="J14" s="3070"/>
      <c r="K14" s="3053"/>
      <c r="L14" s="3049"/>
      <c r="M14" s="3049"/>
      <c r="N14" s="3050"/>
      <c r="O14" s="3051"/>
      <c r="P14" s="3050"/>
      <c r="Q14" s="3050"/>
      <c r="R14" s="3050"/>
      <c r="S14" s="3050"/>
      <c r="T14" s="3050"/>
      <c r="U14" s="3050"/>
    </row>
    <row r="15" spans="1:21" hidden="1">
      <c r="A15" s="2483"/>
      <c r="B15" s="1588"/>
      <c r="C15" s="1588"/>
      <c r="D15" s="1680" t="s">
        <v>1937</v>
      </c>
      <c r="E15" s="1680" t="s">
        <v>1938</v>
      </c>
      <c r="F15" s="1680" t="s">
        <v>1939</v>
      </c>
      <c r="G15" s="1608" t="s">
        <v>1940</v>
      </c>
      <c r="H15" s="1608" t="s">
        <v>1941</v>
      </c>
      <c r="I15" s="1608" t="s">
        <v>1942</v>
      </c>
      <c r="J15" s="3070"/>
      <c r="K15" s="3053"/>
      <c r="L15" s="3049"/>
      <c r="M15" s="3049"/>
      <c r="N15" s="3050"/>
      <c r="O15" s="3051"/>
      <c r="P15" s="3050"/>
      <c r="Q15" s="3050"/>
      <c r="R15" s="3050"/>
      <c r="S15" s="3050"/>
      <c r="T15" s="3050"/>
      <c r="U15" s="3050"/>
    </row>
    <row r="16" spans="1:21" ht="42.75">
      <c r="A16" s="2998" t="s">
        <v>1935</v>
      </c>
      <c r="B16" s="1604" t="s">
        <v>3315</v>
      </c>
      <c r="C16" s="1618" t="s">
        <v>1936</v>
      </c>
      <c r="D16" s="2484" t="s">
        <v>1937</v>
      </c>
      <c r="E16" s="1640" t="s">
        <v>3294</v>
      </c>
      <c r="F16" s="1640" t="s">
        <v>1668</v>
      </c>
      <c r="G16" s="1640" t="s">
        <v>35</v>
      </c>
      <c r="H16" s="1640"/>
      <c r="I16" s="1608" t="s">
        <v>1942</v>
      </c>
      <c r="J16" s="3070"/>
      <c r="K16" s="2308" t="str">
        <f>IF(D17="","",D16&amp;TEXT(D17,"yyyy年m月d日;;"))</f>
        <v>住宅2090年10月20日</v>
      </c>
      <c r="L16" s="1618" t="str">
        <f>IF(OR(K16="",M16=""),"","、")</f>
        <v>、</v>
      </c>
      <c r="M16" s="2308" t="str">
        <f>IF(E17="","",E16&amp;TEXT(E17,"yyyy年m月d日;;"))</f>
        <v>商业2060年10月20日</v>
      </c>
      <c r="N16" s="1618" t="str">
        <f>IF(OR(M16="",O16=""),"","、")</f>
        <v>、</v>
      </c>
      <c r="O16" s="2308" t="str">
        <f>IF(F17="","",F16&amp;TEXT(F17,"yyyy年m月d日;;"))</f>
        <v>办公2060年10月20日</v>
      </c>
      <c r="P16" s="1618" t="str">
        <f>IF(OR(O16="",Q16=""),"","、")</f>
        <v>、</v>
      </c>
      <c r="Q16" s="2308" t="str">
        <f>IF(G17="","",G16&amp;TEXT(G17,"yyyy年m月d日;;"))</f>
        <v>地下车库2060年10月20日</v>
      </c>
      <c r="R16" s="1618" t="str">
        <f>IF(OR(Q16="",S16=""),"","、")</f>
        <v/>
      </c>
      <c r="S16" s="2308" t="str">
        <f>IF(H17="","",H16&amp;TEXT(H17,"yyyy年m月d日;;"))</f>
        <v/>
      </c>
      <c r="T16" s="1618" t="str">
        <f>IF(OR(S16="",U16=""),"","、")</f>
        <v/>
      </c>
      <c r="U16" s="2308" t="str">
        <f>IF(I17="","",I16&amp;TEXT(I17,"yyyy年m月d日;;"))</f>
        <v/>
      </c>
    </row>
    <row r="17" spans="1:21">
      <c r="A17" s="1677"/>
      <c r="B17" s="1605"/>
      <c r="C17" s="2999" t="s">
        <v>1943</v>
      </c>
      <c r="D17" s="3272">
        <v>69691</v>
      </c>
      <c r="E17" s="3272">
        <v>58734</v>
      </c>
      <c r="F17" s="3272">
        <f>E17</f>
        <v>58734</v>
      </c>
      <c r="G17" s="3272">
        <f>F17</f>
        <v>58734</v>
      </c>
      <c r="H17" s="3272"/>
      <c r="I17" s="3272"/>
      <c r="J17" s="3070"/>
      <c r="K17" s="3048" t="str">
        <f>CONCATENATE(K16,L16,M16,N16,O16,P16,Q16,R16,S16,T16,,U16)</f>
        <v>住宅2090年10月20日、商业2060年10月20日、办公2060年10月20日、地下车库2060年10月20日</v>
      </c>
      <c r="L17" s="3049"/>
      <c r="M17" s="3049"/>
      <c r="N17" s="3050"/>
      <c r="O17" s="3051"/>
      <c r="P17" s="3050"/>
      <c r="Q17" s="3050"/>
      <c r="R17" s="3050"/>
      <c r="S17" s="3050"/>
      <c r="T17" s="3050"/>
      <c r="U17" s="3050"/>
    </row>
    <row r="18" spans="1:21">
      <c r="A18" s="1677"/>
      <c r="B18" s="1605"/>
      <c r="C18" s="2999" t="s">
        <v>1944</v>
      </c>
      <c r="D18" s="1606">
        <v>70</v>
      </c>
      <c r="E18" s="1606">
        <v>40</v>
      </c>
      <c r="F18" s="1606">
        <v>40</v>
      </c>
      <c r="G18" s="1606">
        <v>40</v>
      </c>
      <c r="H18" s="1606"/>
      <c r="I18" s="1606"/>
      <c r="J18" s="3070"/>
      <c r="K18" s="3053"/>
      <c r="L18" s="3049"/>
      <c r="M18" s="3049"/>
      <c r="N18" s="3050"/>
      <c r="O18" s="3051"/>
      <c r="P18" s="3050"/>
      <c r="Q18" s="3050"/>
      <c r="R18" s="3050"/>
      <c r="S18" s="3050"/>
      <c r="T18" s="3050"/>
      <c r="U18" s="3050"/>
    </row>
    <row r="19" spans="1:21">
      <c r="A19" s="1677"/>
      <c r="B19" s="1605"/>
      <c r="C19" s="1585" t="s">
        <v>1945</v>
      </c>
      <c r="D19" s="1672">
        <f>IF(B16="出让",IF(D17="","",ROUNDDOWN(MIN((D17-$D$3)/365,D18),2)),D18)</f>
        <v>70</v>
      </c>
      <c r="E19" s="1607">
        <f>IF(B16="出让",IF(E17="","",ROUNDDOWN(MIN((E17-$D$3)/365,E18),2)),E18)</f>
        <v>40</v>
      </c>
      <c r="F19" s="1607">
        <f>IF(B16="出让",IF(F17="","",ROUNDDOWN(MIN((F17-$D$3)/365,F18),2)),F18)</f>
        <v>40</v>
      </c>
      <c r="G19" s="1607">
        <f>IF(B16="出让",IF(G17="","",ROUNDDOWN(MIN((G17-$D$3)/365,G18),2)),G18)</f>
        <v>40</v>
      </c>
      <c r="H19" s="1607" t="str">
        <f>IF(B16="出让",IF(H17="","",ROUNDDOWN(MIN((H17-$D$3)/365,H18),2)),H18)</f>
        <v/>
      </c>
      <c r="I19" s="1607" t="str">
        <f>IF(B16="出让",IF(I17="","",ROUNDDOWN(MIN((I17-$D$3)/365,I18),2)),I18)</f>
        <v/>
      </c>
      <c r="J19" s="3070"/>
      <c r="K19" s="3053"/>
      <c r="L19" s="3049"/>
      <c r="M19" s="3049"/>
      <c r="N19" s="3050"/>
      <c r="O19" s="3051"/>
      <c r="P19" s="3050"/>
      <c r="Q19" s="3050"/>
      <c r="R19" s="3050"/>
      <c r="S19" s="3050"/>
      <c r="T19" s="3050"/>
      <c r="U19" s="3050"/>
    </row>
    <row r="20" spans="1:21">
      <c r="A20" s="1697"/>
      <c r="B20" s="1698"/>
      <c r="C20" s="1699" t="s">
        <v>2048</v>
      </c>
      <c r="D20" s="3474"/>
      <c r="E20" s="3475"/>
      <c r="F20" s="3475"/>
      <c r="G20" s="3475"/>
      <c r="H20" s="3475"/>
      <c r="I20" s="3476"/>
      <c r="J20" s="3070"/>
      <c r="K20" s="3053"/>
      <c r="L20" s="3049"/>
      <c r="M20" s="3049"/>
      <c r="N20" s="3050"/>
      <c r="O20" s="3051"/>
      <c r="P20" s="3050"/>
      <c r="Q20" s="3050"/>
      <c r="R20" s="3050"/>
      <c r="S20" s="3050"/>
      <c r="T20" s="3050"/>
      <c r="U20" s="3050"/>
    </row>
    <row r="21" spans="1:21">
      <c r="A21" s="1677" t="s">
        <v>1946</v>
      </c>
      <c r="B21" s="1678" t="s">
        <v>1947</v>
      </c>
      <c r="C21" s="1673">
        <f>'数据-汇总表'!E3</f>
        <v>196602</v>
      </c>
      <c r="D21" s="1674" t="s">
        <v>1948</v>
      </c>
      <c r="E21" s="3464" t="s">
        <v>1986</v>
      </c>
      <c r="F21" s="3465"/>
      <c r="G21" s="3465"/>
      <c r="H21" s="3465"/>
      <c r="I21" s="3466"/>
      <c r="J21" s="3070"/>
      <c r="K21" s="3053"/>
      <c r="L21" s="3049"/>
      <c r="M21" s="3049"/>
      <c r="N21" s="3050"/>
      <c r="O21" s="3051"/>
      <c r="P21" s="3050"/>
      <c r="Q21" s="3050"/>
      <c r="R21" s="3050"/>
      <c r="S21" s="3050"/>
      <c r="T21" s="3050"/>
      <c r="U21" s="3050"/>
    </row>
    <row r="22" spans="1:21">
      <c r="A22" s="2798" t="s">
        <v>943</v>
      </c>
      <c r="B22" s="1586" t="s">
        <v>1949</v>
      </c>
      <c r="C22" s="1608">
        <f>'数据-汇总表'!D3</f>
        <v>98307</v>
      </c>
      <c r="D22" s="1609" t="s">
        <v>1948</v>
      </c>
      <c r="E22" s="3464" t="s">
        <v>2863</v>
      </c>
      <c r="F22" s="3465"/>
      <c r="G22" s="3465"/>
      <c r="H22" s="3465"/>
      <c r="I22" s="3466"/>
      <c r="J22" s="3070"/>
      <c r="K22" s="3053"/>
      <c r="L22" s="3049"/>
      <c r="M22" s="3049"/>
      <c r="N22" s="3050"/>
      <c r="O22" s="3051"/>
      <c r="P22" s="3050"/>
      <c r="Q22" s="3050"/>
      <c r="R22" s="3050"/>
      <c r="S22" s="3050"/>
      <c r="T22" s="3050"/>
      <c r="U22" s="3050"/>
    </row>
    <row r="23" spans="1:21" ht="43.5" thickBot="1">
      <c r="A23" s="1679" t="s">
        <v>1950</v>
      </c>
      <c r="B23" s="1619" t="s">
        <v>1951</v>
      </c>
      <c r="C23" s="1620" t="s">
        <v>3321</v>
      </c>
      <c r="D23" s="1621" t="s">
        <v>1952</v>
      </c>
      <c r="E23" s="1622"/>
      <c r="F23" s="1623" t="str">
        <f>IF(AND(C23="是",E23="否"),"是否提供他项权证或相关说明","")</f>
        <v/>
      </c>
      <c r="G23" s="1624"/>
      <c r="H23" s="3070"/>
      <c r="I23" s="3074"/>
      <c r="J23" s="3070"/>
      <c r="K23" s="3053"/>
      <c r="L23" s="3049"/>
      <c r="M23" s="3049"/>
      <c r="N23" s="3050"/>
      <c r="O23" s="3051"/>
      <c r="P23" s="3050"/>
      <c r="Q23" s="3050"/>
      <c r="R23" s="3050"/>
      <c r="S23" s="3050"/>
      <c r="T23" s="3050"/>
      <c r="U23" s="3050"/>
    </row>
    <row r="24" spans="1:21">
      <c r="A24" s="1664" t="s">
        <v>1953</v>
      </c>
      <c r="B24" s="3467" t="s">
        <v>1954</v>
      </c>
      <c r="C24" s="3468"/>
      <c r="D24" s="3469" t="s">
        <v>1955</v>
      </c>
      <c r="E24" s="3470"/>
      <c r="F24" s="1626" t="s">
        <v>1956</v>
      </c>
      <c r="G24" s="3070"/>
      <c r="H24" s="3070"/>
      <c r="I24" s="3074"/>
      <c r="J24" s="3070"/>
      <c r="K24" s="3455"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50"/>
      <c r="O24" s="3051"/>
      <c r="P24" s="3050"/>
      <c r="Q24" s="3050"/>
      <c r="R24" s="3050"/>
      <c r="S24" s="3050"/>
      <c r="T24" s="3050"/>
      <c r="U24" s="3050"/>
    </row>
    <row r="25" spans="1:21" ht="28.5">
      <c r="A25" s="1665"/>
      <c r="B25" s="1662" t="s">
        <v>2312</v>
      </c>
      <c r="C25" s="1627" t="s">
        <v>1958</v>
      </c>
      <c r="D25" s="1628"/>
      <c r="E25" s="1629" t="s">
        <v>943</v>
      </c>
      <c r="F25" s="1630"/>
      <c r="G25" s="3070"/>
      <c r="H25" s="3070"/>
      <c r="I25" s="3074"/>
      <c r="J25" s="3070"/>
      <c r="K25" s="3455"/>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50"/>
      <c r="O25" s="3051"/>
      <c r="P25" s="3050"/>
      <c r="Q25" s="3050"/>
      <c r="R25" s="3050"/>
      <c r="S25" s="3050"/>
      <c r="T25" s="3050"/>
      <c r="U25" s="3050"/>
    </row>
    <row r="26" spans="1:21" ht="29.25" thickBot="1">
      <c r="A26" s="1666"/>
      <c r="B26" s="1663" t="s">
        <v>1959</v>
      </c>
      <c r="C26" s="1627" t="s">
        <v>2313</v>
      </c>
      <c r="D26" s="3071"/>
      <c r="E26" s="3071"/>
      <c r="F26" s="3077"/>
      <c r="G26" s="3070"/>
      <c r="H26" s="3070"/>
      <c r="I26" s="3074"/>
      <c r="J26" s="3070"/>
      <c r="K26" s="3455"/>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50"/>
      <c r="O26" s="3051"/>
      <c r="P26" s="3050"/>
      <c r="Q26" s="3050"/>
      <c r="R26" s="3050"/>
      <c r="S26" s="3050"/>
      <c r="T26" s="3050"/>
      <c r="U26" s="3050"/>
    </row>
    <row r="27" spans="1:21">
      <c r="A27" s="1669" t="s">
        <v>1960</v>
      </c>
      <c r="B27" s="1667" t="s">
        <v>1961</v>
      </c>
      <c r="C27" s="1631"/>
      <c r="D27" s="2489" t="s">
        <v>1961</v>
      </c>
      <c r="E27" s="1632"/>
      <c r="F27" s="3077"/>
      <c r="G27" s="3070"/>
      <c r="H27" s="3070"/>
      <c r="I27" s="3074"/>
      <c r="J27" s="3070"/>
      <c r="K27" s="3053"/>
      <c r="L27" s="3049"/>
      <c r="M27" s="3049"/>
      <c r="N27" s="3050"/>
      <c r="O27" s="3051"/>
      <c r="P27" s="3050"/>
      <c r="Q27" s="3050"/>
      <c r="R27" s="3050"/>
      <c r="S27" s="3050"/>
      <c r="T27" s="3050"/>
      <c r="U27" s="3050"/>
    </row>
    <row r="28" spans="1:21">
      <c r="A28" s="1670"/>
      <c r="B28" s="1667" t="s">
        <v>1962</v>
      </c>
      <c r="C28" s="1633"/>
      <c r="D28" s="2490" t="s">
        <v>1962</v>
      </c>
      <c r="E28" s="1634"/>
      <c r="F28" s="3077"/>
      <c r="G28" s="3070"/>
      <c r="H28" s="3070"/>
      <c r="I28" s="3074"/>
      <c r="J28" s="3070"/>
      <c r="K28" s="3053"/>
      <c r="L28" s="3049"/>
      <c r="M28" s="3049"/>
      <c r="N28" s="3050"/>
      <c r="O28" s="3051"/>
      <c r="P28" s="3050"/>
      <c r="Q28" s="3050"/>
      <c r="R28" s="3050"/>
      <c r="S28" s="3050"/>
      <c r="T28" s="3050"/>
      <c r="U28" s="3050"/>
    </row>
    <row r="29" spans="1:21">
      <c r="A29" s="1670"/>
      <c r="B29" s="1667" t="s">
        <v>1963</v>
      </c>
      <c r="C29" s="1633"/>
      <c r="D29" s="2490" t="s">
        <v>1963</v>
      </c>
      <c r="E29" s="1634"/>
      <c r="F29" s="3077"/>
      <c r="G29" s="3070"/>
      <c r="H29" s="3070"/>
      <c r="I29" s="3074"/>
      <c r="J29" s="3070"/>
      <c r="K29" s="3053"/>
      <c r="L29" s="3049"/>
      <c r="M29" s="3049"/>
      <c r="N29" s="3050"/>
      <c r="O29" s="3051"/>
      <c r="P29" s="3050"/>
      <c r="Q29" s="3050"/>
      <c r="R29" s="3050"/>
      <c r="S29" s="3050"/>
      <c r="T29" s="3050"/>
      <c r="U29" s="3050"/>
    </row>
    <row r="30" spans="1:21" ht="15" thickBot="1">
      <c r="A30" s="1671"/>
      <c r="B30" s="1668" t="s">
        <v>1964</v>
      </c>
      <c r="C30" s="1635"/>
      <c r="D30" s="2491" t="s">
        <v>1964</v>
      </c>
      <c r="E30" s="1636"/>
      <c r="F30" s="3078"/>
      <c r="G30" s="3075"/>
      <c r="H30" s="3075"/>
      <c r="I30" s="3076"/>
      <c r="J30" s="3070"/>
      <c r="K30" s="3053"/>
      <c r="L30" s="3049"/>
      <c r="M30" s="3049"/>
      <c r="N30" s="3050"/>
      <c r="O30" s="3051"/>
      <c r="P30" s="3050"/>
      <c r="Q30" s="3050"/>
      <c r="R30" s="3050"/>
      <c r="S30" s="3050"/>
      <c r="T30" s="3050"/>
      <c r="U30" s="3050"/>
    </row>
    <row r="31" spans="1:21" ht="15" thickTop="1">
      <c r="A31" s="3441" t="s">
        <v>1989</v>
      </c>
      <c r="B31" s="1678" t="s">
        <v>1990</v>
      </c>
      <c r="C31" s="3480"/>
      <c r="D31" s="3481"/>
      <c r="E31" s="3070"/>
      <c r="F31" s="3070"/>
      <c r="G31" s="3070"/>
      <c r="H31" s="3070"/>
      <c r="I31" s="3074"/>
      <c r="J31" s="3070"/>
      <c r="K31" s="3056"/>
      <c r="L31" s="3050"/>
      <c r="M31" s="3050"/>
      <c r="N31" s="3050"/>
      <c r="O31" s="3050"/>
      <c r="P31" s="3050"/>
      <c r="Q31" s="3050"/>
      <c r="R31" s="3050"/>
      <c r="S31" s="3050"/>
      <c r="T31" s="3050"/>
      <c r="U31" s="3050"/>
    </row>
    <row r="32" spans="1:21">
      <c r="A32" s="3441"/>
      <c r="B32" s="1586" t="s">
        <v>1991</v>
      </c>
      <c r="C32" s="1637"/>
      <c r="D32" s="1638"/>
      <c r="E32" s="3070"/>
      <c r="F32" s="3070"/>
      <c r="G32" s="3070"/>
      <c r="H32" s="3070"/>
      <c r="I32" s="3074"/>
      <c r="J32" s="3070"/>
      <c r="K32" s="3056"/>
      <c r="L32" s="3050"/>
      <c r="M32" s="3050"/>
      <c r="N32" s="3050"/>
      <c r="O32" s="3050"/>
      <c r="P32" s="3050"/>
      <c r="Q32" s="3050"/>
      <c r="R32" s="3050"/>
      <c r="S32" s="3050"/>
      <c r="T32" s="3050"/>
      <c r="U32" s="3050"/>
    </row>
    <row r="33" spans="1:28">
      <c r="A33" s="3441"/>
      <c r="B33" s="1586" t="s">
        <v>1992</v>
      </c>
      <c r="C33" s="1639"/>
      <c r="D33" s="1749"/>
      <c r="E33" s="3070"/>
      <c r="F33" s="3070"/>
      <c r="G33" s="3070"/>
      <c r="H33" s="3070"/>
      <c r="I33" s="3074"/>
      <c r="J33" s="3070"/>
      <c r="K33" s="3056"/>
      <c r="L33" s="3050"/>
      <c r="M33" s="3050"/>
      <c r="N33" s="3050"/>
      <c r="O33" s="3050"/>
      <c r="P33" s="3050"/>
      <c r="Q33" s="3050"/>
      <c r="R33" s="3050"/>
      <c r="S33" s="3050"/>
      <c r="T33" s="3050"/>
      <c r="U33" s="3050"/>
    </row>
    <row r="34" spans="1:28">
      <c r="A34" s="3442"/>
      <c r="B34" s="1586" t="s">
        <v>1993</v>
      </c>
      <c r="C34" s="3443"/>
      <c r="D34" s="3444"/>
      <c r="E34" s="3070"/>
      <c r="F34" s="3070"/>
      <c r="G34" s="3070"/>
      <c r="H34" s="3070"/>
      <c r="I34" s="3074"/>
      <c r="J34" s="3070"/>
      <c r="K34" s="3056"/>
      <c r="L34" s="3050"/>
      <c r="M34" s="3050"/>
      <c r="N34" s="3050"/>
      <c r="O34" s="3050"/>
      <c r="P34" s="3050"/>
      <c r="Q34" s="3050"/>
      <c r="R34" s="3050"/>
      <c r="S34" s="3050"/>
      <c r="T34" s="3050"/>
      <c r="U34" s="3050"/>
    </row>
    <row r="35" spans="1:28">
      <c r="A35" s="3445" t="s">
        <v>839</v>
      </c>
      <c r="B35" s="1640"/>
      <c r="C35" s="1687" t="str">
        <f>IF(B35="场地平整","——","具体情况：")</f>
        <v>具体情况：</v>
      </c>
      <c r="D35" s="3447"/>
      <c r="E35" s="3448"/>
      <c r="F35" s="3448"/>
      <c r="G35" s="3448"/>
      <c r="H35" s="3448"/>
      <c r="I35" s="3449"/>
      <c r="J35" s="3070"/>
      <c r="K35" s="3057"/>
      <c r="L35" s="3049"/>
      <c r="M35" s="3049"/>
      <c r="N35" s="3050"/>
      <c r="O35" s="3051"/>
      <c r="P35" s="3050"/>
      <c r="Q35" s="3050"/>
      <c r="R35" s="3050"/>
      <c r="S35" s="3050"/>
      <c r="T35" s="3050"/>
      <c r="U35" s="3050"/>
    </row>
    <row r="36" spans="1:28">
      <c r="A36" s="3441"/>
      <c r="B36" s="3450" t="s">
        <v>2042</v>
      </c>
      <c r="C36" s="3451"/>
      <c r="D36" s="1703"/>
      <c r="E36" s="3452"/>
      <c r="F36" s="3452"/>
      <c r="G36" s="1609" t="str">
        <f>IF(B35="场地未平整","估价结果处理","")</f>
        <v/>
      </c>
      <c r="H36" s="3453"/>
      <c r="I36" s="3453"/>
      <c r="J36" s="3070"/>
      <c r="K36" s="3057"/>
      <c r="L36" s="3049"/>
      <c r="M36" s="3049"/>
      <c r="N36" s="3050"/>
      <c r="O36" s="3051"/>
      <c r="P36" s="3050"/>
      <c r="Q36" s="3050"/>
      <c r="R36" s="3050"/>
      <c r="S36" s="3050"/>
      <c r="T36" s="3050"/>
      <c r="U36" s="3050"/>
    </row>
    <row r="37" spans="1:28" ht="28.5">
      <c r="A37" s="3441"/>
      <c r="B37" s="3471" t="s">
        <v>840</v>
      </c>
      <c r="C37" s="1642" t="s">
        <v>841</v>
      </c>
      <c r="D37" s="1643"/>
      <c r="E37" s="1644"/>
      <c r="F37" s="3070"/>
      <c r="G37" s="3070"/>
      <c r="H37" s="3070"/>
      <c r="I37" s="3074"/>
      <c r="J37" s="3070"/>
      <c r="K37" s="3057"/>
      <c r="L37" s="3050"/>
      <c r="M37" s="3050"/>
      <c r="N37" s="3050"/>
      <c r="O37" s="3050"/>
      <c r="P37" s="3050"/>
      <c r="Q37" s="3050"/>
      <c r="R37" s="3050"/>
      <c r="S37" s="3050"/>
      <c r="T37" s="3050"/>
      <c r="U37" s="3050"/>
    </row>
    <row r="38" spans="1:28">
      <c r="A38" s="3441"/>
      <c r="B38" s="3472"/>
      <c r="C38" s="1594" t="s">
        <v>842</v>
      </c>
      <c r="D38" s="1702">
        <f>ROUNDDOWN(MIN(('数据-取费表'!$B$2-D37)/365,D34),1)</f>
        <v>120.8</v>
      </c>
      <c r="E38" s="1645" t="s">
        <v>843</v>
      </c>
      <c r="F38" s="3070"/>
      <c r="G38" s="3070"/>
      <c r="H38" s="3070"/>
      <c r="I38" s="3074"/>
      <c r="J38" s="3070"/>
      <c r="K38" s="3057"/>
      <c r="L38" s="3050"/>
      <c r="M38" s="3050"/>
      <c r="N38" s="3050"/>
      <c r="O38" s="3050"/>
      <c r="P38" s="3050"/>
      <c r="Q38" s="3050"/>
      <c r="R38" s="3050"/>
      <c r="S38" s="3050"/>
      <c r="T38" s="3050"/>
      <c r="U38" s="3050"/>
    </row>
    <row r="39" spans="1:28">
      <c r="A39" s="3442"/>
      <c r="B39" s="3473"/>
      <c r="C39" s="1616" t="str">
        <f>IF(D38&lt;1,"不存在土地闲置",IF(B35="宗地内已开工建设","已开工，不存在土地闲置","估价对象已涉嫌土地闲置"))</f>
        <v>估价对象已涉嫌土地闲置</v>
      </c>
      <c r="D39" s="1646"/>
      <c r="E39" s="1647"/>
      <c r="F39" s="3070"/>
      <c r="G39" s="3070"/>
      <c r="H39" s="3070"/>
      <c r="I39" s="3074"/>
      <c r="J39" s="3070"/>
      <c r="K39" s="3053"/>
      <c r="L39" s="3049"/>
      <c r="M39" s="3049"/>
      <c r="N39" s="3050"/>
      <c r="O39" s="3051"/>
      <c r="P39" s="3050"/>
      <c r="Q39" s="3050"/>
      <c r="R39" s="3050"/>
      <c r="S39" s="3050"/>
      <c r="T39" s="3050"/>
      <c r="U39" s="3050"/>
    </row>
    <row r="40" spans="1:28">
      <c r="A40" s="1609" t="s">
        <v>1965</v>
      </c>
      <c r="B40" s="1610"/>
      <c r="C40" s="1610"/>
      <c r="D40" s="1610"/>
      <c r="E40" s="1610"/>
      <c r="F40" s="1610"/>
      <c r="G40" s="1610"/>
      <c r="H40" s="1610"/>
      <c r="I40" s="3074"/>
      <c r="J40" s="3070"/>
      <c r="K40" s="3018">
        <f>COUNTIF(B40:H40,"——")</f>
        <v>0</v>
      </c>
      <c r="L40" s="1618" t="s">
        <v>1966</v>
      </c>
      <c r="M40" s="1615" t="s">
        <v>1967</v>
      </c>
      <c r="N40" s="1615" t="s">
        <v>1968</v>
      </c>
      <c r="O40" s="1615" t="s">
        <v>1969</v>
      </c>
      <c r="P40" s="1615" t="s">
        <v>1970</v>
      </c>
      <c r="Q40" s="1615" t="s">
        <v>1971</v>
      </c>
      <c r="R40" s="1615" t="s">
        <v>1972</v>
      </c>
      <c r="S40" s="3454" t="s">
        <v>1973</v>
      </c>
      <c r="T40" s="1649" t="str">
        <f>NUMBERSTRING(7-K40,1)&amp;"通"</f>
        <v>七通</v>
      </c>
      <c r="U40" s="3050"/>
    </row>
    <row r="41" spans="1:28">
      <c r="A41" s="1588"/>
      <c r="B41" s="3446" t="s">
        <v>1711</v>
      </c>
      <c r="C41" s="3446"/>
      <c r="D41" s="3446"/>
      <c r="E41" s="3446"/>
      <c r="F41" s="1650" t="str">
        <f>C10</f>
        <v>河北省</v>
      </c>
      <c r="G41" s="3070"/>
      <c r="H41" s="3070"/>
      <c r="I41" s="3074"/>
      <c r="J41" s="3070"/>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54"/>
      <c r="T41" s="1651" t="str">
        <f>IF(T40="一通",L41,IF(T40="二通",M41,IF(T40="三通",N41,IF(T40="四通",O41,IF(T40="五通",P41,IF(T40="六通",Q41,R41))))))</f>
        <v>、、、、、、</v>
      </c>
      <c r="U41" s="3050"/>
    </row>
    <row r="42" spans="1:28">
      <c r="A42" s="1653"/>
      <c r="B42" s="1680" t="s">
        <v>1887</v>
      </c>
      <c r="C42" s="1680" t="s">
        <v>1888</v>
      </c>
      <c r="D42" s="1680" t="s">
        <v>1889</v>
      </c>
      <c r="E42" s="1618" t="s">
        <v>1890</v>
      </c>
      <c r="F42" s="1654"/>
      <c r="G42" s="3070"/>
      <c r="H42" s="3070"/>
      <c r="I42" s="3074"/>
      <c r="J42" s="3070"/>
      <c r="K42" s="3053"/>
      <c r="L42" s="3049"/>
      <c r="M42" s="3049"/>
      <c r="N42" s="3050"/>
      <c r="O42" s="3051"/>
      <c r="P42" s="3050"/>
      <c r="Q42" s="3050"/>
      <c r="R42" s="3050"/>
      <c r="S42" s="3050"/>
      <c r="T42" s="3050"/>
      <c r="U42" s="3050"/>
    </row>
    <row r="43" spans="1:28">
      <c r="A43" s="3021" t="s">
        <v>1696</v>
      </c>
      <c r="B43" s="1655"/>
      <c r="C43" s="1655"/>
      <c r="D43" s="1655"/>
      <c r="E43" s="1655"/>
      <c r="F43" s="1656"/>
      <c r="G43" s="3070"/>
      <c r="H43" s="3070"/>
      <c r="I43" s="3074"/>
      <c r="J43" s="3070"/>
      <c r="K43" s="3053"/>
      <c r="L43" s="3049"/>
      <c r="M43" s="3049"/>
      <c r="N43" s="3050"/>
      <c r="O43" s="3051"/>
      <c r="P43" s="3050"/>
      <c r="Q43" s="3050"/>
      <c r="R43" s="3050"/>
      <c r="S43" s="3050"/>
      <c r="T43" s="3050"/>
      <c r="U43" s="3050"/>
    </row>
    <row r="44" spans="1:28">
      <c r="A44" s="3021" t="s">
        <v>1697</v>
      </c>
      <c r="B44" s="1655"/>
      <c r="C44" s="1655"/>
      <c r="D44" s="1655"/>
      <c r="E44" s="1703"/>
      <c r="F44" s="1656"/>
      <c r="G44" s="3070"/>
      <c r="H44" s="3070"/>
      <c r="I44" s="3074"/>
      <c r="J44" s="3070"/>
      <c r="K44" s="3053"/>
      <c r="L44" s="3049"/>
      <c r="M44" s="3049"/>
      <c r="N44" s="3050"/>
      <c r="O44" s="3051"/>
      <c r="P44" s="3050"/>
      <c r="Q44" s="3050"/>
      <c r="R44" s="3050"/>
      <c r="S44" s="3050"/>
      <c r="T44" s="3050"/>
      <c r="U44" s="3050"/>
    </row>
    <row r="45" spans="1:28" s="2769" customFormat="1" ht="21" thickBot="1">
      <c r="A45" s="2770" t="s">
        <v>2864</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3"/>
      <c r="B46" s="1613"/>
      <c r="C46" s="1613"/>
      <c r="D46" s="1613"/>
      <c r="E46" s="1613"/>
      <c r="F46" s="1613"/>
      <c r="G46" s="1613"/>
      <c r="H46" s="1613"/>
      <c r="I46" s="1625"/>
      <c r="J46" s="1613"/>
      <c r="K46" s="3053"/>
      <c r="L46" s="3049"/>
      <c r="M46" s="3049"/>
      <c r="N46" s="3050"/>
      <c r="O46" s="3051"/>
      <c r="P46" s="3050"/>
      <c r="Q46" s="3050"/>
      <c r="R46" s="3050"/>
      <c r="S46" s="3050"/>
      <c r="T46" s="3050"/>
      <c r="U46" s="3050"/>
    </row>
    <row r="47" spans="1:28">
      <c r="A47" s="1657" t="s">
        <v>1994</v>
      </c>
      <c r="B47" s="1658"/>
      <c r="C47" s="1647"/>
      <c r="D47" s="1613"/>
      <c r="E47" s="1613"/>
      <c r="F47" s="1613"/>
      <c r="G47" s="1613"/>
      <c r="H47" s="1613"/>
      <c r="I47" s="1614"/>
      <c r="J47" s="1613"/>
      <c r="K47" s="3053"/>
      <c r="L47" s="3049"/>
      <c r="M47" s="3049"/>
      <c r="N47" s="3050"/>
      <c r="O47" s="3051"/>
      <c r="P47" s="3050"/>
      <c r="Q47" s="3050"/>
      <c r="R47" s="3050"/>
      <c r="S47" s="3050"/>
      <c r="T47" s="3050"/>
      <c r="U47" s="3050"/>
    </row>
    <row r="48" spans="1:28" ht="28.5">
      <c r="A48" s="1618" t="s">
        <v>1995</v>
      </c>
      <c r="B48" s="1608" t="s">
        <v>1996</v>
      </c>
      <c r="C48" s="1608" t="s">
        <v>1997</v>
      </c>
      <c r="D48" s="1608" t="s">
        <v>1998</v>
      </c>
      <c r="E48" s="1608" t="s">
        <v>1999</v>
      </c>
      <c r="F48" s="1608" t="s">
        <v>2000</v>
      </c>
      <c r="G48" s="1608" t="s">
        <v>2001</v>
      </c>
      <c r="H48" s="1608" t="s">
        <v>2002</v>
      </c>
      <c r="I48" s="1608" t="s">
        <v>2003</v>
      </c>
      <c r="J48" s="1686" t="s">
        <v>2004</v>
      </c>
      <c r="K48" s="3063" t="s">
        <v>2005</v>
      </c>
      <c r="L48" s="3063" t="s">
        <v>2006</v>
      </c>
      <c r="M48" s="3063" t="s">
        <v>2007</v>
      </c>
      <c r="N48" s="3064" t="s">
        <v>2008</v>
      </c>
      <c r="O48" s="3064" t="s">
        <v>2009</v>
      </c>
      <c r="P48" s="3064" t="s">
        <v>2010</v>
      </c>
      <c r="Q48" s="3055" t="s">
        <v>2011</v>
      </c>
      <c r="R48" s="3055" t="s">
        <v>2012</v>
      </c>
      <c r="S48" s="3050"/>
      <c r="T48" s="3050"/>
      <c r="U48" s="3050"/>
    </row>
    <row r="49" spans="1:21">
      <c r="A49" s="1615"/>
      <c r="B49" s="1648"/>
      <c r="C49" s="1648"/>
      <c r="D49" s="1648"/>
      <c r="E49" s="1648"/>
      <c r="F49" s="1648"/>
      <c r="G49" s="1648"/>
      <c r="H49" s="1648"/>
      <c r="I49" s="1648"/>
      <c r="J49" s="1750"/>
      <c r="K49" s="3065"/>
      <c r="L49" s="3065"/>
      <c r="M49" s="1654"/>
      <c r="N49" s="1654"/>
      <c r="O49" s="1654"/>
      <c r="P49" s="1654"/>
      <c r="Q49" s="1654"/>
      <c r="R49" s="1654"/>
      <c r="S49" s="3050"/>
      <c r="T49" s="3050"/>
      <c r="U49" s="3050"/>
    </row>
    <row r="50" spans="1:21">
      <c r="A50" s="1615"/>
      <c r="B50" s="1615"/>
      <c r="C50" s="1648"/>
      <c r="D50" s="1648"/>
      <c r="E50" s="1648"/>
      <c r="F50" s="1648"/>
      <c r="G50" s="1648"/>
      <c r="H50" s="1648"/>
      <c r="I50" s="1648"/>
      <c r="J50" s="1750"/>
      <c r="K50" s="3065"/>
      <c r="L50" s="3065"/>
      <c r="M50" s="1654"/>
      <c r="N50" s="1654"/>
      <c r="O50" s="1654"/>
      <c r="P50" s="1654"/>
      <c r="Q50" s="1654"/>
      <c r="R50" s="1654"/>
      <c r="S50" s="3050"/>
      <c r="T50" s="3050"/>
      <c r="U50" s="3050"/>
    </row>
    <row r="51" spans="1:21">
      <c r="A51" s="1615"/>
      <c r="B51" s="1615"/>
      <c r="C51" s="1648"/>
      <c r="D51" s="1648"/>
      <c r="E51" s="1648"/>
      <c r="F51" s="1648"/>
      <c r="G51" s="1648"/>
      <c r="H51" s="1648"/>
      <c r="I51" s="1648"/>
      <c r="J51" s="1750"/>
      <c r="K51" s="3065"/>
      <c r="L51" s="3065"/>
      <c r="M51" s="1654"/>
      <c r="N51" s="1654"/>
      <c r="O51" s="1654"/>
      <c r="P51" s="1654"/>
      <c r="Q51" s="1654"/>
      <c r="R51" s="1654"/>
      <c r="S51" s="3050"/>
      <c r="T51" s="3050"/>
      <c r="U51" s="3050"/>
    </row>
    <row r="52" spans="1:21">
      <c r="A52" s="1615"/>
      <c r="B52" s="1615"/>
      <c r="C52" s="1648"/>
      <c r="D52" s="1648"/>
      <c r="E52" s="1648"/>
      <c r="F52" s="1648"/>
      <c r="G52" s="1648"/>
      <c r="H52" s="1648"/>
      <c r="I52" s="1648"/>
      <c r="J52" s="1750"/>
      <c r="K52" s="3065"/>
      <c r="L52" s="3065"/>
      <c r="M52" s="1654"/>
      <c r="N52" s="1654"/>
      <c r="O52" s="1654"/>
      <c r="P52" s="1654"/>
      <c r="Q52" s="1654"/>
      <c r="R52" s="1654"/>
      <c r="S52" s="3050"/>
      <c r="T52" s="3050"/>
      <c r="U52" s="3050"/>
    </row>
    <row r="53" spans="1:21">
      <c r="A53" s="1615"/>
      <c r="B53" s="1615"/>
      <c r="C53" s="1648"/>
      <c r="D53" s="1648"/>
      <c r="E53" s="1648"/>
      <c r="F53" s="1648"/>
      <c r="G53" s="1648"/>
      <c r="H53" s="1648"/>
      <c r="I53" s="1648"/>
      <c r="J53" s="1750"/>
      <c r="K53" s="3065"/>
      <c r="L53" s="3065"/>
      <c r="M53" s="1654"/>
      <c r="N53" s="1654"/>
      <c r="O53" s="1654"/>
      <c r="P53" s="1654"/>
      <c r="Q53" s="1654"/>
      <c r="R53" s="1654"/>
      <c r="S53" s="3050"/>
      <c r="T53" s="3050"/>
      <c r="U53" s="3050"/>
    </row>
    <row r="54" spans="1:21">
      <c r="A54" s="1615"/>
      <c r="B54" s="1615"/>
      <c r="C54" s="1615"/>
      <c r="D54" s="1615"/>
      <c r="E54" s="1615"/>
      <c r="F54" s="1648"/>
      <c r="G54" s="1615"/>
      <c r="H54" s="1615"/>
      <c r="I54" s="1615"/>
      <c r="J54" s="1751"/>
      <c r="K54" s="3065"/>
      <c r="L54" s="3065"/>
      <c r="M54" s="3065"/>
      <c r="N54" s="3017"/>
      <c r="O54" s="3017"/>
      <c r="P54" s="3017"/>
      <c r="Q54" s="3017"/>
      <c r="R54" s="3017"/>
      <c r="S54" s="3050"/>
      <c r="T54" s="3050"/>
      <c r="U54" s="3050"/>
    </row>
    <row r="55" spans="1:21">
      <c r="A55" s="1615"/>
      <c r="B55" s="1615"/>
      <c r="C55" s="1615"/>
      <c r="D55" s="1615"/>
      <c r="E55" s="1615"/>
      <c r="F55" s="1648"/>
      <c r="G55" s="1615"/>
      <c r="H55" s="1615"/>
      <c r="I55" s="1615"/>
      <c r="J55" s="1751"/>
      <c r="K55" s="3065"/>
      <c r="L55" s="3065"/>
      <c r="M55" s="3065"/>
      <c r="N55" s="3017"/>
      <c r="O55" s="3017"/>
      <c r="P55" s="3017"/>
      <c r="Q55" s="3017"/>
      <c r="R55" s="3017"/>
      <c r="S55" s="3050"/>
      <c r="T55" s="3050"/>
      <c r="U55" s="3050"/>
    </row>
    <row r="56" spans="1:21">
      <c r="A56" s="1615"/>
      <c r="B56" s="1615"/>
      <c r="C56" s="1615"/>
      <c r="D56" s="1615"/>
      <c r="E56" s="1615"/>
      <c r="F56" s="1648"/>
      <c r="G56" s="1615"/>
      <c r="H56" s="1615"/>
      <c r="I56" s="1615"/>
      <c r="J56" s="1751"/>
      <c r="K56" s="3065"/>
      <c r="L56" s="3065"/>
      <c r="M56" s="3065"/>
      <c r="N56" s="3017"/>
      <c r="O56" s="3017"/>
      <c r="P56" s="3017"/>
      <c r="Q56" s="3017"/>
      <c r="R56" s="3017"/>
      <c r="S56" s="3050"/>
      <c r="T56" s="3050"/>
      <c r="U56" s="3050"/>
    </row>
    <row r="57" spans="1:21">
      <c r="A57" s="1615"/>
      <c r="B57" s="1615"/>
      <c r="C57" s="1615"/>
      <c r="D57" s="1615"/>
      <c r="E57" s="1615"/>
      <c r="F57" s="1648"/>
      <c r="G57" s="1615"/>
      <c r="H57" s="1615"/>
      <c r="I57" s="1615"/>
      <c r="J57" s="1751"/>
      <c r="K57" s="3065"/>
      <c r="L57" s="3065"/>
      <c r="M57" s="3065"/>
      <c r="N57" s="3017"/>
      <c r="O57" s="3017"/>
      <c r="P57" s="3017"/>
      <c r="Q57" s="3017"/>
      <c r="R57" s="3017"/>
      <c r="S57" s="3050"/>
      <c r="T57" s="3050"/>
      <c r="U57" s="3050"/>
    </row>
    <row r="58" spans="1:21">
      <c r="A58" s="1615"/>
      <c r="B58" s="1615"/>
      <c r="C58" s="1615"/>
      <c r="D58" s="1615"/>
      <c r="E58" s="1615"/>
      <c r="F58" s="1648"/>
      <c r="G58" s="1615"/>
      <c r="H58" s="1615"/>
      <c r="I58" s="1615"/>
      <c r="J58" s="1751"/>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U19" sqref="U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2320</v>
      </c>
      <c r="BA2" s="2217" t="s">
        <v>2319</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地块指标20210118!C7</f>
        <v>98307</v>
      </c>
      <c r="B3" s="22">
        <f>IF(C3="否",G5-AT5,G5)</f>
        <v>196602</v>
      </c>
      <c r="C3" s="23"/>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196602</v>
      </c>
      <c r="H5" s="27">
        <f t="shared" ref="H5:AT5" si="0">SUM(H13:H641)</f>
        <v>190768</v>
      </c>
      <c r="I5" s="27">
        <f t="shared" si="0"/>
        <v>188593</v>
      </c>
      <c r="J5" s="27">
        <f t="shared" si="0"/>
        <v>0</v>
      </c>
      <c r="K5" s="27">
        <f t="shared" si="0"/>
        <v>2175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5834</v>
      </c>
      <c r="AD5" s="27">
        <f t="shared" si="0"/>
        <v>0</v>
      </c>
      <c r="AE5" s="27">
        <f t="shared" si="0"/>
        <v>0</v>
      </c>
      <c r="AF5" s="27">
        <f t="shared" si="0"/>
        <v>0</v>
      </c>
      <c r="AG5" s="27">
        <f t="shared" si="0"/>
        <v>0</v>
      </c>
      <c r="AH5" s="27">
        <f t="shared" si="0"/>
        <v>0</v>
      </c>
      <c r="AI5" s="27">
        <f t="shared" si="0"/>
        <v>0</v>
      </c>
      <c r="AJ5" s="27">
        <f t="shared" si="0"/>
        <v>0</v>
      </c>
      <c r="AK5" s="27">
        <f t="shared" si="0"/>
        <v>0</v>
      </c>
      <c r="AL5" s="27">
        <f t="shared" si="0"/>
        <v>5834</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196602</v>
      </c>
      <c r="BA5" s="29">
        <f t="shared" si="1"/>
        <v>190768</v>
      </c>
      <c r="BB5" s="29">
        <f t="shared" si="1"/>
        <v>188593</v>
      </c>
      <c r="BC5" s="29">
        <f t="shared" si="1"/>
        <v>2175</v>
      </c>
      <c r="BD5" s="29">
        <f t="shared" si="1"/>
        <v>0</v>
      </c>
      <c r="BE5" s="29">
        <f t="shared" si="1"/>
        <v>0</v>
      </c>
      <c r="BF5" s="29">
        <f t="shared" si="1"/>
        <v>0</v>
      </c>
      <c r="BG5" s="29">
        <f t="shared" si="1"/>
        <v>0</v>
      </c>
      <c r="BH5" s="29">
        <f t="shared" si="1"/>
        <v>0</v>
      </c>
      <c r="BI5" s="29">
        <f t="shared" si="1"/>
        <v>0</v>
      </c>
      <c r="BJ5" s="29">
        <f t="shared" si="1"/>
        <v>0</v>
      </c>
      <c r="BK5" s="29">
        <f t="shared" si="1"/>
        <v>0</v>
      </c>
      <c r="BL5" s="29">
        <f t="shared" si="1"/>
        <v>5834</v>
      </c>
      <c r="BM5" s="29">
        <f t="shared" si="1"/>
        <v>0</v>
      </c>
      <c r="BN5" s="29">
        <f t="shared" si="1"/>
        <v>0</v>
      </c>
      <c r="BO5" s="29">
        <f t="shared" si="1"/>
        <v>0</v>
      </c>
      <c r="BP5" s="29">
        <f t="shared" si="1"/>
        <v>0</v>
      </c>
      <c r="BQ5" s="29">
        <f t="shared" si="1"/>
        <v>5834</v>
      </c>
      <c r="BR5" s="29">
        <f t="shared" si="1"/>
        <v>0</v>
      </c>
      <c r="BS5" s="29">
        <f t="shared" si="1"/>
        <v>0</v>
      </c>
      <c r="BT5" s="30">
        <f t="shared" si="1"/>
        <v>0</v>
      </c>
    </row>
    <row r="6" spans="1:72" s="37" customFormat="1" ht="12.75">
      <c r="A6" s="26" t="s">
        <v>169</v>
      </c>
      <c r="B6" s="31"/>
      <c r="C6" s="31"/>
      <c r="D6" s="32"/>
      <c r="E6" s="27">
        <f>H6+AC6+AT6</f>
        <v>98307.01</v>
      </c>
      <c r="F6" s="27" t="s">
        <v>1</v>
      </c>
      <c r="G6" s="27" t="s">
        <v>2</v>
      </c>
      <c r="H6" s="33">
        <f>SUMIF(I$12:AB$12,"总值",I6:AB6)</f>
        <v>95389.83</v>
      </c>
      <c r="I6" s="27">
        <f t="shared" ref="I6:AB6" si="2">ROUND($A$3*I5/$B$3,2)</f>
        <v>94302.26</v>
      </c>
      <c r="J6" s="27">
        <f t="shared" si="2"/>
        <v>0</v>
      </c>
      <c r="K6" s="27">
        <f t="shared" si="2"/>
        <v>1087.57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2917.18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2917.18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98307</v>
      </c>
      <c r="AZ6" s="27" t="s">
        <v>3</v>
      </c>
      <c r="BA6" s="27">
        <f>ROUND($AY$6*BA5/$AZ$5,2)</f>
        <v>95389.82</v>
      </c>
      <c r="BB6" s="27">
        <f>ROUND($AY$6*BB5/$AZ$5,2)</f>
        <v>94302.26</v>
      </c>
      <c r="BC6" s="27">
        <f t="shared" ref="BC6:BH6" si="4">ROUND($AY$6*BC5/$AZ$5,2)</f>
        <v>1087.57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2917.18</v>
      </c>
      <c r="BM6" s="27">
        <f t="shared" si="5"/>
        <v>0</v>
      </c>
      <c r="BN6" s="27">
        <f t="shared" si="5"/>
        <v>0</v>
      </c>
      <c r="BO6" s="27">
        <f t="shared" si="5"/>
        <v>0</v>
      </c>
      <c r="BP6" s="27">
        <f t="shared" si="5"/>
        <v>0</v>
      </c>
      <c r="BQ6" s="27">
        <f t="shared" si="5"/>
        <v>2917.18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3322</v>
      </c>
      <c r="J9" s="51"/>
      <c r="K9" s="2728" t="s">
        <v>3322</v>
      </c>
      <c r="L9" s="51"/>
      <c r="M9" s="2728" t="s">
        <v>3322</v>
      </c>
      <c r="N9" s="51"/>
      <c r="O9" s="59" t="s">
        <v>3322</v>
      </c>
      <c r="P9" s="51"/>
      <c r="Q9" s="59" t="s">
        <v>3322</v>
      </c>
      <c r="R9" s="51"/>
      <c r="S9" s="59" t="s">
        <v>3322</v>
      </c>
      <c r="T9" s="51"/>
      <c r="U9" s="59" t="s">
        <v>3518</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3294</v>
      </c>
      <c r="L10" s="51"/>
      <c r="M10" s="2730" t="s">
        <v>3294</v>
      </c>
      <c r="N10" s="51"/>
      <c r="O10" s="66" t="s">
        <v>1668</v>
      </c>
      <c r="P10" s="51"/>
      <c r="Q10" s="66" t="s">
        <v>914</v>
      </c>
      <c r="R10" s="51"/>
      <c r="S10" s="66" t="s">
        <v>3294</v>
      </c>
      <c r="T10" s="51"/>
      <c r="U10" s="66" t="s">
        <v>3519</v>
      </c>
      <c r="V10" s="51"/>
      <c r="W10" s="66"/>
      <c r="X10" s="51"/>
      <c r="Y10" s="66"/>
      <c r="Z10" s="51"/>
      <c r="AA10" s="66"/>
      <c r="AB10" s="51"/>
      <c r="AC10" s="55"/>
      <c r="AD10" s="2191" t="s">
        <v>2304</v>
      </c>
      <c r="AE10" s="2213"/>
      <c r="AF10" s="2191" t="s">
        <v>2304</v>
      </c>
      <c r="AG10" s="2213"/>
      <c r="AH10" s="2191" t="s">
        <v>2305</v>
      </c>
      <c r="AI10" s="2213"/>
      <c r="AJ10" s="26" t="s">
        <v>2318</v>
      </c>
      <c r="AK10" s="2210"/>
      <c r="AL10" s="2191" t="s">
        <v>2306</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3323</v>
      </c>
      <c r="J11" s="71"/>
      <c r="K11" s="2729" t="s">
        <v>3324</v>
      </c>
      <c r="L11" s="71"/>
      <c r="M11" s="70" t="s">
        <v>3299</v>
      </c>
      <c r="N11" s="71"/>
      <c r="O11" s="70"/>
      <c r="P11" s="71"/>
      <c r="Q11" s="70" t="s">
        <v>3320</v>
      </c>
      <c r="R11" s="71"/>
      <c r="S11" s="70" t="s">
        <v>3441</v>
      </c>
      <c r="T11" s="71"/>
      <c r="U11" s="70"/>
      <c r="V11" s="71"/>
      <c r="W11" s="70"/>
      <c r="X11" s="71"/>
      <c r="Y11" s="70"/>
      <c r="Z11" s="71"/>
      <c r="AA11" s="70"/>
      <c r="AB11" s="71"/>
      <c r="AC11" s="55"/>
      <c r="AD11" s="2211" t="s">
        <v>2317</v>
      </c>
      <c r="AE11" s="988"/>
      <c r="AF11" s="2211" t="s">
        <v>2317</v>
      </c>
      <c r="AG11" s="988"/>
      <c r="AH11" s="2211" t="s">
        <v>2316</v>
      </c>
      <c r="AI11" s="2212"/>
      <c r="AJ11" s="2211" t="s">
        <v>2316</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商业</v>
      </c>
      <c r="BD11" s="50" t="str">
        <f>M10</f>
        <v>商业</v>
      </c>
      <c r="BE11" s="50" t="str">
        <f>O10</f>
        <v>办公</v>
      </c>
      <c r="BF11" s="50" t="str">
        <f>Q10</f>
        <v>住宅</v>
      </c>
      <c r="BG11" s="50" t="str">
        <f>S10</f>
        <v>商业</v>
      </c>
      <c r="BH11" s="50" t="str">
        <f>U10</f>
        <v>车库</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普通住宅</v>
      </c>
      <c r="BC12" s="79" t="str">
        <f>K11</f>
        <v>底商</v>
      </c>
      <c r="BD12" s="79" t="str">
        <f>M11</f>
        <v>独立商业</v>
      </c>
      <c r="BE12" s="50">
        <f>O11</f>
        <v>0</v>
      </c>
      <c r="BF12" s="50" t="str">
        <f>Q11</f>
        <v>公寓</v>
      </c>
      <c r="BG12" s="50" t="str">
        <f>S11</f>
        <v>酒店</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3"/>
      <c r="B13" s="2723"/>
      <c r="C13" s="2723"/>
      <c r="D13" s="2724" t="s">
        <v>1669</v>
      </c>
      <c r="E13" s="27">
        <f t="shared" ref="E13:E20" si="6">IF($C$3="是",ROUND($A$3*G13/$B$3,2),ROUND($A$3*(G13-AT13)/$B$3,2))</f>
        <v>98307</v>
      </c>
      <c r="F13" s="81"/>
      <c r="G13" s="82">
        <f t="shared" ref="G13:G20" si="7">H13+AC13+AT13</f>
        <v>196602</v>
      </c>
      <c r="H13" s="33">
        <f t="shared" ref="H13:H20" si="8">SUMIF(I$12:AB$12,"总值",I13:AB13)</f>
        <v>190768</v>
      </c>
      <c r="I13" s="2727">
        <v>188593</v>
      </c>
      <c r="J13" s="2727"/>
      <c r="K13" s="2727">
        <v>2175</v>
      </c>
      <c r="L13" s="2727"/>
      <c r="M13" s="2727">
        <f>面积拆分!C16</f>
        <v>0</v>
      </c>
      <c r="N13" s="83"/>
      <c r="O13" s="83">
        <f>面积拆分!C17</f>
        <v>0</v>
      </c>
      <c r="P13" s="83"/>
      <c r="Q13" s="83">
        <f>面积拆分!C19</f>
        <v>0</v>
      </c>
      <c r="R13" s="83"/>
      <c r="S13" s="83">
        <f>面积拆分!C18</f>
        <v>0</v>
      </c>
      <c r="T13" s="83"/>
      <c r="U13" s="83"/>
      <c r="V13" s="83"/>
      <c r="W13" s="83"/>
      <c r="X13" s="83"/>
      <c r="Y13" s="83"/>
      <c r="Z13" s="83"/>
      <c r="AA13" s="83"/>
      <c r="AB13" s="83"/>
      <c r="AC13" s="27">
        <f t="shared" ref="AC13:AC20" si="9">SUMIF(AD$12:AS$12,"总值",AD13:AS13)</f>
        <v>5834</v>
      </c>
      <c r="AD13" s="2731"/>
      <c r="AE13" s="2731"/>
      <c r="AF13" s="2731"/>
      <c r="AG13" s="2731"/>
      <c r="AH13" s="2731"/>
      <c r="AI13" s="2731"/>
      <c r="AJ13" s="2731"/>
      <c r="AK13" s="2731"/>
      <c r="AL13" s="2731">
        <f>196602-I13-K13</f>
        <v>5834</v>
      </c>
      <c r="AM13" s="2731"/>
      <c r="AN13" s="2731"/>
      <c r="AO13" s="2731"/>
      <c r="AP13" s="2731"/>
      <c r="AQ13" s="2731"/>
      <c r="AR13" s="2731"/>
      <c r="AS13" s="2731"/>
      <c r="AT13" s="2732"/>
      <c r="AU13" s="2733"/>
      <c r="AV13" s="17">
        <f t="shared" ref="AV13:AX20" si="10">A13</f>
        <v>0</v>
      </c>
      <c r="AW13" s="17">
        <f t="shared" si="10"/>
        <v>0</v>
      </c>
      <c r="AX13" s="17">
        <f t="shared" si="10"/>
        <v>0</v>
      </c>
      <c r="AY13" s="982">
        <f t="shared" ref="AY13:AY20" si="11">ROUND($AY$6*AZ13/$AZ$5,2)</f>
        <v>98307</v>
      </c>
      <c r="AZ13" s="27">
        <f t="shared" ref="AZ13:AZ20" si="12">BA13+BL13</f>
        <v>196602</v>
      </c>
      <c r="BA13" s="27">
        <f t="shared" ref="BA13:BA20" si="13">SUM(BB13:BK13)</f>
        <v>190768</v>
      </c>
      <c r="BB13" s="27">
        <f t="shared" ref="BB13:BB20" si="14">IF($D13="是",I13-J13,0)</f>
        <v>188593</v>
      </c>
      <c r="BC13" s="27">
        <f t="shared" ref="BC13:BC20" si="15">IF($D13="是",K13-L13,0)</f>
        <v>2175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5834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5834</v>
      </c>
      <c r="BR13" s="27">
        <f t="shared" ref="BR13:BR20" si="30">IF($D13="是",AN13-AO13,0)</f>
        <v>0</v>
      </c>
      <c r="BS13" s="27">
        <f t="shared" ref="BS13:BS20" si="31">IF($D13="是",AP13-AQ13,0)</f>
        <v>0</v>
      </c>
      <c r="BT13" s="36">
        <f t="shared" ref="BT13:BT20" si="32">IF($D13="是",AR13-AS13,0)</f>
        <v>0</v>
      </c>
    </row>
    <row r="14" spans="1:72" s="18" customFormat="1" ht="12.75">
      <c r="A14" s="2723"/>
      <c r="B14" s="2723"/>
      <c r="C14" s="2725"/>
      <c r="D14" s="2724"/>
      <c r="E14" s="27">
        <f t="shared" si="6"/>
        <v>0</v>
      </c>
      <c r="F14" s="81"/>
      <c r="G14" s="82">
        <f t="shared" si="7"/>
        <v>0</v>
      </c>
      <c r="H14" s="33">
        <f t="shared" si="8"/>
        <v>0</v>
      </c>
      <c r="I14" s="2727"/>
      <c r="J14" s="2727"/>
      <c r="K14" s="2727"/>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3"/>
      <c r="B15" s="2723"/>
      <c r="C15" s="2725"/>
      <c r="D15" s="2724"/>
      <c r="E15" s="27">
        <f t="shared" si="6"/>
        <v>0</v>
      </c>
      <c r="F15" s="81"/>
      <c r="G15" s="82">
        <f t="shared" si="7"/>
        <v>0</v>
      </c>
      <c r="H15" s="33">
        <f t="shared" si="8"/>
        <v>0</v>
      </c>
      <c r="I15" s="2727"/>
      <c r="J15" s="2727"/>
      <c r="K15" s="2727"/>
      <c r="L15" s="2727"/>
      <c r="M15" s="2727"/>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3"/>
      <c r="B16" s="2723"/>
      <c r="C16" s="2725"/>
      <c r="D16" s="2724"/>
      <c r="E16" s="27">
        <f t="shared" si="6"/>
        <v>0</v>
      </c>
      <c r="F16" s="81"/>
      <c r="G16" s="82">
        <f t="shared" si="7"/>
        <v>0</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3"/>
      <c r="B17" s="2723"/>
      <c r="C17" s="2725"/>
      <c r="D17" s="2724"/>
      <c r="E17" s="27">
        <f t="shared" si="6"/>
        <v>0</v>
      </c>
      <c r="F17" s="81"/>
      <c r="G17" s="82">
        <f t="shared" si="7"/>
        <v>0</v>
      </c>
      <c r="H17" s="33">
        <f t="shared" si="8"/>
        <v>0</v>
      </c>
      <c r="I17" s="2727"/>
      <c r="J17" s="2727"/>
      <c r="K17" s="2727"/>
      <c r="L17" s="2727"/>
      <c r="M17" s="2727"/>
      <c r="N17" s="83"/>
      <c r="O17" s="83"/>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6"/>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5"/>
      <c r="AM18" s="92"/>
      <c r="AN18" s="1341"/>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5"/>
      <c r="N22" s="91"/>
      <c r="O22" s="91"/>
      <c r="P22" s="91"/>
      <c r="Q22" s="91"/>
      <c r="R22" s="91"/>
      <c r="S22" s="91"/>
      <c r="T22" s="91"/>
      <c r="U22" s="91"/>
      <c r="V22" s="91"/>
      <c r="W22" s="91"/>
      <c r="X22" s="91"/>
      <c r="Y22" s="91"/>
      <c r="Z22" s="91"/>
      <c r="AA22" s="91"/>
      <c r="AB22" s="91"/>
      <c r="AC22" s="87">
        <f t="shared" si="36"/>
        <v>0</v>
      </c>
      <c r="AD22" s="1315"/>
      <c r="AE22" s="92"/>
      <c r="AF22" s="1344"/>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5"/>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5"/>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4"/>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4"/>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4"/>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4"/>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4"/>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82" t="s">
        <v>0</v>
      </c>
      <c r="B1" s="3482" t="s">
        <v>4</v>
      </c>
      <c r="C1" s="3482" t="s">
        <v>5</v>
      </c>
      <c r="D1" s="3483" t="s">
        <v>40</v>
      </c>
      <c r="E1" s="3483" t="s">
        <v>41</v>
      </c>
      <c r="F1" s="3483"/>
      <c r="G1" s="3483"/>
      <c r="H1" s="3483"/>
      <c r="I1" s="3483"/>
      <c r="J1" s="3483"/>
      <c r="K1" s="3483"/>
      <c r="L1" s="3483"/>
      <c r="M1" s="3483"/>
    </row>
    <row r="2" spans="1:13" ht="27" customHeight="1">
      <c r="A2" s="3482"/>
      <c r="B2" s="3482"/>
      <c r="C2" s="3482"/>
      <c r="D2" s="3483"/>
      <c r="E2" s="3483" t="s">
        <v>24</v>
      </c>
      <c r="F2" s="3483" t="s">
        <v>25</v>
      </c>
      <c r="G2" s="3483"/>
      <c r="H2" s="3483"/>
      <c r="I2" s="3483"/>
      <c r="J2" s="3483" t="s">
        <v>26</v>
      </c>
      <c r="K2" s="3483"/>
      <c r="L2" s="3483"/>
      <c r="M2" s="3483"/>
    </row>
    <row r="3" spans="1:13" ht="28.5">
      <c r="A3" s="3482"/>
      <c r="B3" s="3482"/>
      <c r="C3" s="3482"/>
      <c r="D3" s="3483"/>
      <c r="E3" s="34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3" t="s">
        <v>42</v>
      </c>
      <c r="B9" s="3483"/>
      <c r="C9" s="34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24" sqref="H24"/>
    </sheetView>
  </sheetViews>
  <sheetFormatPr defaultColWidth="9.125" defaultRowHeight="14.25"/>
  <cols>
    <col min="1" max="1" width="8.125" style="1896" customWidth="1"/>
    <col min="2" max="2" width="10.1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1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493" t="s">
        <v>203</v>
      </c>
      <c r="B2" s="3493"/>
      <c r="C2" s="3493"/>
      <c r="D2" s="1886" t="s">
        <v>204</v>
      </c>
      <c r="E2" s="106" t="s">
        <v>205</v>
      </c>
      <c r="F2" s="3079"/>
      <c r="G2" s="1179"/>
      <c r="H2" s="1180"/>
      <c r="I2" s="1181" t="s">
        <v>849</v>
      </c>
      <c r="J2" s="3079"/>
      <c r="K2" s="3079"/>
      <c r="L2" s="3079"/>
      <c r="M2" s="3079"/>
      <c r="N2" s="3079"/>
      <c r="O2" s="3079"/>
      <c r="P2" s="3079"/>
    </row>
    <row r="3" spans="1:16" ht="15.75" thickBot="1">
      <c r="A3" s="3494" t="s">
        <v>206</v>
      </c>
      <c r="B3" s="3494"/>
      <c r="C3" s="3494"/>
      <c r="D3" s="107">
        <f>'数据-基础表'!AY6</f>
        <v>98307</v>
      </c>
      <c r="E3" s="107">
        <f>'数据-基础表'!AZ5</f>
        <v>196602</v>
      </c>
      <c r="F3" s="3079"/>
      <c r="G3" s="277" t="s">
        <v>850</v>
      </c>
      <c r="H3" s="272" t="s">
        <v>851</v>
      </c>
      <c r="I3" s="1887">
        <f>ROUND('数据-基础表'!B3/'数据-基础表'!A3,2)</f>
        <v>2</v>
      </c>
      <c r="J3" s="3079"/>
      <c r="K3" s="3079"/>
      <c r="L3" s="3079"/>
      <c r="M3" s="3079"/>
      <c r="N3" s="3079"/>
      <c r="O3" s="3079"/>
      <c r="P3" s="3079"/>
    </row>
    <row r="4" spans="1:16" ht="15">
      <c r="A4" s="3495"/>
      <c r="B4" s="3496"/>
      <c r="C4" s="3497"/>
      <c r="D4" s="108" t="s">
        <v>204</v>
      </c>
      <c r="E4" s="109" t="s">
        <v>205</v>
      </c>
      <c r="F4" s="3079"/>
      <c r="G4" s="1182"/>
      <c r="H4" s="272" t="s">
        <v>852</v>
      </c>
      <c r="I4" s="1887">
        <f>ROUND(SUMIF('数据-基础表'!I9:AS9,"地上",'数据-基础表'!I5:AS5)/'数据-基础表'!A3,2)</f>
        <v>2</v>
      </c>
      <c r="J4" s="3079"/>
      <c r="K4" s="3079"/>
      <c r="L4" s="3079"/>
      <c r="M4" s="3079"/>
      <c r="N4" s="3079"/>
      <c r="O4" s="3079"/>
      <c r="P4" s="3079"/>
    </row>
    <row r="5" spans="1:16">
      <c r="A5" s="110" t="s">
        <v>207</v>
      </c>
      <c r="B5" s="3498" t="s">
        <v>230</v>
      </c>
      <c r="C5" s="3498"/>
      <c r="D5" s="111">
        <f>ROUND($D$3*E5/$E$3,2)</f>
        <v>94302.26</v>
      </c>
      <c r="E5" s="112">
        <f>SUMIF('数据-基础表'!$11:$11,"住宅",'数据-基础表'!$5:$5)</f>
        <v>188593</v>
      </c>
      <c r="F5" s="3079"/>
      <c r="G5" s="277" t="s">
        <v>853</v>
      </c>
      <c r="H5" s="272" t="s">
        <v>851</v>
      </c>
      <c r="I5" s="1887">
        <f>ROUND(E31/D31,2)</f>
        <v>2</v>
      </c>
      <c r="J5" s="3079"/>
      <c r="K5" s="3079"/>
      <c r="L5" s="3079"/>
      <c r="M5" s="3079"/>
      <c r="N5" s="3079"/>
      <c r="O5" s="3079"/>
      <c r="P5" s="3079"/>
    </row>
    <row r="6" spans="1:16" ht="15" thickBot="1">
      <c r="A6" s="113"/>
      <c r="B6" s="3498" t="s">
        <v>208</v>
      </c>
      <c r="C6" s="3498"/>
      <c r="D6" s="111">
        <f>ROUND($D$3*E6/$E$3,2)</f>
        <v>4004.74</v>
      </c>
      <c r="E6" s="112">
        <f>E3-E5</f>
        <v>8009</v>
      </c>
      <c r="F6" s="3079"/>
      <c r="G6" s="1182"/>
      <c r="H6" s="272" t="s">
        <v>852</v>
      </c>
      <c r="I6" s="1887">
        <f>ROUND(F31/D31,2)</f>
        <v>2</v>
      </c>
      <c r="J6" s="3079"/>
      <c r="K6" s="3079"/>
      <c r="L6" s="3079"/>
      <c r="M6" s="3079"/>
      <c r="N6" s="3079"/>
      <c r="O6" s="3079"/>
      <c r="P6" s="3079"/>
    </row>
    <row r="7" spans="1:16" ht="15">
      <c r="A7" s="3490"/>
      <c r="B7" s="3491"/>
      <c r="C7" s="3492"/>
      <c r="D7" s="108" t="s">
        <v>204</v>
      </c>
      <c r="E7" s="114" t="s">
        <v>231</v>
      </c>
      <c r="F7" s="3079"/>
      <c r="G7" s="1137" t="s">
        <v>1636</v>
      </c>
      <c r="H7" s="1138"/>
      <c r="I7" s="1757">
        <v>4</v>
      </c>
      <c r="J7" s="3079"/>
      <c r="K7" s="3079"/>
      <c r="L7" s="3079"/>
      <c r="M7" s="3079"/>
      <c r="N7" s="3079"/>
      <c r="O7" s="3079"/>
      <c r="P7" s="3079"/>
    </row>
    <row r="8" spans="1:16">
      <c r="A8" s="110" t="s">
        <v>209</v>
      </c>
      <c r="B8" s="115" t="s">
        <v>210</v>
      </c>
      <c r="C8" s="111" t="s">
        <v>211</v>
      </c>
      <c r="D8" s="111">
        <f t="shared" ref="D8:D15" si="0">ROUND($D$3*E8/$E$3,2)</f>
        <v>95389.82</v>
      </c>
      <c r="E8" s="116">
        <f>SUMIF('数据-基础表'!BB10:BK10,"地上",'数据-基础表'!BB5:BK5)</f>
        <v>190768</v>
      </c>
      <c r="F8" s="3079"/>
      <c r="G8" s="3080"/>
      <c r="H8" s="3080"/>
      <c r="I8" s="3079"/>
      <c r="J8" s="3079"/>
      <c r="K8" s="3079"/>
      <c r="L8" s="3079"/>
      <c r="M8" s="3079"/>
      <c r="N8" s="3079"/>
      <c r="O8" s="3079"/>
      <c r="P8" s="3079"/>
    </row>
    <row r="9" spans="1:16">
      <c r="A9" s="117"/>
      <c r="B9" s="118"/>
      <c r="C9" s="111" t="s">
        <v>212</v>
      </c>
      <c r="D9" s="111">
        <f t="shared" si="0"/>
        <v>0</v>
      </c>
      <c r="E9" s="119">
        <v>0</v>
      </c>
      <c r="F9" s="3079"/>
      <c r="G9" s="3080"/>
      <c r="H9" s="3080"/>
      <c r="I9" s="3079"/>
      <c r="J9" s="3079"/>
      <c r="K9" s="3079"/>
      <c r="L9" s="3079"/>
      <c r="M9" s="3079"/>
      <c r="N9" s="3079"/>
      <c r="O9" s="3079"/>
      <c r="P9" s="3079"/>
    </row>
    <row r="10" spans="1:16">
      <c r="A10" s="117"/>
      <c r="B10" s="118"/>
      <c r="C10" s="111" t="s">
        <v>213</v>
      </c>
      <c r="D10" s="111">
        <f t="shared" si="0"/>
        <v>0</v>
      </c>
      <c r="E10" s="116">
        <f>SUMPRODUCT(('数据-基础表'!BB10:BK10="地下")*('数据-基础表'!BB11:BK11="商业")*('数据-基础表'!BB5:BK5))</f>
        <v>0</v>
      </c>
      <c r="F10" s="3079"/>
      <c r="G10" s="3080"/>
      <c r="H10" s="3080"/>
      <c r="I10" s="3079"/>
      <c r="J10" s="3079"/>
      <c r="K10" s="3079"/>
      <c r="L10" s="3079"/>
      <c r="M10" s="3079"/>
      <c r="N10" s="3079"/>
      <c r="O10" s="3079"/>
      <c r="P10" s="3079"/>
    </row>
    <row r="11" spans="1:16">
      <c r="A11" s="117"/>
      <c r="B11" s="118"/>
      <c r="C11" s="2208" t="s">
        <v>2314</v>
      </c>
      <c r="D11" s="111">
        <f t="shared" si="0"/>
        <v>0</v>
      </c>
      <c r="E11" s="116">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7"/>
      <c r="B12" s="118"/>
      <c r="C12" s="111" t="s">
        <v>214</v>
      </c>
      <c r="D12" s="111">
        <f t="shared" si="0"/>
        <v>0</v>
      </c>
      <c r="E12" s="116">
        <f>SUMPRODUCT(('数据-基础表'!BB10:BK10="地下")*('数据-基础表'!BB11:BK11="仓储")*('数据-基础表'!BB5:BK5))</f>
        <v>0</v>
      </c>
      <c r="F12" s="3079"/>
      <c r="G12" s="3080"/>
      <c r="H12" s="3080"/>
      <c r="I12" s="3079"/>
      <c r="J12" s="3079"/>
      <c r="K12" s="3079"/>
      <c r="L12" s="3079"/>
      <c r="M12" s="3079"/>
      <c r="N12" s="3079"/>
      <c r="O12" s="3079"/>
      <c r="P12" s="3079"/>
    </row>
    <row r="13" spans="1:16">
      <c r="A13" s="117"/>
      <c r="B13" s="118"/>
      <c r="C13" s="2208" t="s">
        <v>2321</v>
      </c>
      <c r="D13" s="111">
        <f t="shared" si="0"/>
        <v>0</v>
      </c>
      <c r="E13" s="116">
        <f>SUMPRODUCT(('数据-基础表'!BB10:BK10="地下")*('数据-基础表'!BB11:BK11="车库")*('数据-基础表'!BB5:BK5))</f>
        <v>0</v>
      </c>
      <c r="F13" s="3079"/>
      <c r="G13" s="3080"/>
      <c r="H13" s="3080"/>
      <c r="I13" s="3079"/>
      <c r="J13" s="3079"/>
      <c r="K13" s="3079"/>
      <c r="L13" s="3079"/>
      <c r="M13" s="3079"/>
      <c r="N13" s="3079"/>
      <c r="O13" s="3079"/>
      <c r="P13" s="3079"/>
    </row>
    <row r="14" spans="1:16">
      <c r="A14" s="117"/>
      <c r="B14" s="118"/>
      <c r="C14" s="111" t="s">
        <v>232</v>
      </c>
      <c r="D14" s="111">
        <f t="shared" si="0"/>
        <v>0</v>
      </c>
      <c r="E14" s="116">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7"/>
      <c r="B15" s="118"/>
      <c r="C15" s="111" t="s">
        <v>233</v>
      </c>
      <c r="D15" s="111">
        <f t="shared" si="0"/>
        <v>0</v>
      </c>
      <c r="E15" s="116">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3"/>
      <c r="B16" s="118"/>
      <c r="C16" s="115" t="s">
        <v>215</v>
      </c>
      <c r="D16" s="115">
        <f>SUM(D8:D15)</f>
        <v>95389.82</v>
      </c>
      <c r="E16" s="120">
        <f>SUM(E8:E15)</f>
        <v>190768</v>
      </c>
      <c r="F16" s="3079"/>
      <c r="G16" s="3080"/>
      <c r="H16" s="955" t="s">
        <v>219</v>
      </c>
      <c r="I16" s="956"/>
      <c r="J16" s="1895"/>
      <c r="K16" s="3484" t="s">
        <v>2540</v>
      </c>
      <c r="L16" s="3485"/>
      <c r="M16" s="3485"/>
      <c r="N16" s="3485"/>
      <c r="O16" s="3485"/>
      <c r="P16" s="3486"/>
    </row>
    <row r="17" spans="1:19" ht="15">
      <c r="A17" s="121" t="s">
        <v>216</v>
      </c>
      <c r="B17" s="122" t="s">
        <v>217</v>
      </c>
      <c r="C17" s="2175" t="s">
        <v>2300</v>
      </c>
      <c r="D17" s="108" t="s">
        <v>204</v>
      </c>
      <c r="E17" s="124" t="s">
        <v>205</v>
      </c>
      <c r="F17" s="125"/>
      <c r="G17" s="1317"/>
      <c r="H17" s="957" t="s">
        <v>218</v>
      </c>
      <c r="I17" s="958" t="s">
        <v>2299</v>
      </c>
      <c r="J17" s="1895"/>
      <c r="K17" s="3487" t="s">
        <v>2541</v>
      </c>
      <c r="L17" s="3488"/>
      <c r="M17" s="3489"/>
      <c r="N17" s="3487" t="s">
        <v>2542</v>
      </c>
      <c r="O17" s="3488"/>
      <c r="P17" s="3489"/>
      <c r="R17" s="2176" t="s">
        <v>2298</v>
      </c>
      <c r="S17" s="141"/>
    </row>
    <row r="18" spans="1:19" ht="15">
      <c r="A18" s="117"/>
      <c r="B18" s="128"/>
      <c r="C18" s="129"/>
      <c r="D18" s="2480"/>
      <c r="E18" s="130" t="s">
        <v>220</v>
      </c>
      <c r="F18" s="131" t="s">
        <v>221</v>
      </c>
      <c r="G18" s="1318" t="s">
        <v>222</v>
      </c>
      <c r="H18" s="959" t="s">
        <v>223</v>
      </c>
      <c r="I18" s="960" t="s">
        <v>224</v>
      </c>
      <c r="J18" s="1895"/>
      <c r="K18" s="2445" t="s">
        <v>2543</v>
      </c>
      <c r="L18" s="2446" t="s">
        <v>2544</v>
      </c>
      <c r="M18" s="2447" t="s">
        <v>2545</v>
      </c>
      <c r="N18" s="2445" t="s">
        <v>2543</v>
      </c>
      <c r="O18" s="2446" t="s">
        <v>2544</v>
      </c>
      <c r="P18" s="2447" t="s">
        <v>2545</v>
      </c>
      <c r="R18" s="2177" t="s">
        <v>2296</v>
      </c>
      <c r="S18" s="2177" t="s">
        <v>2297</v>
      </c>
    </row>
    <row r="19" spans="1:19">
      <c r="A19" s="133"/>
      <c r="B19" s="115" t="s">
        <v>225</v>
      </c>
      <c r="C19" s="2734" t="s">
        <v>914</v>
      </c>
      <c r="D19" s="111">
        <f t="shared" ref="D19:D26" si="1">ROUND($D$3*E19/$E$3,2)</f>
        <v>94302.26</v>
      </c>
      <c r="E19" s="134">
        <f t="shared" ref="E19:E26" si="2">SUM(F19:G19)</f>
        <v>188593</v>
      </c>
      <c r="F19" s="3081">
        <f>'数据-基础表'!I13</f>
        <v>188593</v>
      </c>
      <c r="G19" s="3082"/>
      <c r="H19" s="961">
        <f>ROUND($D$3*I19/$E$3,2)</f>
        <v>2883.92</v>
      </c>
      <c r="I19" s="116">
        <f>IF($I$17="自定义",P19,M19)</f>
        <v>5767.48</v>
      </c>
      <c r="J19" s="1895"/>
      <c r="K19" s="2448">
        <f t="shared" ref="K19:K26" si="3">ROUND(E$28*E19/E$27,2)</f>
        <v>5767.48</v>
      </c>
      <c r="L19" s="272">
        <f t="shared" ref="L19:L26" si="4">ROUND(IF(COUNTIF(C19,"*住宅*")&gt;0,E$29*E19/E$32,0),2)</f>
        <v>0</v>
      </c>
      <c r="M19" s="2449">
        <f>K19+L19</f>
        <v>5767.48</v>
      </c>
      <c r="N19" s="2450"/>
      <c r="O19" s="2451"/>
      <c r="P19" s="2452">
        <f>N19+O19</f>
        <v>0</v>
      </c>
      <c r="R19" s="272">
        <f t="shared" ref="R19:S26" si="5">D19+H19</f>
        <v>97186.18</v>
      </c>
      <c r="S19" s="2178">
        <f t="shared" si="5"/>
        <v>194360.48</v>
      </c>
    </row>
    <row r="20" spans="1:19">
      <c r="A20" s="137"/>
      <c r="B20" s="115" t="s">
        <v>226</v>
      </c>
      <c r="C20" s="2734" t="s">
        <v>3325</v>
      </c>
      <c r="D20" s="111">
        <f t="shared" si="1"/>
        <v>1087.57</v>
      </c>
      <c r="E20" s="134">
        <f t="shared" si="2"/>
        <v>2175</v>
      </c>
      <c r="F20" s="3081">
        <f>'数据-基础表'!K13</f>
        <v>2175</v>
      </c>
      <c r="G20" s="3082"/>
      <c r="H20" s="961">
        <f t="shared" ref="H20:H26" si="6">ROUND($D$3*I20/$E$3,2)</f>
        <v>33.26</v>
      </c>
      <c r="I20" s="116">
        <f t="shared" ref="I20:I26" si="7">IF($I$17="自定义",P20,M20)</f>
        <v>66.52</v>
      </c>
      <c r="J20" s="1895"/>
      <c r="K20" s="2448">
        <f t="shared" si="3"/>
        <v>66.52</v>
      </c>
      <c r="L20" s="272">
        <f t="shared" si="4"/>
        <v>0</v>
      </c>
      <c r="M20" s="2449">
        <f t="shared" ref="M20:M26" si="8">K20+L20</f>
        <v>66.52</v>
      </c>
      <c r="N20" s="2450"/>
      <c r="O20" s="2451"/>
      <c r="P20" s="2452">
        <f t="shared" ref="P20:P26" si="9">N20+O20</f>
        <v>0</v>
      </c>
      <c r="R20" s="272">
        <f t="shared" si="5"/>
        <v>1120.83</v>
      </c>
      <c r="S20" s="2178">
        <f t="shared" si="5"/>
        <v>2241.52</v>
      </c>
    </row>
    <row r="21" spans="1:19">
      <c r="A21" s="137"/>
      <c r="B21" s="115" t="s">
        <v>226</v>
      </c>
      <c r="C21" s="2734" t="s">
        <v>3326</v>
      </c>
      <c r="D21" s="111">
        <f t="shared" si="1"/>
        <v>0</v>
      </c>
      <c r="E21" s="134">
        <f t="shared" si="2"/>
        <v>0</v>
      </c>
      <c r="F21" s="3081">
        <f>面积拆分!C16</f>
        <v>0</v>
      </c>
      <c r="G21" s="3082"/>
      <c r="H21" s="961">
        <f t="shared" si="6"/>
        <v>0</v>
      </c>
      <c r="I21" s="116">
        <f t="shared" si="7"/>
        <v>0</v>
      </c>
      <c r="J21" s="1895"/>
      <c r="K21" s="2448">
        <f t="shared" si="3"/>
        <v>0</v>
      </c>
      <c r="L21" s="272">
        <f t="shared" si="4"/>
        <v>0</v>
      </c>
      <c r="M21" s="2449">
        <f t="shared" si="8"/>
        <v>0</v>
      </c>
      <c r="N21" s="2450"/>
      <c r="O21" s="2451"/>
      <c r="P21" s="2452">
        <f t="shared" si="9"/>
        <v>0</v>
      </c>
      <c r="R21" s="272">
        <f t="shared" si="5"/>
        <v>0</v>
      </c>
      <c r="S21" s="2178">
        <f t="shared" si="5"/>
        <v>0</v>
      </c>
    </row>
    <row r="22" spans="1:19">
      <c r="A22" s="137"/>
      <c r="B22" s="115" t="s">
        <v>226</v>
      </c>
      <c r="C22" s="1316" t="s">
        <v>1668</v>
      </c>
      <c r="D22" s="111">
        <f t="shared" si="1"/>
        <v>0</v>
      </c>
      <c r="E22" s="134">
        <f t="shared" si="2"/>
        <v>0</v>
      </c>
      <c r="F22" s="3083">
        <f>面积拆分!C17</f>
        <v>0</v>
      </c>
      <c r="G22" s="3084"/>
      <c r="H22" s="961">
        <f t="shared" si="6"/>
        <v>0</v>
      </c>
      <c r="I22" s="116">
        <f t="shared" si="7"/>
        <v>0</v>
      </c>
      <c r="J22" s="1895"/>
      <c r="K22" s="2448">
        <f t="shared" si="3"/>
        <v>0</v>
      </c>
      <c r="L22" s="272">
        <f t="shared" si="4"/>
        <v>0</v>
      </c>
      <c r="M22" s="2449">
        <f t="shared" si="8"/>
        <v>0</v>
      </c>
      <c r="N22" s="2450"/>
      <c r="O22" s="2451"/>
      <c r="P22" s="2452">
        <f t="shared" si="9"/>
        <v>0</v>
      </c>
      <c r="R22" s="272">
        <f t="shared" si="5"/>
        <v>0</v>
      </c>
      <c r="S22" s="2178">
        <f t="shared" si="5"/>
        <v>0</v>
      </c>
    </row>
    <row r="23" spans="1:19">
      <c r="A23" s="137"/>
      <c r="B23" s="115" t="s">
        <v>226</v>
      </c>
      <c r="C23" s="3356" t="s">
        <v>3444</v>
      </c>
      <c r="D23" s="111">
        <f>ROUND($D$3*E23/$E$3,2)</f>
        <v>0</v>
      </c>
      <c r="E23" s="134">
        <f>SUM(F23:G23)</f>
        <v>0</v>
      </c>
      <c r="F23" s="3083">
        <f>面积拆分!C19</f>
        <v>0</v>
      </c>
      <c r="G23" s="3084"/>
      <c r="H23" s="961">
        <f>ROUND($D$3*I23/$E$3,2)</f>
        <v>0</v>
      </c>
      <c r="I23" s="116">
        <f t="shared" si="7"/>
        <v>0</v>
      </c>
      <c r="J23" s="1895"/>
      <c r="K23" s="2448">
        <f t="shared" si="3"/>
        <v>0</v>
      </c>
      <c r="L23" s="272">
        <f t="shared" si="4"/>
        <v>0</v>
      </c>
      <c r="M23" s="2449">
        <f t="shared" si="8"/>
        <v>0</v>
      </c>
      <c r="N23" s="2450"/>
      <c r="O23" s="2451"/>
      <c r="P23" s="2452">
        <f t="shared" si="9"/>
        <v>0</v>
      </c>
      <c r="R23" s="272">
        <f t="shared" si="5"/>
        <v>0</v>
      </c>
      <c r="S23" s="2178">
        <f t="shared" si="5"/>
        <v>0</v>
      </c>
    </row>
    <row r="24" spans="1:19">
      <c r="A24" s="137"/>
      <c r="B24" s="115" t="s">
        <v>226</v>
      </c>
      <c r="C24" s="3356" t="s">
        <v>3443</v>
      </c>
      <c r="D24" s="111">
        <f>ROUND($D$3*E24/$E$3,2)</f>
        <v>0</v>
      </c>
      <c r="E24" s="134">
        <f>SUM(F24:G24)</f>
        <v>0</v>
      </c>
      <c r="F24" s="3083">
        <f>面积拆分!C18</f>
        <v>0</v>
      </c>
      <c r="G24" s="3084"/>
      <c r="H24" s="961">
        <f>ROUND($D$3*I24/$E$3,2)</f>
        <v>0</v>
      </c>
      <c r="I24" s="116">
        <f t="shared" si="7"/>
        <v>0</v>
      </c>
      <c r="J24" s="1895"/>
      <c r="K24" s="2448">
        <f t="shared" si="3"/>
        <v>0</v>
      </c>
      <c r="L24" s="272">
        <f t="shared" si="4"/>
        <v>0</v>
      </c>
      <c r="M24" s="2449">
        <f t="shared" si="8"/>
        <v>0</v>
      </c>
      <c r="N24" s="2450"/>
      <c r="O24" s="2451"/>
      <c r="P24" s="2452">
        <f t="shared" si="9"/>
        <v>0</v>
      </c>
      <c r="R24" s="272">
        <f t="shared" si="5"/>
        <v>0</v>
      </c>
      <c r="S24" s="2178">
        <f t="shared" si="5"/>
        <v>0</v>
      </c>
    </row>
    <row r="25" spans="1:19">
      <c r="A25" s="137"/>
      <c r="B25" s="115" t="s">
        <v>226</v>
      </c>
      <c r="C25" s="3356" t="s">
        <v>3520</v>
      </c>
      <c r="D25" s="111">
        <f t="shared" si="1"/>
        <v>0</v>
      </c>
      <c r="E25" s="134">
        <f t="shared" si="2"/>
        <v>0</v>
      </c>
      <c r="F25" s="3083"/>
      <c r="G25" s="3084">
        <f>'数据-基础表'!U13</f>
        <v>0</v>
      </c>
      <c r="H25" s="110">
        <f t="shared" si="6"/>
        <v>0</v>
      </c>
      <c r="I25" s="116">
        <f t="shared" si="7"/>
        <v>0</v>
      </c>
      <c r="J25" s="1895"/>
      <c r="K25" s="2448">
        <f t="shared" si="3"/>
        <v>0</v>
      </c>
      <c r="L25" s="272">
        <f t="shared" si="4"/>
        <v>0</v>
      </c>
      <c r="M25" s="2449">
        <f t="shared" si="8"/>
        <v>0</v>
      </c>
      <c r="N25" s="2450"/>
      <c r="O25" s="2451"/>
      <c r="P25" s="2452">
        <f t="shared" si="9"/>
        <v>0</v>
      </c>
      <c r="R25" s="272">
        <f t="shared" si="5"/>
        <v>0</v>
      </c>
      <c r="S25" s="2178">
        <f t="shared" si="5"/>
        <v>0</v>
      </c>
    </row>
    <row r="26" spans="1:19">
      <c r="A26" s="137"/>
      <c r="B26" s="115" t="s">
        <v>226</v>
      </c>
      <c r="C26" s="139"/>
      <c r="D26" s="111">
        <f t="shared" si="1"/>
        <v>0</v>
      </c>
      <c r="E26" s="134">
        <f t="shared" si="2"/>
        <v>0</v>
      </c>
      <c r="F26" s="3083"/>
      <c r="G26" s="3084"/>
      <c r="H26" s="110">
        <f t="shared" si="6"/>
        <v>0</v>
      </c>
      <c r="I26" s="116">
        <f t="shared" si="7"/>
        <v>0</v>
      </c>
      <c r="J26" s="1895"/>
      <c r="K26" s="2453">
        <f t="shared" si="3"/>
        <v>0</v>
      </c>
      <c r="L26" s="277">
        <f t="shared" si="4"/>
        <v>0</v>
      </c>
      <c r="M26" s="143">
        <f t="shared" si="8"/>
        <v>0</v>
      </c>
      <c r="N26" s="2454"/>
      <c r="O26" s="2455"/>
      <c r="P26" s="2456">
        <f t="shared" si="9"/>
        <v>0</v>
      </c>
      <c r="R26" s="272">
        <f t="shared" si="5"/>
        <v>0</v>
      </c>
      <c r="S26" s="2178">
        <f t="shared" si="5"/>
        <v>0</v>
      </c>
    </row>
    <row r="27" spans="1:19" ht="29.25" thickBot="1">
      <c r="A27" s="137"/>
      <c r="B27" s="111"/>
      <c r="C27" s="127" t="s">
        <v>215</v>
      </c>
      <c r="D27" s="134">
        <f>SUM(D19:D26)</f>
        <v>95389.83</v>
      </c>
      <c r="E27" s="140">
        <f>IF(SUM(E19:E26)='数据-基础表'!BA5,SUM(E19:E26),IF(F27="地上面积有误","面积有误","地下面积有误"))</f>
        <v>190768</v>
      </c>
      <c r="F27" s="134">
        <f>IF(SUM(F19:F26)=E8,SUM(F19:F26),"地上面积有误")</f>
        <v>190768</v>
      </c>
      <c r="G27" s="112">
        <f>SUM(G19:G26)</f>
        <v>0</v>
      </c>
      <c r="H27" s="962">
        <f>SUM(H19:H26)</f>
        <v>2917.1800000000003</v>
      </c>
      <c r="I27" s="963">
        <f>SUM(I19:I26)</f>
        <v>5834</v>
      </c>
      <c r="J27" s="1895"/>
      <c r="K27" s="2457">
        <f>SUM(K19:K26)</f>
        <v>5834</v>
      </c>
      <c r="L27" s="2458">
        <f>SUM(L19:L26)</f>
        <v>0</v>
      </c>
      <c r="M27" s="2459">
        <f>SUM(M19:M26)</f>
        <v>5834</v>
      </c>
      <c r="N27" s="2457">
        <f t="shared" ref="N27:O27" si="10">SUM(N19:N26)</f>
        <v>0</v>
      </c>
      <c r="O27" s="2458">
        <f t="shared" si="10"/>
        <v>0</v>
      </c>
      <c r="P27" s="2460">
        <f>SUM(P19:P26)</f>
        <v>0</v>
      </c>
      <c r="R27" s="2182" t="str">
        <f>IF(SUM(R19:R26)=$D$3,SUM(R19:R26),SUM(R19:R26)&amp;"误差"&amp;ROUND(SUM(R19:R26)-$D$3,2))</f>
        <v>98307.01误差0.01</v>
      </c>
      <c r="S27" s="272">
        <f>IF(SUM(S19:S26)=$E$3,SUM(S19:S26),SUM(S19:S26)&amp;"误差"&amp;ROUND(SUM(S19:S26)-E3,2))</f>
        <v>196602</v>
      </c>
    </row>
    <row r="28" spans="1:19">
      <c r="A28" s="137"/>
      <c r="B28" s="115" t="s">
        <v>227</v>
      </c>
      <c r="C28" s="135" t="s">
        <v>228</v>
      </c>
      <c r="D28" s="111">
        <f>ROUND($D$3*E28/$E$3,2)</f>
        <v>2917.18</v>
      </c>
      <c r="E28" s="134">
        <f>SUM(F28:G28)</f>
        <v>5834</v>
      </c>
      <c r="F28" s="141">
        <f>'数据-基础表'!BQ5+'数据-基础表'!BS5</f>
        <v>5834</v>
      </c>
      <c r="G28" s="142">
        <f>'数据-基础表'!BR5+'数据-基础表'!BT5</f>
        <v>0</v>
      </c>
      <c r="H28" s="3079"/>
      <c r="I28" s="3079"/>
      <c r="J28" s="3079"/>
      <c r="K28" s="3079"/>
      <c r="L28" s="3079"/>
      <c r="M28" s="3079"/>
      <c r="N28" s="3079"/>
      <c r="O28" s="3079"/>
      <c r="P28" s="3079"/>
    </row>
    <row r="29" spans="1:19">
      <c r="A29" s="137"/>
      <c r="B29" s="115" t="s">
        <v>227</v>
      </c>
      <c r="C29" s="2190" t="s">
        <v>2307</v>
      </c>
      <c r="D29" s="111">
        <f>ROUND($D$3*E29/$E$3,2)</f>
        <v>0</v>
      </c>
      <c r="E29" s="134">
        <f>SUM(F29:G29)</f>
        <v>0</v>
      </c>
      <c r="F29" s="141">
        <f>'数据-基础表'!BM5+'数据-基础表'!BO5</f>
        <v>0</v>
      </c>
      <c r="G29" s="143">
        <f>'数据-基础表'!BN5+'数据-基础表'!BP5</f>
        <v>0</v>
      </c>
      <c r="H29" s="3079"/>
      <c r="I29" s="3079"/>
      <c r="J29" s="3079"/>
      <c r="K29" s="3079"/>
      <c r="L29" s="3079"/>
      <c r="M29" s="3079"/>
      <c r="N29" s="3079"/>
      <c r="O29" s="3079"/>
      <c r="P29" s="3079"/>
    </row>
    <row r="30" spans="1:19">
      <c r="A30" s="137"/>
      <c r="B30" s="111"/>
      <c r="C30" s="144" t="s">
        <v>215</v>
      </c>
      <c r="D30" s="134">
        <f>SUM(D28:D29)</f>
        <v>2917.18</v>
      </c>
      <c r="E30" s="134">
        <f>SUM(E28:E29)</f>
        <v>5834</v>
      </c>
      <c r="F30" s="134">
        <f>SUM(F28:F29)</f>
        <v>5834</v>
      </c>
      <c r="G30" s="112">
        <f>SUM(G28:G29)</f>
        <v>0</v>
      </c>
      <c r="H30" s="3079"/>
      <c r="I30" s="3079"/>
      <c r="J30" s="3079"/>
      <c r="K30" s="3079"/>
      <c r="L30" s="3079"/>
      <c r="M30" s="3079"/>
      <c r="N30" s="3079"/>
      <c r="O30" s="3079"/>
      <c r="P30" s="3079"/>
    </row>
    <row r="31" spans="1:19" ht="32.25" customHeight="1" thickBot="1">
      <c r="A31" s="1319"/>
      <c r="B31" s="1320" t="s">
        <v>229</v>
      </c>
      <c r="C31" s="2207" t="s">
        <v>2309</v>
      </c>
      <c r="D31" s="1321">
        <f>D27+D30</f>
        <v>98307.01</v>
      </c>
      <c r="E31" s="1321">
        <f>E27+E30</f>
        <v>196602</v>
      </c>
      <c r="F31" s="1322">
        <f>F27+F30</f>
        <v>196602</v>
      </c>
      <c r="G31" s="1323">
        <f>G27+G30</f>
        <v>0</v>
      </c>
      <c r="H31" s="3079"/>
      <c r="I31" s="3079"/>
      <c r="J31" s="3079"/>
      <c r="K31" s="3079"/>
      <c r="L31" s="3079"/>
      <c r="M31" s="3079"/>
      <c r="N31" s="3079"/>
      <c r="O31" s="3079"/>
      <c r="P31" s="3079"/>
    </row>
    <row r="32" spans="1:19">
      <c r="A32" s="1895"/>
      <c r="B32" s="2219" t="s">
        <v>2308</v>
      </c>
      <c r="C32" s="2485"/>
      <c r="D32" s="1182"/>
      <c r="E32" s="1182">
        <f>SUMIF(C19:C26,"*住宅*",E19:E26)</f>
        <v>188593</v>
      </c>
      <c r="F32" s="1182"/>
      <c r="G32" s="1182"/>
      <c r="H32" s="3079"/>
      <c r="I32" s="3079"/>
      <c r="J32" s="3079"/>
      <c r="K32" s="3079"/>
      <c r="L32" s="3079"/>
      <c r="M32" s="3079"/>
      <c r="N32" s="3079"/>
      <c r="O32" s="3079"/>
      <c r="P32" s="3079"/>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31" priority="1" stopIfTrue="1" operator="containsText" text="面积有误">
      <formula>NOT(ISERROR(SEARCH("面积有误",E27)))</formula>
    </cfRule>
    <cfRule type="cellIs" dxfId="230" priority="3" stopIfTrue="1" operator="equal">
      <formula>"地下面积有误"</formula>
    </cfRule>
  </conditionalFormatting>
  <conditionalFormatting sqref="F27">
    <cfRule type="cellIs" dxfId="22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U6" activePane="bottomRight" state="frozen"/>
      <selection pane="topRight" activeCell="D1" sqref="D1"/>
      <selection pane="bottomLeft" activeCell="A4" sqref="A4"/>
      <selection pane="bottomRight" activeCell="AL13" sqref="AL13"/>
    </sheetView>
  </sheetViews>
  <sheetFormatPr defaultColWidth="13.625" defaultRowHeight="12.75"/>
  <cols>
    <col min="1" max="1" width="20.875" style="1197" customWidth="1"/>
    <col min="2" max="3" width="12" style="1184" customWidth="1"/>
    <col min="4" max="4" width="9.125" style="1198" customWidth="1"/>
    <col min="5" max="5" width="16.125" style="1184" customWidth="1"/>
    <col min="6" max="10" width="8.875" style="1184" customWidth="1"/>
    <col min="11" max="12" width="12.375" style="1199" customWidth="1"/>
    <col min="13" max="13" width="8.625" style="1184" customWidth="1"/>
    <col min="14"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625" style="1184" customWidth="1"/>
    <col min="25" max="25" width="8.125" style="1184" customWidth="1"/>
    <col min="26" max="30" width="6.625" style="1184" customWidth="1"/>
    <col min="31" max="31" width="6.5" style="1184" customWidth="1"/>
    <col min="32" max="34" width="7.125" style="1184" customWidth="1"/>
    <col min="35" max="39" width="8" style="1184" customWidth="1"/>
    <col min="40" max="41" width="13.625" style="1905"/>
    <col min="42" max="42" width="13.625" style="1905" customWidth="1"/>
    <col min="43" max="83" width="13.625" style="1905"/>
    <col min="84" max="16384" width="13.625" style="1184"/>
  </cols>
  <sheetData>
    <row r="1" spans="1:83" ht="19.5" thickBot="1">
      <c r="A1" s="145"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6"/>
      <c r="AO1" s="3086"/>
      <c r="AP1" s="3086"/>
      <c r="AQ1" s="3086"/>
      <c r="AR1" s="3086"/>
      <c r="AS1" s="3086"/>
      <c r="AT1" s="3086"/>
      <c r="AU1" s="3086"/>
      <c r="AV1" s="3086"/>
      <c r="AW1" s="3086"/>
      <c r="AX1" s="3086"/>
      <c r="AY1" s="3086"/>
      <c r="AZ1" s="3086"/>
    </row>
    <row r="2" spans="1:83" s="1187" customFormat="1" ht="15.75" thickBot="1">
      <c r="A2" s="146" t="s">
        <v>235</v>
      </c>
      <c r="B2" s="2215">
        <f>项目基本情况!D3</f>
        <v>44125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9"/>
      <c r="AO2" s="3089"/>
      <c r="AP2" s="3089"/>
      <c r="AQ2" s="3089"/>
      <c r="AR2" s="3089"/>
      <c r="AS2" s="3089"/>
      <c r="AT2" s="3089"/>
      <c r="AU2" s="3089"/>
      <c r="AV2" s="3089"/>
      <c r="AW2" s="3089"/>
      <c r="AX2" s="3089"/>
      <c r="AY2" s="3089"/>
      <c r="AZ2" s="3089"/>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9"/>
      <c r="AO3" s="3089"/>
      <c r="AP3" s="3089"/>
      <c r="AQ3" s="3089"/>
      <c r="AR3" s="3089"/>
      <c r="AS3" s="3089"/>
      <c r="AT3" s="3089"/>
      <c r="AU3" s="3089"/>
      <c r="AV3" s="3089"/>
      <c r="AW3" s="3089"/>
      <c r="AX3" s="3089"/>
      <c r="AY3" s="3089"/>
      <c r="AZ3" s="3089"/>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856</v>
      </c>
      <c r="B4" s="149"/>
      <c r="C4" s="150"/>
      <c r="D4" s="1189"/>
      <c r="E4" s="1190" t="s">
        <v>857</v>
      </c>
      <c r="F4" s="150"/>
      <c r="G4" s="150"/>
      <c r="H4" s="150"/>
      <c r="I4" s="150"/>
      <c r="J4" s="151"/>
      <c r="K4" s="1191"/>
      <c r="L4" s="1192"/>
      <c r="M4" s="150"/>
      <c r="N4" s="1190" t="s">
        <v>858</v>
      </c>
      <c r="O4" s="150"/>
      <c r="P4" s="150"/>
      <c r="Q4" s="150"/>
      <c r="R4" s="150"/>
      <c r="S4" s="151"/>
      <c r="T4" s="964" t="str">
        <f>'数据-汇总表'!I17</f>
        <v>按面积比例</v>
      </c>
      <c r="U4" s="149" t="s">
        <v>859</v>
      </c>
      <c r="V4" s="150"/>
      <c r="W4" s="150"/>
      <c r="X4" s="150"/>
      <c r="Y4" s="151"/>
      <c r="Z4" s="123" t="s">
        <v>860</v>
      </c>
      <c r="AA4" s="123"/>
      <c r="AB4" s="123"/>
      <c r="AC4" s="123"/>
      <c r="AD4" s="123"/>
      <c r="AE4" s="121" t="s">
        <v>861</v>
      </c>
      <c r="AF4" s="123"/>
      <c r="AG4" s="152"/>
      <c r="AH4" s="149"/>
      <c r="AI4" s="150"/>
      <c r="AJ4" s="150"/>
      <c r="AK4" s="150"/>
      <c r="AL4" s="150"/>
      <c r="AM4" s="151"/>
      <c r="AN4" s="3089"/>
      <c r="AO4" s="3089"/>
      <c r="AP4" s="3089"/>
      <c r="AQ4" s="3089"/>
      <c r="AR4" s="3089"/>
      <c r="AS4" s="3089"/>
      <c r="AT4" s="3089"/>
      <c r="AU4" s="3089"/>
      <c r="AV4" s="3089"/>
      <c r="AW4" s="3089"/>
      <c r="AX4" s="3089"/>
      <c r="AY4" s="3089"/>
      <c r="AZ4" s="3089"/>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2311</v>
      </c>
      <c r="B5" s="153" t="s">
        <v>236</v>
      </c>
      <c r="C5" s="154" t="s">
        <v>237</v>
      </c>
      <c r="D5" s="155" t="s">
        <v>238</v>
      </c>
      <c r="E5" s="156" t="s">
        <v>239</v>
      </c>
      <c r="F5" s="157" t="s">
        <v>240</v>
      </c>
      <c r="G5" s="156" t="s">
        <v>241</v>
      </c>
      <c r="H5" s="156" t="s">
        <v>854</v>
      </c>
      <c r="I5" s="156" t="s">
        <v>855</v>
      </c>
      <c r="J5" s="158" t="s">
        <v>242</v>
      </c>
      <c r="K5" s="159" t="s">
        <v>243</v>
      </c>
      <c r="L5" s="160" t="s">
        <v>244</v>
      </c>
      <c r="M5" s="161" t="s">
        <v>245</v>
      </c>
      <c r="N5" s="1200" t="s">
        <v>2800</v>
      </c>
      <c r="O5" s="160" t="s">
        <v>246</v>
      </c>
      <c r="P5" s="162" t="s">
        <v>247</v>
      </c>
      <c r="Q5" s="163" t="s">
        <v>248</v>
      </c>
      <c r="R5" s="164" t="s">
        <v>249</v>
      </c>
      <c r="S5" s="2461" t="s">
        <v>2546</v>
      </c>
      <c r="T5" s="165" t="s">
        <v>250</v>
      </c>
      <c r="U5" s="166" t="s">
        <v>251</v>
      </c>
      <c r="V5" s="156" t="s">
        <v>252</v>
      </c>
      <c r="W5" s="156" t="s">
        <v>253</v>
      </c>
      <c r="X5" s="1730"/>
      <c r="Y5" s="167" t="s">
        <v>254</v>
      </c>
      <c r="Z5" s="168" t="s">
        <v>255</v>
      </c>
      <c r="AA5" s="156" t="s">
        <v>252</v>
      </c>
      <c r="AB5" s="156" t="s">
        <v>253</v>
      </c>
      <c r="AC5" s="1731"/>
      <c r="AD5" s="169" t="s">
        <v>254</v>
      </c>
      <c r="AE5" s="1" t="s">
        <v>862</v>
      </c>
      <c r="AF5" s="156" t="s">
        <v>256</v>
      </c>
      <c r="AG5" s="167" t="s">
        <v>257</v>
      </c>
      <c r="AH5" s="1731" t="s">
        <v>2310</v>
      </c>
      <c r="AI5" s="168" t="s">
        <v>2279</v>
      </c>
      <c r="AJ5" s="168" t="s">
        <v>258</v>
      </c>
      <c r="AK5" s="156" t="s">
        <v>259</v>
      </c>
      <c r="AL5" s="156" t="s">
        <v>260</v>
      </c>
      <c r="AM5" s="169" t="s">
        <v>261</v>
      </c>
      <c r="AN5" s="2243" t="s">
        <v>2357</v>
      </c>
      <c r="AO5" s="3100"/>
      <c r="AP5" s="3085" t="s">
        <v>2961</v>
      </c>
      <c r="AQ5" s="3100"/>
      <c r="AR5" s="3100"/>
      <c r="AS5" s="3100"/>
      <c r="AT5" s="3100"/>
      <c r="AU5" s="3100"/>
      <c r="AV5" s="3100"/>
      <c r="AW5" s="3100"/>
      <c r="AX5" s="3100"/>
      <c r="AY5" s="3100"/>
      <c r="AZ5" s="3100"/>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914</v>
      </c>
      <c r="D6" s="2185">
        <f>SUMIF(项目基本情况!D$15:I$15,C6,项目基本情况!D$18:I$18)</f>
        <v>70</v>
      </c>
      <c r="E6" s="2186">
        <f>IF(B6="","",SUMIF(项目基本情况!D$15:I$15,C6,项目基本情况!D$17:I$17))</f>
        <v>69691</v>
      </c>
      <c r="F6" s="171">
        <f>SUMIF(项目基本情况!D$15:I$15,C6,项目基本情况!D$19:I$19)</f>
        <v>70</v>
      </c>
      <c r="G6" s="172">
        <f>IF(ISERROR(ROUND(POWER(1+H6,D6-F6)*(POWER(1+H6,F6)-1)/(POWER(1+H6,D6)-1),3)),0,ROUND(POWER(1+H6,D6-F6)*(POWER(1+H6,F6)-1)/(POWER(1+H6,D6)-1),3))</f>
        <v>1</v>
      </c>
      <c r="H6" s="2735">
        <v>0.03</v>
      </c>
      <c r="I6" s="2735">
        <v>0.04</v>
      </c>
      <c r="J6" s="173">
        <v>0.05</v>
      </c>
      <c r="K6" s="176">
        <f>SUMIF('数据-汇总表'!C$19:C$33,'数据-取费表'!A6,'数据-汇总表'!E$19:E$33)</f>
        <v>188593</v>
      </c>
      <c r="L6" s="2736">
        <f>面积拆分!D14</f>
        <v>4650</v>
      </c>
      <c r="M6" s="174">
        <f t="shared" ref="M6:M14" si="0">ROUND(K6*L6/10000,0)</f>
        <v>87696</v>
      </c>
      <c r="N6" s="2737">
        <v>0</v>
      </c>
      <c r="O6" s="174">
        <f>IF($N$5="成新度","——",ROUND(M6*N6,0))</f>
        <v>0</v>
      </c>
      <c r="P6" s="175">
        <f>IF($N$5="成新度","——",M6-O6)</f>
        <v>87696</v>
      </c>
      <c r="Q6" s="2738">
        <v>0.03</v>
      </c>
      <c r="R6" s="176">
        <f>SUMIF('数据-汇总表'!C$19:C$33,A6,'数据-汇总表'!R$19:R$33)</f>
        <v>97186.18</v>
      </c>
      <c r="S6" s="132">
        <f>IF('数据-汇总表'!$I$17="按面积比例",SUMIF('数据-汇总表'!C$19:C$33,A6,'数据-汇总表'!K$19:K$33),SUMIF('数据-汇总表'!C$19:C$33,A6,'数据-汇总表'!N$19:N$33))</f>
        <v>5767.48</v>
      </c>
      <c r="T6" s="2111">
        <f>IF($T$4="按面积比例",IF(ISERROR(ROUND($M$14*S6/S$16,0)),"0",ROUND($M$14*S6/S$16,0)),"需自行计算录入")</f>
        <v>0</v>
      </c>
      <c r="U6" s="177">
        <f>'[4]数据-取费表'!$U$6</f>
        <v>1.9</v>
      </c>
      <c r="V6" s="178">
        <v>0</v>
      </c>
      <c r="W6" s="178">
        <v>0.05</v>
      </c>
      <c r="X6" s="2198"/>
      <c r="Y6" s="179">
        <v>1</v>
      </c>
      <c r="Z6" s="180"/>
      <c r="AA6" s="173"/>
      <c r="AB6" s="173"/>
      <c r="AC6" s="2201"/>
      <c r="AD6" s="181"/>
      <c r="AE6" s="959">
        <f ca="1">IF(AN6="",0,SUMIF(INDIRECT("'"&amp;AN6&amp;"'"&amp;"!E:E"),$AE$5,INDIRECT("'"&amp;AN6&amp;"'"&amp;"!F:F")))</f>
        <v>70</v>
      </c>
      <c r="AF6" s="138"/>
      <c r="AG6" s="1194">
        <f>IF(AF6="",0,AE6-AF6)</f>
        <v>0</v>
      </c>
      <c r="AH6" s="138"/>
      <c r="AI6" s="184">
        <v>365</v>
      </c>
      <c r="AJ6" s="185"/>
      <c r="AK6" s="186">
        <f>'[5]数据-取费表'!$AK$6</f>
        <v>1.4999999999999999E-2</v>
      </c>
      <c r="AL6" s="187">
        <f>'[5]数据-取费表'!$AL$6</f>
        <v>1.5E-3</v>
      </c>
      <c r="AM6" s="2749">
        <v>0.01</v>
      </c>
      <c r="AN6" s="2244" t="s">
        <v>3342</v>
      </c>
      <c r="AO6" s="3089"/>
      <c r="AP6" s="1185">
        <f>ROUND(1-1/(1+H6)^F6,3)</f>
        <v>0.874</v>
      </c>
      <c r="AQ6" s="3089"/>
      <c r="AR6" s="3089"/>
      <c r="AS6" s="3089"/>
      <c r="AT6" s="3089"/>
      <c r="AU6" s="3089"/>
      <c r="AV6" s="3089"/>
      <c r="AW6" s="3089"/>
      <c r="AX6" s="3089"/>
      <c r="AY6" s="3089"/>
      <c r="AZ6" s="3089"/>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商业（底商）</v>
      </c>
      <c r="B7" s="2214" t="str">
        <f t="shared" ref="B7:B13" si="1">IF(A7=0,"","经营性")</f>
        <v>经营性</v>
      </c>
      <c r="C7" s="170" t="s">
        <v>3294</v>
      </c>
      <c r="D7" s="2185">
        <f>SUMIF(项目基本情况!D$15:I$15,C7,项目基本情况!D$18:I$18)</f>
        <v>40</v>
      </c>
      <c r="E7" s="2186">
        <f>IF(B7="","",SUMIF(项目基本情况!D$15:I$15,C7,项目基本情况!D$17:I$17))</f>
        <v>58734</v>
      </c>
      <c r="F7" s="171">
        <f>SUMIF(项目基本情况!D$15:I$15,C7,项目基本情况!D$19:I$19)</f>
        <v>40</v>
      </c>
      <c r="G7" s="172">
        <f t="shared" ref="G7:G11" si="2">IF(ISERROR(ROUND(POWER(1+H7,D7-F7)*(POWER(1+H7,F7)-1)/(POWER(1+H7,D7)-1),3)),0,ROUND(POWER(1+H7,D7-F7)*(POWER(1+H7,F7)-1)/(POWER(1+H7,D7)-1),3))</f>
        <v>1</v>
      </c>
      <c r="H7" s="2735">
        <v>0.05</v>
      </c>
      <c r="I7" s="2735">
        <v>0.05</v>
      </c>
      <c r="J7" s="173">
        <v>6.5000000000000002E-2</v>
      </c>
      <c r="K7" s="176">
        <f>SUMIF('数据-汇总表'!C$19:C$33,'数据-取费表'!A7,'数据-汇总表'!E$19:E$33)</f>
        <v>2175</v>
      </c>
      <c r="L7" s="2736">
        <f>汇总5!P3</f>
        <v>3700</v>
      </c>
      <c r="M7" s="174">
        <f t="shared" si="0"/>
        <v>805</v>
      </c>
      <c r="N7" s="2737">
        <f>N6</f>
        <v>0</v>
      </c>
      <c r="O7" s="174">
        <f t="shared" ref="O7:O14" si="3">IF($N$5="成新度","——",ROUND(M7*N7,0))</f>
        <v>0</v>
      </c>
      <c r="P7" s="175">
        <f t="shared" ref="P7:P14" si="4">IF($N$5="成新度","——",M7-O7)</f>
        <v>805</v>
      </c>
      <c r="Q7" s="2738">
        <f>'[2]数据-取费表'!$Q$7</f>
        <v>0.1</v>
      </c>
      <c r="R7" s="176">
        <f>SUMIF('数据-汇总表'!C$19:C$33,A7,'数据-汇总表'!R$19:R$33)</f>
        <v>1120.83</v>
      </c>
      <c r="S7" s="132">
        <f>IF('数据-汇总表'!$I$17="按面积比例",SUMIF('数据-汇总表'!C$19:C$33,A7,'数据-汇总表'!K$19:K$33),SUMIF('数据-汇总表'!C$19:C$33,A7,'数据-汇总表'!N$19:N$33))</f>
        <v>66.52</v>
      </c>
      <c r="T7" s="2111">
        <f t="shared" ref="T7:T13" si="5">IF($T$4="按面积比例",IF(ISERROR(ROUND($M$14*S7/S$16,0)),"0",ROUND($M$14*S7/S$16,0)),"需自行计算录入")</f>
        <v>0</v>
      </c>
      <c r="U7" s="177">
        <f>'[4]数据-取费表'!$U$7</f>
        <v>2.5</v>
      </c>
      <c r="V7" s="178">
        <v>0</v>
      </c>
      <c r="W7" s="178">
        <f>汇总5!R3</f>
        <v>0.08</v>
      </c>
      <c r="X7" s="2198"/>
      <c r="Y7" s="179">
        <f>Y6</f>
        <v>1</v>
      </c>
      <c r="Z7" s="180"/>
      <c r="AA7" s="173"/>
      <c r="AB7" s="173"/>
      <c r="AC7" s="2201"/>
      <c r="AD7" s="181"/>
      <c r="AE7" s="959">
        <f t="shared" ref="AE7:AE13" ca="1" si="6">IF(AN7="",0,SUMIF(INDIRECT("'"&amp;AN7&amp;"'"&amp;"!E:E"),$AE$5,INDIRECT("'"&amp;AN7&amp;"'"&amp;"!F:F")))</f>
        <v>40</v>
      </c>
      <c r="AF7" s="138"/>
      <c r="AG7" s="1194">
        <f t="shared" ref="AG7:AG13" si="7">IF(AF7="",0,AE7-AF7)</f>
        <v>0</v>
      </c>
      <c r="AH7" s="138"/>
      <c r="AI7" s="184">
        <v>365</v>
      </c>
      <c r="AJ7" s="185"/>
      <c r="AK7" s="186">
        <v>0.01</v>
      </c>
      <c r="AL7" s="187">
        <v>1E-3</v>
      </c>
      <c r="AM7" s="2242">
        <f>'[5]数据-取费表'!$AM$7</f>
        <v>0.01</v>
      </c>
      <c r="AN7" s="2244" t="s">
        <v>3344</v>
      </c>
      <c r="AO7" s="3089"/>
      <c r="AP7" s="1185">
        <f t="shared" ref="AP7:AP13" si="8">ROUND(1-1/(1+H7)^F7,3)</f>
        <v>0.85799999999999998</v>
      </c>
      <c r="AQ7" s="3089"/>
      <c r="AR7" s="3089"/>
      <c r="AS7" s="3089"/>
      <c r="AT7" s="3089"/>
      <c r="AU7" s="3089"/>
      <c r="AV7" s="3089"/>
      <c r="AW7" s="3089"/>
      <c r="AX7" s="3089"/>
      <c r="AY7" s="3089"/>
      <c r="AZ7" s="3089"/>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商业（独立）</v>
      </c>
      <c r="B8" s="2214" t="str">
        <f t="shared" si="1"/>
        <v>经营性</v>
      </c>
      <c r="C8" s="170" t="s">
        <v>3294</v>
      </c>
      <c r="D8" s="2185">
        <f>SUMIF(项目基本情况!D$15:I$15,C8,项目基本情况!D$18:I$18)</f>
        <v>40</v>
      </c>
      <c r="E8" s="2186">
        <f>IF(B8="","",SUMIF(项目基本情况!D$15:I$15,C8,项目基本情况!D$17:I$17))</f>
        <v>58734</v>
      </c>
      <c r="F8" s="171">
        <f>SUMIF(项目基本情况!D$15:I$15,C8,项目基本情况!D$19:I$19)</f>
        <v>40</v>
      </c>
      <c r="G8" s="172">
        <f t="shared" si="2"/>
        <v>1</v>
      </c>
      <c r="H8" s="2735">
        <f>H7</f>
        <v>0.05</v>
      </c>
      <c r="I8" s="2735">
        <f>I7</f>
        <v>0.05</v>
      </c>
      <c r="J8" s="173">
        <f>J7</f>
        <v>6.5000000000000002E-2</v>
      </c>
      <c r="K8" s="176">
        <f>SUMIF('数据-汇总表'!C$19:C$33,'数据-取费表'!A8,'数据-汇总表'!E$19:E$33)</f>
        <v>0</v>
      </c>
      <c r="L8" s="2736">
        <f>汇总5!P5</f>
        <v>3500</v>
      </c>
      <c r="M8" s="174">
        <f>ROUND(K8*L8/10000,0)</f>
        <v>0</v>
      </c>
      <c r="N8" s="2737">
        <f>N6</f>
        <v>0</v>
      </c>
      <c r="O8" s="174">
        <f t="shared" si="3"/>
        <v>0</v>
      </c>
      <c r="P8" s="175">
        <f t="shared" si="4"/>
        <v>0</v>
      </c>
      <c r="Q8" s="2738">
        <f>Q7</f>
        <v>0.1</v>
      </c>
      <c r="R8" s="176">
        <f>SUMIF('数据-汇总表'!C$19:C$33,A8,'数据-汇总表'!R$19:R$33)</f>
        <v>0</v>
      </c>
      <c r="S8" s="132">
        <f>IF('数据-汇总表'!$I$17="按面积比例",SUMIF('数据-汇总表'!C$19:C$33,A8,'数据-汇总表'!K$19:K$33),SUMIF('数据-汇总表'!C$19:C$33,A8,'数据-汇总表'!N$19:N$33))</f>
        <v>0</v>
      </c>
      <c r="T8" s="2111">
        <f t="shared" si="5"/>
        <v>0</v>
      </c>
      <c r="U8" s="177">
        <f>'[4]数据-取费表'!$U$8</f>
        <v>2.1</v>
      </c>
      <c r="V8" s="178">
        <v>0</v>
      </c>
      <c r="W8" s="178">
        <f>汇总5!R5</f>
        <v>0.1</v>
      </c>
      <c r="X8" s="2198"/>
      <c r="Y8" s="179">
        <f>Y6</f>
        <v>1</v>
      </c>
      <c r="Z8" s="180"/>
      <c r="AA8" s="173"/>
      <c r="AB8" s="173"/>
      <c r="AC8" s="2201"/>
      <c r="AD8" s="181"/>
      <c r="AE8" s="959">
        <f t="shared" ca="1" si="6"/>
        <v>40</v>
      </c>
      <c r="AF8" s="138"/>
      <c r="AG8" s="1194">
        <f t="shared" si="7"/>
        <v>0</v>
      </c>
      <c r="AH8" s="138"/>
      <c r="AI8" s="184">
        <v>365</v>
      </c>
      <c r="AJ8" s="185"/>
      <c r="AK8" s="186">
        <f>AK7</f>
        <v>0.01</v>
      </c>
      <c r="AL8" s="187">
        <f>AL7</f>
        <v>1E-3</v>
      </c>
      <c r="AM8" s="2242">
        <f>AM7</f>
        <v>0.01</v>
      </c>
      <c r="AN8" s="2244" t="s">
        <v>3345</v>
      </c>
      <c r="AO8" s="3089"/>
      <c r="AP8" s="1185">
        <f t="shared" si="8"/>
        <v>0.85799999999999998</v>
      </c>
      <c r="AQ8" s="3089"/>
      <c r="AR8" s="3089"/>
      <c r="AS8" s="3089"/>
      <c r="AT8" s="3089"/>
      <c r="AU8" s="3089"/>
      <c r="AV8" s="3089"/>
      <c r="AW8" s="3089"/>
      <c r="AX8" s="3089"/>
      <c r="AY8" s="3089"/>
      <c r="AZ8" s="3089"/>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办公</v>
      </c>
      <c r="B9" s="2214" t="str">
        <f t="shared" si="1"/>
        <v>经营性</v>
      </c>
      <c r="C9" s="170" t="s">
        <v>1668</v>
      </c>
      <c r="D9" s="2185">
        <f>SUMIF(项目基本情况!D$15:I$15,C9,项目基本情况!D$18:I$18)</f>
        <v>40</v>
      </c>
      <c r="E9" s="2186">
        <f>IF(B9="","",SUMIF(项目基本情况!D$15:I$15,C9,项目基本情况!D$17:I$17))</f>
        <v>58734</v>
      </c>
      <c r="F9" s="171">
        <f>SUMIF(项目基本情况!D$15:I$15,C9,项目基本情况!D$19:I$19)</f>
        <v>40</v>
      </c>
      <c r="G9" s="172">
        <f t="shared" si="2"/>
        <v>1</v>
      </c>
      <c r="H9" s="173">
        <v>4.4999999999999998E-2</v>
      </c>
      <c r="I9" s="173">
        <v>0.05</v>
      </c>
      <c r="J9" s="173">
        <v>0.06</v>
      </c>
      <c r="K9" s="176">
        <f>SUMIF('数据-汇总表'!C$19:C$33,'数据-取费表'!A9,'数据-汇总表'!E$19:E$33)</f>
        <v>0</v>
      </c>
      <c r="L9" s="190">
        <f>面积拆分!D6</f>
        <v>4000</v>
      </c>
      <c r="M9" s="174">
        <f t="shared" si="0"/>
        <v>0</v>
      </c>
      <c r="N9" s="191">
        <f>N6</f>
        <v>0</v>
      </c>
      <c r="O9" s="174">
        <f t="shared" si="3"/>
        <v>0</v>
      </c>
      <c r="P9" s="175">
        <f t="shared" si="4"/>
        <v>0</v>
      </c>
      <c r="Q9" s="189">
        <f>'[2]数据-取费表'!$Q$9</f>
        <v>0</v>
      </c>
      <c r="R9" s="176">
        <f>SUMIF('数据-汇总表'!C$19:C$33,A9,'数据-汇总表'!R$19:R$33)</f>
        <v>0</v>
      </c>
      <c r="S9" s="132">
        <f>IF('数据-汇总表'!$I$17="按面积比例",SUMIF('数据-汇总表'!C$19:C$33,A9,'数据-汇总表'!K$19:K$33),SUMIF('数据-汇总表'!C$19:C$33,A9,'数据-汇总表'!N$19:N$33))</f>
        <v>0</v>
      </c>
      <c r="T9" s="2111">
        <f t="shared" si="5"/>
        <v>0</v>
      </c>
      <c r="U9" s="177">
        <f>'[4]数据-取费表'!$U$9</f>
        <v>2.5</v>
      </c>
      <c r="V9" s="178">
        <v>0</v>
      </c>
      <c r="W9" s="178">
        <v>0.1</v>
      </c>
      <c r="X9" s="2198"/>
      <c r="Y9" s="179">
        <f>Y6</f>
        <v>1</v>
      </c>
      <c r="Z9" s="180"/>
      <c r="AA9" s="173"/>
      <c r="AB9" s="173"/>
      <c r="AC9" s="2201"/>
      <c r="AD9" s="181"/>
      <c r="AE9" s="959">
        <f t="shared" ca="1" si="6"/>
        <v>40</v>
      </c>
      <c r="AF9" s="138"/>
      <c r="AG9" s="1194">
        <f t="shared" si="7"/>
        <v>0</v>
      </c>
      <c r="AH9" s="138"/>
      <c r="AI9" s="184">
        <v>365</v>
      </c>
      <c r="AJ9" s="185"/>
      <c r="AK9" s="186">
        <f>AK6</f>
        <v>1.4999999999999999E-2</v>
      </c>
      <c r="AL9" s="187">
        <f>AL6</f>
        <v>1.5E-3</v>
      </c>
      <c r="AM9" s="2242">
        <f>AM6</f>
        <v>0.01</v>
      </c>
      <c r="AN9" s="2244" t="s">
        <v>3346</v>
      </c>
      <c r="AO9" s="3089"/>
      <c r="AP9" s="1185">
        <f t="shared" si="8"/>
        <v>0.82799999999999996</v>
      </c>
      <c r="AQ9" s="3089"/>
      <c r="AR9" s="3089"/>
      <c r="AS9" s="3089"/>
      <c r="AT9" s="3089"/>
      <c r="AU9" s="3089"/>
      <c r="AV9" s="3089"/>
      <c r="AW9" s="3089"/>
      <c r="AX9" s="3089"/>
      <c r="AY9" s="3089"/>
      <c r="AZ9" s="3089"/>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t="str">
        <f>'数据-汇总表'!C23</f>
        <v>公寓</v>
      </c>
      <c r="B10" s="2214" t="str">
        <f t="shared" si="1"/>
        <v>经营性</v>
      </c>
      <c r="C10" s="170" t="s">
        <v>1668</v>
      </c>
      <c r="D10" s="2185">
        <f>SUMIF(项目基本情况!D$15:I$15,C10,项目基本情况!D$18:I$18)</f>
        <v>40</v>
      </c>
      <c r="E10" s="2186">
        <f>IF(B10="","",SUMIF(项目基本情况!D$15:I$15,C10,项目基本情况!D$17:I$17))</f>
        <v>58734</v>
      </c>
      <c r="F10" s="171">
        <f>SUMIF(项目基本情况!D$15:I$15,C10,项目基本情况!D$19:I$19)</f>
        <v>40</v>
      </c>
      <c r="G10" s="172">
        <f t="shared" si="2"/>
        <v>1</v>
      </c>
      <c r="H10" s="173">
        <f t="shared" ref="H10:J11" si="9">H6</f>
        <v>0.03</v>
      </c>
      <c r="I10" s="173">
        <f t="shared" si="9"/>
        <v>0.04</v>
      </c>
      <c r="J10" s="173">
        <f t="shared" si="9"/>
        <v>0.05</v>
      </c>
      <c r="K10" s="176">
        <f>SUMIF('数据-汇总表'!C$19:C$33,'数据-取费表'!A10,'数据-汇总表'!E$19:E$33)</f>
        <v>0</v>
      </c>
      <c r="L10" s="190">
        <f>面积拆分!D7</f>
        <v>4000</v>
      </c>
      <c r="M10" s="174">
        <f t="shared" si="0"/>
        <v>0</v>
      </c>
      <c r="N10" s="191">
        <f>N6</f>
        <v>0</v>
      </c>
      <c r="O10" s="174">
        <f t="shared" si="3"/>
        <v>0</v>
      </c>
      <c r="P10" s="175">
        <f t="shared" si="4"/>
        <v>0</v>
      </c>
      <c r="Q10" s="189">
        <f>Q9</f>
        <v>0</v>
      </c>
      <c r="R10" s="176">
        <f>SUMIF('数据-汇总表'!C$19:C$33,A10,'数据-汇总表'!R$19:R$33)</f>
        <v>0</v>
      </c>
      <c r="S10" s="132">
        <f>IF('数据-汇总表'!$I$17="按面积比例",SUMIF('数据-汇总表'!C$19:C$33,A10,'数据-汇总表'!K$19:K$33),SUMIF('数据-汇总表'!C$19:C$33,A10,'数据-汇总表'!N$19:N$33))</f>
        <v>0</v>
      </c>
      <c r="T10" s="2111">
        <f t="shared" si="5"/>
        <v>0</v>
      </c>
      <c r="U10" s="177">
        <f>'[4]数据-取费表'!$U$10</f>
        <v>1.9</v>
      </c>
      <c r="V10" s="178">
        <v>0</v>
      </c>
      <c r="W10" s="178">
        <v>0.05</v>
      </c>
      <c r="X10" s="2198"/>
      <c r="Y10" s="179">
        <f>Y6</f>
        <v>1</v>
      </c>
      <c r="Z10" s="180"/>
      <c r="AA10" s="173"/>
      <c r="AB10" s="173"/>
      <c r="AC10" s="2201"/>
      <c r="AD10" s="181"/>
      <c r="AE10" s="959">
        <f t="shared" ca="1" si="6"/>
        <v>40</v>
      </c>
      <c r="AF10" s="138"/>
      <c r="AG10" s="1194">
        <f t="shared" si="7"/>
        <v>0</v>
      </c>
      <c r="AH10" s="138"/>
      <c r="AI10" s="184">
        <v>365</v>
      </c>
      <c r="AJ10" s="185"/>
      <c r="AK10" s="186">
        <f>AK6</f>
        <v>1.4999999999999999E-2</v>
      </c>
      <c r="AL10" s="187">
        <f>AL6</f>
        <v>1.5E-3</v>
      </c>
      <c r="AM10" s="2242">
        <f>AM6</f>
        <v>0.01</v>
      </c>
      <c r="AN10" s="2244" t="s">
        <v>3347</v>
      </c>
      <c r="AO10" s="3089"/>
      <c r="AP10" s="1185">
        <f t="shared" si="8"/>
        <v>0.69299999999999995</v>
      </c>
      <c r="AQ10" s="3089"/>
      <c r="AR10" s="3089"/>
      <c r="AS10" s="3089"/>
      <c r="AT10" s="3089"/>
      <c r="AU10" s="3089"/>
      <c r="AV10" s="3089"/>
      <c r="AW10" s="3089"/>
      <c r="AX10" s="3089"/>
      <c r="AY10" s="3089"/>
      <c r="AZ10" s="3089"/>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t="str">
        <f>'数据-汇总表'!C24</f>
        <v>酒店</v>
      </c>
      <c r="B11" s="2214" t="str">
        <f t="shared" si="1"/>
        <v>经营性</v>
      </c>
      <c r="C11" s="170" t="s">
        <v>3294</v>
      </c>
      <c r="D11" s="2185">
        <f>SUMIF(项目基本情况!D$15:I$15,C11,项目基本情况!D$18:I$18)</f>
        <v>40</v>
      </c>
      <c r="E11" s="2186">
        <f>IF(B11="","",SUMIF(项目基本情况!D$15:I$15,C11,项目基本情况!D$17:I$17))</f>
        <v>58734</v>
      </c>
      <c r="F11" s="171">
        <f>SUMIF(项目基本情况!D$15:I$15,C11,项目基本情况!D$19:I$19)</f>
        <v>40</v>
      </c>
      <c r="G11" s="172">
        <f t="shared" si="2"/>
        <v>1</v>
      </c>
      <c r="H11" s="173">
        <v>0.04</v>
      </c>
      <c r="I11" s="173">
        <v>4.4999999999999998E-2</v>
      </c>
      <c r="J11" s="173">
        <f t="shared" si="9"/>
        <v>6.5000000000000002E-2</v>
      </c>
      <c r="K11" s="176">
        <f>SUMIF('数据-汇总表'!C$19:C$33,'数据-取费表'!A11,'数据-汇总表'!E$19:E$33)</f>
        <v>0</v>
      </c>
      <c r="L11" s="190">
        <v>5200</v>
      </c>
      <c r="M11" s="174">
        <f t="shared" si="0"/>
        <v>0</v>
      </c>
      <c r="N11" s="191">
        <v>0</v>
      </c>
      <c r="O11" s="174">
        <f t="shared" si="3"/>
        <v>0</v>
      </c>
      <c r="P11" s="175">
        <f t="shared" si="4"/>
        <v>0</v>
      </c>
      <c r="Q11" s="189">
        <v>0.05</v>
      </c>
      <c r="R11" s="176">
        <f>SUMIF('数据-汇总表'!C$19:C$33,A11,'数据-汇总表'!R$19:R$33)</f>
        <v>0</v>
      </c>
      <c r="S11" s="132">
        <f>IF('数据-汇总表'!$I$17="按面积比例",SUMIF('数据-汇总表'!C$19:C$33,A11,'数据-汇总表'!K$19:K$33),SUMIF('数据-汇总表'!C$19:C$33,A11,'数据-汇总表'!N$19:N$33))</f>
        <v>0</v>
      </c>
      <c r="T11" s="2111">
        <f t="shared" si="5"/>
        <v>0</v>
      </c>
      <c r="U11" s="182" t="e">
        <f>酒店收入计算!E26/'数据-取费表'!K11/365*10000</f>
        <v>#DIV/0!</v>
      </c>
      <c r="V11" s="173">
        <v>0</v>
      </c>
      <c r="W11" s="173">
        <v>0.25</v>
      </c>
      <c r="X11" s="2201"/>
      <c r="Y11" s="179">
        <v>1</v>
      </c>
      <c r="Z11" s="192"/>
      <c r="AA11" s="173"/>
      <c r="AB11" s="173"/>
      <c r="AC11" s="2201"/>
      <c r="AD11" s="181"/>
      <c r="AE11" s="959">
        <f t="shared" ca="1" si="6"/>
        <v>40</v>
      </c>
      <c r="AF11" s="138"/>
      <c r="AG11" s="1194">
        <f t="shared" si="7"/>
        <v>0</v>
      </c>
      <c r="AH11" s="138"/>
      <c r="AI11" s="184">
        <v>365</v>
      </c>
      <c r="AJ11" s="185"/>
      <c r="AK11" s="193">
        <f>AK6</f>
        <v>1.4999999999999999E-2</v>
      </c>
      <c r="AL11" s="194">
        <f>AL6</f>
        <v>1.5E-3</v>
      </c>
      <c r="AM11" s="1729">
        <v>0.01</v>
      </c>
      <c r="AN11" s="2244" t="s">
        <v>3446</v>
      </c>
      <c r="AO11" s="3089"/>
      <c r="AP11" s="1185">
        <f t="shared" si="8"/>
        <v>0.79200000000000004</v>
      </c>
      <c r="AQ11" s="3089"/>
      <c r="AR11" s="3089"/>
      <c r="AS11" s="3089"/>
      <c r="AT11" s="3089"/>
      <c r="AU11" s="3089"/>
      <c r="AV11" s="3089"/>
      <c r="AW11" s="3089"/>
      <c r="AX11" s="3089"/>
      <c r="AY11" s="3089"/>
      <c r="AZ11" s="3089"/>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t="str">
        <f>'数据-汇总表'!C25</f>
        <v>车库</v>
      </c>
      <c r="B12" s="2214" t="str">
        <f t="shared" si="1"/>
        <v>经营性</v>
      </c>
      <c r="C12" s="170" t="s">
        <v>3519</v>
      </c>
      <c r="D12" s="2185">
        <f>SUMIF(项目基本情况!D$15:I$15,C12,项目基本情况!D$18:I$18)</f>
        <v>40</v>
      </c>
      <c r="E12" s="2186">
        <f>IF(B12="","",SUMIF(项目基本情况!D$15:I$15,C12,项目基本情况!D$17:I$17))</f>
        <v>58734</v>
      </c>
      <c r="F12" s="171">
        <f>SUMIF(项目基本情况!D$15:I$15,C12,项目基本情况!D$19:I$19)</f>
        <v>40</v>
      </c>
      <c r="G12" s="172">
        <f>IF(ISERROR(ROUND(POWER(1+H12,D12-F12)*(POWER(1+H12,F12)-1)/(POWER(1+H12,D12)-1),3)),0,ROUND(POWER(1+H12,D12-F12)*(POWER(1+H12,F12)-1)/(POWER(1+H12,D12)-1),3))</f>
        <v>1</v>
      </c>
      <c r="H12" s="173">
        <v>0.04</v>
      </c>
      <c r="I12" s="173">
        <f>I7</f>
        <v>0.05</v>
      </c>
      <c r="J12" s="173">
        <v>0.06</v>
      </c>
      <c r="K12" s="176">
        <f>SUMIF('数据-汇总表'!C$19:C$33,'数据-取费表'!A12,'数据-汇总表'!E$19:E$33)</f>
        <v>0</v>
      </c>
      <c r="L12" s="190">
        <v>3500</v>
      </c>
      <c r="M12" s="174">
        <f>ROUND(K12*L12/10000,0)</f>
        <v>0</v>
      </c>
      <c r="N12" s="191">
        <v>0</v>
      </c>
      <c r="O12" s="174">
        <f t="shared" si="3"/>
        <v>0</v>
      </c>
      <c r="P12" s="175">
        <f t="shared" si="4"/>
        <v>0</v>
      </c>
      <c r="Q12" s="189">
        <f>汇总5!Q7</f>
        <v>0.1</v>
      </c>
      <c r="R12" s="176">
        <f>SUMIF('数据-汇总表'!C$19:C$33,A12,'数据-汇总表'!R$19:R$33)</f>
        <v>0</v>
      </c>
      <c r="S12" s="132">
        <f>IF('数据-汇总表'!$I$17="按面积比例",SUMIF('数据-汇总表'!C$19:C$33,A12,'数据-汇总表'!K$19:K$33),SUMIF('数据-汇总表'!C$19:C$33,A12,'数据-汇总表'!N$19:N$33))</f>
        <v>0</v>
      </c>
      <c r="T12" s="2111">
        <f t="shared" si="5"/>
        <v>0</v>
      </c>
      <c r="U12" s="182">
        <v>300</v>
      </c>
      <c r="V12" s="173">
        <v>0</v>
      </c>
      <c r="W12" s="173">
        <f>汇总5!R7</f>
        <v>0.15</v>
      </c>
      <c r="X12" s="2201"/>
      <c r="Y12" s="179">
        <v>1</v>
      </c>
      <c r="Z12" s="192"/>
      <c r="AA12" s="173"/>
      <c r="AB12" s="173"/>
      <c r="AC12" s="2201"/>
      <c r="AD12" s="181"/>
      <c r="AE12" s="959">
        <f t="shared" ca="1" si="6"/>
        <v>40</v>
      </c>
      <c r="AF12" s="138"/>
      <c r="AG12" s="1194">
        <f t="shared" si="7"/>
        <v>0</v>
      </c>
      <c r="AH12" s="138">
        <v>12</v>
      </c>
      <c r="AI12" s="184">
        <v>12</v>
      </c>
      <c r="AJ12" s="185"/>
      <c r="AK12" s="193">
        <v>0.01</v>
      </c>
      <c r="AL12" s="194">
        <v>1E-3</v>
      </c>
      <c r="AM12" s="1729">
        <v>0.01</v>
      </c>
      <c r="AN12" s="2244" t="s">
        <v>3522</v>
      </c>
      <c r="AO12" s="3089"/>
      <c r="AP12" s="1185">
        <f t="shared" si="8"/>
        <v>0.79200000000000004</v>
      </c>
      <c r="AQ12" s="3089"/>
      <c r="AR12" s="3089"/>
      <c r="AS12" s="3089"/>
      <c r="AT12" s="3089"/>
      <c r="AU12" s="3089"/>
      <c r="AV12" s="3089"/>
      <c r="AW12" s="3089"/>
      <c r="AX12" s="3089"/>
      <c r="AY12" s="3089"/>
      <c r="AZ12" s="3089"/>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2">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9">
        <f t="shared" ca="1" si="6"/>
        <v>0</v>
      </c>
      <c r="AF13" s="138"/>
      <c r="AG13" s="1194">
        <f t="shared" si="7"/>
        <v>0</v>
      </c>
      <c r="AH13" s="138"/>
      <c r="AI13" s="184"/>
      <c r="AJ13" s="185"/>
      <c r="AK13" s="186"/>
      <c r="AL13" s="187"/>
      <c r="AM13" s="2242"/>
      <c r="AN13" s="2244"/>
      <c r="AO13" s="3089"/>
      <c r="AP13" s="1185">
        <f t="shared" si="8"/>
        <v>0</v>
      </c>
      <c r="AQ13" s="3089"/>
      <c r="AR13" s="3089"/>
      <c r="AS13" s="3089"/>
      <c r="AT13" s="3089"/>
      <c r="AU13" s="3089"/>
      <c r="AV13" s="3089"/>
      <c r="AW13" s="3089"/>
      <c r="AX13" s="3089"/>
      <c r="AY13" s="3089"/>
      <c r="AZ13" s="3089"/>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2301</v>
      </c>
      <c r="B14" s="2183" t="s">
        <v>1670</v>
      </c>
      <c r="C14" s="2184" t="s">
        <v>2301</v>
      </c>
      <c r="D14" s="2185"/>
      <c r="E14" s="2186"/>
      <c r="F14" s="171"/>
      <c r="G14" s="172"/>
      <c r="H14" s="2187"/>
      <c r="I14" s="2187"/>
      <c r="J14" s="2187"/>
      <c r="K14" s="176">
        <f>SUMIF('数据-汇总表'!C$19:C$33,'数据-取费表'!A14,'数据-汇总表'!E$19:E$33)</f>
        <v>5834</v>
      </c>
      <c r="L14" s="190">
        <f>面积拆分!D20</f>
        <v>0</v>
      </c>
      <c r="M14" s="174">
        <f t="shared" si="0"/>
        <v>0</v>
      </c>
      <c r="N14" s="191">
        <v>0</v>
      </c>
      <c r="O14" s="174">
        <f t="shared" si="3"/>
        <v>0</v>
      </c>
      <c r="P14" s="175">
        <f t="shared" si="4"/>
        <v>0</v>
      </c>
      <c r="Q14" s="2195"/>
      <c r="R14" s="176"/>
      <c r="S14" s="132"/>
      <c r="T14" s="2194"/>
      <c r="U14" s="961"/>
      <c r="V14" s="2197"/>
      <c r="W14" s="2197"/>
      <c r="X14" s="2198"/>
      <c r="Y14" s="2199"/>
      <c r="Z14" s="135"/>
      <c r="AA14" s="2200"/>
      <c r="AB14" s="2200"/>
      <c r="AC14" s="2201"/>
      <c r="AD14" s="2198"/>
      <c r="AE14" s="959"/>
      <c r="AF14" s="2173"/>
      <c r="AG14" s="1194"/>
      <c r="AH14" s="2173"/>
      <c r="AI14" s="1504"/>
      <c r="AJ14" s="1504"/>
      <c r="AK14" s="2202"/>
      <c r="AL14" s="2203"/>
      <c r="AM14" s="2204"/>
      <c r="AN14" s="3089"/>
      <c r="AO14" s="3089"/>
      <c r="AP14" s="3089"/>
      <c r="AQ14" s="3089"/>
      <c r="AR14" s="3089"/>
      <c r="AS14" s="3089"/>
      <c r="AT14" s="3089"/>
      <c r="AU14" s="3089"/>
      <c r="AV14" s="3089"/>
      <c r="AW14" s="3089"/>
      <c r="AX14" s="3089"/>
      <c r="AY14" s="3089"/>
      <c r="AZ14" s="3089"/>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2303</v>
      </c>
      <c r="B15" s="2183" t="s">
        <v>1670</v>
      </c>
      <c r="C15" s="2184" t="s">
        <v>2302</v>
      </c>
      <c r="D15" s="2185"/>
      <c r="E15" s="2186"/>
      <c r="F15" s="171"/>
      <c r="G15" s="172"/>
      <c r="H15" s="2187"/>
      <c r="I15" s="2187"/>
      <c r="J15" s="2187"/>
      <c r="K15" s="176">
        <f>SUMIF('数据-汇总表'!C$19:C$33,'数据-取费表'!A15,'数据-汇总表'!E$19:E$33)</f>
        <v>0</v>
      </c>
      <c r="L15" s="2193"/>
      <c r="M15" s="174"/>
      <c r="N15" s="2196"/>
      <c r="O15" s="174"/>
      <c r="P15" s="175"/>
      <c r="Q15" s="2195"/>
      <c r="R15" s="176"/>
      <c r="S15" s="132"/>
      <c r="T15" s="2194"/>
      <c r="U15" s="961"/>
      <c r="V15" s="2197"/>
      <c r="W15" s="2197"/>
      <c r="X15" s="2198"/>
      <c r="Y15" s="2199"/>
      <c r="Z15" s="135"/>
      <c r="AA15" s="2200"/>
      <c r="AB15" s="2200"/>
      <c r="AC15" s="2201"/>
      <c r="AD15" s="2198"/>
      <c r="AE15" s="959"/>
      <c r="AF15" s="2173"/>
      <c r="AG15" s="1194"/>
      <c r="AH15" s="2173"/>
      <c r="AI15" s="1504"/>
      <c r="AJ15" s="1504"/>
      <c r="AK15" s="2202"/>
      <c r="AL15" s="2203"/>
      <c r="AM15" s="2204"/>
      <c r="AN15" s="3089"/>
      <c r="AO15" s="3089"/>
      <c r="AP15" s="3089"/>
      <c r="AQ15" s="3089"/>
      <c r="AR15" s="3089"/>
      <c r="AS15" s="3089"/>
      <c r="AT15" s="3089"/>
      <c r="AU15" s="3089"/>
      <c r="AV15" s="3089"/>
      <c r="AW15" s="3089"/>
      <c r="AX15" s="3089"/>
      <c r="AY15" s="3089"/>
      <c r="AZ15" s="3089"/>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262</v>
      </c>
      <c r="B16" s="196"/>
      <c r="C16" s="197"/>
      <c r="D16" s="198"/>
      <c r="E16" s="196"/>
      <c r="F16" s="196"/>
      <c r="G16" s="199">
        <f>ROUND(SUMPRODUCT(G6:G13,K6:K13)/SUMPRODUCT((G6:G13&gt;0)*(K6:K13)),3)</f>
        <v>1</v>
      </c>
      <c r="H16" s="200">
        <f>ROUND(SUMPRODUCT(H6:H13,K6:K13)/SUMPRODUCT((H6:H13&gt;0)*(K6:K13)),3)</f>
        <v>0.03</v>
      </c>
      <c r="I16" s="201"/>
      <c r="J16" s="201"/>
      <c r="K16" s="202">
        <f>SUM(K6:K15)</f>
        <v>196602</v>
      </c>
      <c r="L16" s="203">
        <f>ROUND(M16*10000/SUM(K6:K14),0)</f>
        <v>4502</v>
      </c>
      <c r="M16" s="203">
        <f>SUM(M6:M14)</f>
        <v>88501</v>
      </c>
      <c r="N16" s="204">
        <f>ROUND(SUMPRODUCT(M6:M14,N6:N14)/M16,3)</f>
        <v>0</v>
      </c>
      <c r="O16" s="203">
        <f>SUM(O6:O14)</f>
        <v>0</v>
      </c>
      <c r="P16" s="203">
        <f>SUM(P6:P14)</f>
        <v>88501</v>
      </c>
      <c r="Q16" s="205">
        <f>ROUND(SUMPRODUCT(Q6:Q13,K6:K13)/SUMPRODUCT((Q6:Q13&gt;0)*(K6:K13)),2)</f>
        <v>0.03</v>
      </c>
      <c r="R16" s="2188">
        <f>SUM(R6:R13)</f>
        <v>98307.01</v>
      </c>
      <c r="S16" s="206">
        <f>SUM(S6:S13)</f>
        <v>5834</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9"/>
      <c r="AO16" s="3089"/>
      <c r="AP16" s="1185">
        <f>ROUND(SUMPRODUCT(AP6:AP13,K6:K13)/SUMPRODUCT((AP6:AP13&gt;0)*(K6:K13)),3)</f>
        <v>0.874</v>
      </c>
      <c r="AQ16" s="3089"/>
      <c r="AR16" s="3089"/>
      <c r="AS16" s="3089"/>
      <c r="AT16" s="3089"/>
      <c r="AU16" s="3089"/>
      <c r="AV16" s="3089"/>
      <c r="AW16" s="3089"/>
      <c r="AX16" s="3089"/>
      <c r="AY16" s="3089"/>
      <c r="AZ16" s="3089"/>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7" t="s">
        <v>263</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4" t="s">
        <v>264</v>
      </c>
      <c r="B19" s="215">
        <f>'[5]数据-取费表'!$B$19</f>
        <v>1</v>
      </c>
      <c r="C19" s="3101" t="s">
        <v>2974</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6" t="s">
        <v>265</v>
      </c>
      <c r="B20" s="217">
        <f>'[5]数据-取费表'!$B$20</f>
        <v>1.5</v>
      </c>
      <c r="C20" s="3101" t="s">
        <v>2322</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8" t="s">
        <v>266</v>
      </c>
      <c r="B21" s="217">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6" t="s">
        <v>267</v>
      </c>
      <c r="B22" s="219">
        <f>B19+B20</f>
        <v>2.5</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8" t="s">
        <v>268</v>
      </c>
      <c r="B23" s="219">
        <f>B19+B21</f>
        <v>1</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0" t="s">
        <v>269</v>
      </c>
      <c r="B24" s="221">
        <f>B20-B21</f>
        <v>1.5</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6" t="s">
        <v>270</v>
      </c>
      <c r="B26" s="222" t="s">
        <v>271</v>
      </c>
      <c r="C26" s="3091" t="s">
        <v>272</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3" t="s">
        <v>2324</v>
      </c>
      <c r="B27" s="224">
        <v>160</v>
      </c>
      <c r="C27" s="3102" t="s">
        <v>2975</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2325</v>
      </c>
      <c r="B28" s="226">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2323</v>
      </c>
      <c r="B29" s="229"/>
      <c r="C29" s="3103" t="s">
        <v>2326</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273</v>
      </c>
      <c r="B30" s="3318">
        <v>30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274</v>
      </c>
      <c r="B31" s="227">
        <f>B30-B32</f>
        <v>30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4" t="s">
        <v>275</v>
      </c>
      <c r="B32" s="1327"/>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278</v>
      </c>
      <c r="B33" s="1328">
        <v>0.05</v>
      </c>
      <c r="C33" s="3104" t="s">
        <v>2962</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279</v>
      </c>
      <c r="B34" s="230">
        <v>0.05</v>
      </c>
      <c r="C34" s="3104" t="s">
        <v>2963</v>
      </c>
      <c r="D34" s="3105" t="s">
        <v>2971</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5" t="s">
        <v>276</v>
      </c>
      <c r="B35" s="226">
        <v>350</v>
      </c>
      <c r="C35" s="3104" t="s">
        <v>2964</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8" t="s">
        <v>277</v>
      </c>
      <c r="B36" s="231">
        <v>1.4999999999999999E-2</v>
      </c>
      <c r="C36" s="3104" t="s">
        <v>2965</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2" t="s">
        <v>280</v>
      </c>
      <c r="B37" s="233">
        <v>0.01</v>
      </c>
      <c r="C37" s="3104" t="s">
        <v>2966</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5" t="s">
        <v>281</v>
      </c>
      <c r="B38" s="230">
        <v>0.01</v>
      </c>
      <c r="C38" s="3104" t="s">
        <v>2966</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9" t="s">
        <v>2437</v>
      </c>
      <c r="B39" s="789">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9" t="s">
        <v>2438</v>
      </c>
      <c r="B40" s="2331">
        <f ca="1">存贷款利率!E2</f>
        <v>4.7500000000000001E-2</v>
      </c>
      <c r="C40" s="3104" t="s">
        <v>2967</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3" t="s">
        <v>282</v>
      </c>
      <c r="B41" s="235">
        <f>B42+B43</f>
        <v>5.5000000000000007E-2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5" t="s">
        <v>283</v>
      </c>
      <c r="B42" s="237">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5" t="s">
        <v>284</v>
      </c>
      <c r="B43" s="238">
        <f>B42*(B44+B45+B46)+B47</f>
        <v>5.000000000000001E-3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6" t="s">
        <v>285</v>
      </c>
      <c r="B44" s="239">
        <v>0.05</v>
      </c>
      <c r="C44" s="3104" t="s">
        <v>2972</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6" t="s">
        <v>286</v>
      </c>
      <c r="B45" s="237">
        <v>0.03</v>
      </c>
      <c r="C45" s="3107" t="s">
        <v>2968</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6" t="s">
        <v>287</v>
      </c>
      <c r="B46" s="237">
        <v>0.02</v>
      </c>
      <c r="C46" s="3107" t="s">
        <v>2969</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40" t="s">
        <v>288</v>
      </c>
      <c r="B47" s="241"/>
      <c r="C47" s="3102" t="s">
        <v>2976</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2" t="s">
        <v>289</v>
      </c>
      <c r="B48" s="243">
        <v>0.03</v>
      </c>
      <c r="C48" s="3107" t="s">
        <v>2968</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4" t="s">
        <v>290</v>
      </c>
      <c r="B49" s="237">
        <v>5.0000000000000001E-4</v>
      </c>
      <c r="C49" s="3107" t="s">
        <v>2970</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4" t="s">
        <v>291</v>
      </c>
      <c r="B50" s="245">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8" t="s">
        <v>292</v>
      </c>
      <c r="B51" s="246">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4" t="s">
        <v>293</v>
      </c>
      <c r="B52" s="247">
        <f>SUMIF(A54:A63,B53,B54:B63)</f>
        <v>3</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5" t="s">
        <v>294</v>
      </c>
      <c r="B53" s="248" t="s">
        <v>1398</v>
      </c>
      <c r="C53" s="3097" t="s">
        <v>2865</v>
      </c>
      <c r="D53" s="3108" t="s">
        <v>2973</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2866</v>
      </c>
      <c r="B54" s="183"/>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2867</v>
      </c>
      <c r="B55" s="183"/>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2868</v>
      </c>
      <c r="B56" s="183"/>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2869</v>
      </c>
      <c r="B57" s="183"/>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2870</v>
      </c>
      <c r="B58" s="183">
        <v>3</v>
      </c>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2871</v>
      </c>
      <c r="B59" s="183"/>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2872</v>
      </c>
      <c r="B60" s="183"/>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2873</v>
      </c>
      <c r="B61" s="183"/>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2874</v>
      </c>
      <c r="B62" s="183"/>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2875</v>
      </c>
      <c r="B63" s="249"/>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4" type="noConversion"/>
  <conditionalFormatting sqref="T6:T15">
    <cfRule type="containsText" dxfId="228" priority="12" stopIfTrue="1" operator="containsText" text="自行计算">
      <formula>NOT(ISERROR(SEARCH("自行计算",T6)))</formula>
    </cfRule>
    <cfRule type="containsText" dxfId="227" priority="13" stopIfTrue="1" operator="containsText" text="自行计算">
      <formula>NOT(ISERROR(SEARCH("自行计算",T6)))</formula>
    </cfRule>
  </conditionalFormatting>
  <conditionalFormatting sqref="T6:T13">
    <cfRule type="containsText" dxfId="226" priority="10" stopIfTrue="1" operator="containsText" text="自行计算">
      <formula>NOT(ISERROR(SEARCH("自行计算",T6)))</formula>
    </cfRule>
    <cfRule type="containsText" dxfId="225" priority="11" stopIfTrue="1" operator="containsText" text="自行计算">
      <formula>NOT(ISERROR(SEARCH("自行计算",T6)))</formula>
    </cfRule>
  </conditionalFormatting>
  <conditionalFormatting sqref="T12:T13">
    <cfRule type="containsText" dxfId="224" priority="4" stopIfTrue="1" operator="containsText" text="自行计算">
      <formula>NOT(ISERROR(SEARCH("自行计算",T12)))</formula>
    </cfRule>
    <cfRule type="containsText" dxfId="223" priority="5" stopIfTrue="1" operator="containsText" text="自行计算">
      <formula>NOT(ISERROR(SEARCH("自行计算",T12)))</formula>
    </cfRule>
  </conditionalFormatting>
  <conditionalFormatting sqref="T12:T13">
    <cfRule type="containsText" dxfId="222" priority="2" stopIfTrue="1" operator="containsText" text="自行计算">
      <formula>NOT(ISERROR(SEARCH("自行计算",T12)))</formula>
    </cfRule>
    <cfRule type="containsText" dxfId="221" priority="3" stopIfTrue="1" operator="containsText" text="自行计算">
      <formula>NOT(ISERROR(SEARCH("自行计算",T12)))</formula>
    </cfRule>
  </conditionalFormatting>
  <conditionalFormatting sqref="T6:T15">
    <cfRule type="expression" dxfId="22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19" sqref="C19"/>
    </sheetView>
  </sheetViews>
  <sheetFormatPr defaultColWidth="12.625" defaultRowHeight="21.75" customHeight="1"/>
  <cols>
    <col min="1" max="2" width="12.625" style="1202" bestFit="1" customWidth="1"/>
    <col min="3" max="4" width="12.625" style="1202" customWidth="1"/>
    <col min="5" max="9" width="12.625" style="1202" bestFit="1" customWidth="1"/>
    <col min="10" max="10" width="2.125" style="254" customWidth="1"/>
    <col min="11" max="12" width="12.625" style="254" customWidth="1"/>
    <col min="13" max="13" width="12.625" style="254"/>
    <col min="14" max="14" width="15.625" style="254" bestFit="1" customWidth="1"/>
    <col min="15" max="19" width="12.625" style="254" bestFit="1" customWidth="1"/>
    <col min="20" max="26" width="12.625" style="254"/>
    <col min="27" max="16384" width="12.625" style="1202"/>
  </cols>
  <sheetData>
    <row r="1" spans="1:22" ht="21.75" customHeight="1" thickBot="1">
      <c r="A1" s="1688" t="s">
        <v>2043</v>
      </c>
      <c r="B1" s="1689"/>
      <c r="C1" s="1717" t="s">
        <v>2044</v>
      </c>
      <c r="D1" s="1718"/>
      <c r="E1" s="1717" t="s">
        <v>2045</v>
      </c>
      <c r="F1" s="1719"/>
      <c r="G1" s="308"/>
      <c r="H1" s="308"/>
      <c r="I1" s="308"/>
      <c r="J1" s="1909"/>
      <c r="K1" s="1909"/>
      <c r="L1" s="1909"/>
      <c r="M1" s="1909"/>
      <c r="N1" s="1909"/>
      <c r="O1" s="1909"/>
      <c r="P1" s="1909"/>
      <c r="Q1" s="1909"/>
      <c r="R1" s="1909"/>
      <c r="S1" s="1909"/>
      <c r="T1" s="1909"/>
      <c r="U1" s="1909"/>
      <c r="V1" s="1909"/>
    </row>
    <row r="2" spans="1:22" ht="21.75" customHeight="1" thickBot="1">
      <c r="A2" s="3543" t="str">
        <f>项目基本情况!K2</f>
        <v>河北省出让国有建设用地使用权</v>
      </c>
      <c r="B2" s="3544"/>
      <c r="C2" s="3545"/>
      <c r="D2" s="3545"/>
      <c r="E2" s="3545"/>
      <c r="F2" s="3545"/>
      <c r="G2" s="3544"/>
      <c r="H2" s="3544"/>
      <c r="I2" s="3546"/>
      <c r="J2" s="1910"/>
      <c r="K2" s="1909"/>
      <c r="L2" s="1909"/>
      <c r="M2" s="1909"/>
      <c r="N2" s="1909"/>
      <c r="O2" s="1909"/>
      <c r="P2" s="1909"/>
      <c r="Q2" s="1909"/>
      <c r="R2" s="1909"/>
      <c r="S2" s="1909"/>
      <c r="T2" s="1909"/>
      <c r="U2" s="1909"/>
      <c r="V2" s="1909"/>
    </row>
    <row r="3" spans="1:22" ht="14.25">
      <c r="A3" s="3536" t="s">
        <v>298</v>
      </c>
      <c r="B3" s="3537"/>
      <c r="C3" s="3537"/>
      <c r="D3" s="3537"/>
      <c r="E3" s="3537"/>
      <c r="F3" s="3537"/>
      <c r="G3" s="3537"/>
      <c r="H3" s="3537"/>
      <c r="I3" s="3537"/>
      <c r="J3" s="1910"/>
      <c r="K3" s="1909"/>
      <c r="L3" s="1909"/>
      <c r="M3" s="1909"/>
      <c r="N3" s="1909"/>
      <c r="O3" s="1909"/>
      <c r="P3" s="1909"/>
      <c r="Q3" s="1909"/>
      <c r="R3" s="1909"/>
      <c r="S3" s="1909"/>
      <c r="T3" s="1909"/>
      <c r="U3" s="1909"/>
      <c r="V3" s="1909"/>
    </row>
    <row r="4" spans="1:22" ht="14.25">
      <c r="A4" s="255" t="s">
        <v>299</v>
      </c>
      <c r="B4" s="256" t="s">
        <v>300</v>
      </c>
      <c r="C4" s="257" t="s">
        <v>3370</v>
      </c>
      <c r="D4" s="257" t="s">
        <v>3371</v>
      </c>
      <c r="E4" s="3502" t="s">
        <v>301</v>
      </c>
      <c r="F4" s="3503"/>
      <c r="G4" s="3503"/>
      <c r="H4" s="3503"/>
      <c r="I4" s="3538"/>
      <c r="J4" s="1910"/>
      <c r="K4" s="1909"/>
      <c r="L4" s="3191"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基准地价系数修正法</v>
      </c>
      <c r="N4" s="1909"/>
      <c r="O4" s="1909"/>
      <c r="P4" s="1909"/>
      <c r="Q4" s="1909"/>
      <c r="R4" s="1909"/>
      <c r="S4" s="1909"/>
      <c r="T4" s="1909"/>
      <c r="U4" s="1909"/>
      <c r="V4" s="1909"/>
    </row>
    <row r="5" spans="1:22" ht="14.25">
      <c r="A5" s="3501" t="s">
        <v>302</v>
      </c>
      <c r="B5" s="3530">
        <v>25</v>
      </c>
      <c r="C5" s="3528">
        <v>5</v>
      </c>
      <c r="D5" s="3532">
        <f>10-C5</f>
        <v>5</v>
      </c>
      <c r="E5" s="258" t="s">
        <v>303</v>
      </c>
      <c r="F5" s="259"/>
      <c r="G5" s="259"/>
      <c r="H5" s="259"/>
      <c r="I5" s="260"/>
      <c r="J5" s="1910"/>
      <c r="K5" s="1909"/>
      <c r="L5" s="1909"/>
      <c r="M5" s="1909"/>
      <c r="N5" s="1909"/>
      <c r="O5" s="1909"/>
      <c r="P5" s="1909"/>
      <c r="Q5" s="1909"/>
      <c r="R5" s="1909"/>
      <c r="S5" s="1909"/>
      <c r="T5" s="1909"/>
      <c r="U5" s="1909"/>
      <c r="V5" s="1909"/>
    </row>
    <row r="6" spans="1:22" ht="14.25">
      <c r="A6" s="3501"/>
      <c r="B6" s="3530"/>
      <c r="C6" s="3531"/>
      <c r="D6" s="3532"/>
      <c r="E6" s="258" t="s">
        <v>304</v>
      </c>
      <c r="F6" s="259"/>
      <c r="G6" s="259"/>
      <c r="H6" s="259"/>
      <c r="I6" s="260"/>
      <c r="J6" s="1910"/>
      <c r="K6" s="1909"/>
      <c r="L6" s="1909"/>
      <c r="M6" s="1909"/>
      <c r="N6" s="1909"/>
      <c r="O6" s="1909"/>
      <c r="P6" s="1909"/>
      <c r="Q6" s="1909"/>
      <c r="R6" s="1909"/>
      <c r="S6" s="1909"/>
      <c r="T6" s="1909"/>
      <c r="U6" s="1909"/>
      <c r="V6" s="1909"/>
    </row>
    <row r="7" spans="1:22" ht="14.25">
      <c r="A7" s="3501"/>
      <c r="B7" s="3530"/>
      <c r="C7" s="3529"/>
      <c r="D7" s="3532"/>
      <c r="E7" s="258" t="s">
        <v>305</v>
      </c>
      <c r="F7" s="259"/>
      <c r="G7" s="259"/>
      <c r="H7" s="259"/>
      <c r="I7" s="260"/>
      <c r="J7" s="1910"/>
      <c r="K7" s="1909"/>
      <c r="L7" s="1909"/>
      <c r="M7" s="1909"/>
      <c r="N7" s="1909"/>
      <c r="O7" s="1909"/>
      <c r="P7" s="1909"/>
      <c r="Q7" s="1909"/>
      <c r="R7" s="1909"/>
      <c r="S7" s="1909"/>
      <c r="T7" s="1909"/>
      <c r="U7" s="1909"/>
      <c r="V7" s="1909"/>
    </row>
    <row r="8" spans="1:22" ht="14.25">
      <c r="A8" s="3501" t="s">
        <v>306</v>
      </c>
      <c r="B8" s="3530">
        <v>15</v>
      </c>
      <c r="C8" s="3528"/>
      <c r="D8" s="3532"/>
      <c r="E8" s="258" t="s">
        <v>307</v>
      </c>
      <c r="F8" s="259"/>
      <c r="G8" s="259"/>
      <c r="H8" s="259"/>
      <c r="I8" s="260"/>
      <c r="J8" s="1910"/>
      <c r="K8" s="1909"/>
      <c r="L8" s="1909"/>
      <c r="M8" s="1909"/>
      <c r="N8" s="1909"/>
      <c r="O8" s="1909"/>
      <c r="P8" s="1909"/>
      <c r="Q8" s="1909"/>
      <c r="R8" s="1909"/>
      <c r="S8" s="1909"/>
      <c r="T8" s="1909"/>
      <c r="U8" s="1909"/>
      <c r="V8" s="1909"/>
    </row>
    <row r="9" spans="1:22" ht="14.25">
      <c r="A9" s="3501"/>
      <c r="B9" s="3530"/>
      <c r="C9" s="3529"/>
      <c r="D9" s="3532"/>
      <c r="E9" s="258" t="s">
        <v>308</v>
      </c>
      <c r="F9" s="259"/>
      <c r="G9" s="259"/>
      <c r="H9" s="259"/>
      <c r="I9" s="260"/>
      <c r="J9" s="1910"/>
      <c r="K9" s="1909"/>
      <c r="L9" s="1909"/>
      <c r="M9" s="1909"/>
      <c r="N9" s="1909"/>
      <c r="O9" s="1909"/>
      <c r="P9" s="1909"/>
      <c r="Q9" s="1909"/>
      <c r="R9" s="1909"/>
      <c r="S9" s="1909"/>
      <c r="T9" s="1909"/>
      <c r="U9" s="1909"/>
      <c r="V9" s="1909"/>
    </row>
    <row r="10" spans="1:22" ht="14.25">
      <c r="A10" s="3501" t="s">
        <v>309</v>
      </c>
      <c r="B10" s="3530">
        <v>15</v>
      </c>
      <c r="C10" s="3528"/>
      <c r="D10" s="3532"/>
      <c r="E10" s="258" t="s">
        <v>310</v>
      </c>
      <c r="F10" s="259"/>
      <c r="G10" s="259"/>
      <c r="H10" s="259"/>
      <c r="I10" s="260"/>
      <c r="J10" s="1910"/>
      <c r="K10" s="1909"/>
      <c r="L10" s="1909"/>
      <c r="M10" s="1909"/>
      <c r="N10" s="1909"/>
      <c r="O10" s="1909"/>
      <c r="P10" s="1909"/>
      <c r="Q10" s="1909"/>
      <c r="R10" s="1909"/>
      <c r="S10" s="1909"/>
      <c r="T10" s="1909"/>
      <c r="U10" s="1909"/>
      <c r="V10" s="1909"/>
    </row>
    <row r="11" spans="1:22" ht="14.25">
      <c r="A11" s="3501"/>
      <c r="B11" s="3530"/>
      <c r="C11" s="3529"/>
      <c r="D11" s="3532"/>
      <c r="E11" s="258" t="s">
        <v>311</v>
      </c>
      <c r="F11" s="259"/>
      <c r="G11" s="259"/>
      <c r="H11" s="259"/>
      <c r="I11" s="260"/>
      <c r="J11" s="1910"/>
      <c r="K11" s="1909"/>
      <c r="L11" s="1909"/>
      <c r="M11" s="1909"/>
      <c r="N11" s="1909"/>
      <c r="O11" s="1909"/>
      <c r="P11" s="1909"/>
      <c r="Q11" s="1909"/>
      <c r="R11" s="1909"/>
      <c r="S11" s="1909"/>
      <c r="T11" s="1909"/>
      <c r="U11" s="1909"/>
      <c r="V11" s="1909"/>
    </row>
    <row r="12" spans="1:22" ht="14.25">
      <c r="A12" s="3501" t="s">
        <v>312</v>
      </c>
      <c r="B12" s="3530">
        <v>15</v>
      </c>
      <c r="C12" s="3528"/>
      <c r="D12" s="3532"/>
      <c r="E12" s="258" t="s">
        <v>313</v>
      </c>
      <c r="F12" s="259"/>
      <c r="G12" s="259"/>
      <c r="H12" s="259"/>
      <c r="I12" s="260"/>
      <c r="J12" s="1910"/>
      <c r="K12" s="1909"/>
      <c r="L12" s="1909"/>
      <c r="M12" s="1909"/>
      <c r="N12" s="1909"/>
      <c r="O12" s="1909"/>
      <c r="P12" s="1909"/>
      <c r="Q12" s="1909"/>
      <c r="R12" s="1909"/>
      <c r="S12" s="1909"/>
      <c r="T12" s="1909"/>
      <c r="U12" s="1909"/>
      <c r="V12" s="1909"/>
    </row>
    <row r="13" spans="1:22" ht="14.25">
      <c r="A13" s="3501"/>
      <c r="B13" s="3530"/>
      <c r="C13" s="3529"/>
      <c r="D13" s="3532"/>
      <c r="E13" s="258" t="s">
        <v>314</v>
      </c>
      <c r="F13" s="259"/>
      <c r="G13" s="259"/>
      <c r="H13" s="259"/>
      <c r="I13" s="260"/>
      <c r="J13" s="1910"/>
      <c r="K13" s="1909"/>
      <c r="L13" s="1909"/>
      <c r="M13" s="1909"/>
      <c r="N13" s="1909"/>
      <c r="O13" s="1909"/>
      <c r="P13" s="1909"/>
      <c r="Q13" s="1909"/>
      <c r="R13" s="1909"/>
      <c r="S13" s="1909"/>
      <c r="T13" s="1909"/>
      <c r="U13" s="1909"/>
      <c r="V13" s="1909"/>
    </row>
    <row r="14" spans="1:22" ht="14.25">
      <c r="A14" s="3501" t="s">
        <v>315</v>
      </c>
      <c r="B14" s="3530">
        <v>30</v>
      </c>
      <c r="C14" s="3528"/>
      <c r="D14" s="3532"/>
      <c r="E14" s="258" t="s">
        <v>316</v>
      </c>
      <c r="F14" s="259"/>
      <c r="G14" s="259"/>
      <c r="H14" s="259"/>
      <c r="I14" s="260"/>
      <c r="J14" s="1910"/>
      <c r="K14" s="1909"/>
      <c r="L14" s="1909"/>
      <c r="M14" s="1909"/>
      <c r="N14" s="1909"/>
      <c r="O14" s="1909"/>
      <c r="P14" s="1909"/>
      <c r="Q14" s="1909"/>
      <c r="R14" s="1909"/>
      <c r="S14" s="1909"/>
      <c r="T14" s="1909"/>
      <c r="U14" s="1909"/>
      <c r="V14" s="1909"/>
    </row>
    <row r="15" spans="1:22" ht="14.25">
      <c r="A15" s="3501"/>
      <c r="B15" s="3530"/>
      <c r="C15" s="3531"/>
      <c r="D15" s="3532"/>
      <c r="E15" s="258" t="s">
        <v>317</v>
      </c>
      <c r="F15" s="259"/>
      <c r="G15" s="259"/>
      <c r="H15" s="259"/>
      <c r="I15" s="260"/>
      <c r="J15" s="1910"/>
      <c r="K15" s="1909"/>
      <c r="L15" s="1909"/>
      <c r="M15" s="1909"/>
      <c r="N15" s="1909"/>
      <c r="O15" s="1909"/>
      <c r="P15" s="1909"/>
      <c r="Q15" s="1909"/>
      <c r="R15" s="1909"/>
      <c r="S15" s="1909"/>
      <c r="T15" s="1909"/>
      <c r="U15" s="1909"/>
      <c r="V15" s="1909"/>
    </row>
    <row r="16" spans="1:22" ht="14.25">
      <c r="A16" s="3501"/>
      <c r="B16" s="3530"/>
      <c r="C16" s="3529"/>
      <c r="D16" s="3532"/>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1"/>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533" t="s">
        <v>2950</v>
      </c>
      <c r="F18" s="3534"/>
      <c r="G18" s="3534"/>
      <c r="H18" s="3534"/>
      <c r="I18" s="3534"/>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13591</v>
      </c>
      <c r="D19" s="268">
        <f ca="1">SUMIF(INDIRECT("'"&amp;D4&amp;"'"&amp;"!A:A"),结果表!B19,INDIRECT("'"&amp;D4&amp;"'"&amp;"!B:B"))</f>
        <v>20840</v>
      </c>
      <c r="E19" s="265" t="s">
        <v>323</v>
      </c>
      <c r="F19" s="266" t="s">
        <v>322</v>
      </c>
      <c r="G19" s="269">
        <f ca="1">ROUND(C19*$C$18+D19*$D$18,0)</f>
        <v>17216</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691</v>
      </c>
      <c r="D20" s="274">
        <f ca="1">SUMIF(INDIRECT("'"&amp;D4&amp;"'"&amp;"!A:A"),结果表!B20,INDIRECT("'"&amp;D4&amp;"'"&amp;"!B:B"))</f>
        <v>1060</v>
      </c>
      <c r="E20" s="271"/>
      <c r="F20" s="272" t="s">
        <v>325</v>
      </c>
      <c r="G20" s="275">
        <f ca="1">ROUND(C20*$C$18+D20*$D$18,0)</f>
        <v>876</v>
      </c>
      <c r="H20" s="276" t="s">
        <v>326</v>
      </c>
      <c r="I20" s="308"/>
      <c r="J20" s="1909"/>
      <c r="K20" s="1909"/>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1383</v>
      </c>
      <c r="D21" s="148">
        <f ca="1">SUMIF(INDIRECT("'"&amp;D4&amp;"'"&amp;"!A:A"),结果表!B21,INDIRECT("'"&amp;D4&amp;"'"&amp;"!B:B"))</f>
        <v>2120</v>
      </c>
      <c r="E21" s="271"/>
      <c r="F21" s="277" t="s">
        <v>327</v>
      </c>
      <c r="G21" s="279">
        <f ca="1">ROUND(C21*$C$18+D21*$D$18,0)</f>
        <v>1752</v>
      </c>
      <c r="H21" s="1203" t="s">
        <v>326</v>
      </c>
      <c r="I21" s="308"/>
      <c r="J21" s="1909"/>
      <c r="K21" s="1909"/>
      <c r="L21" s="1909"/>
      <c r="M21" s="1909"/>
      <c r="N21" s="1909"/>
      <c r="O21" s="1909"/>
      <c r="P21" s="1909"/>
      <c r="Q21" s="1909"/>
      <c r="R21" s="1909"/>
      <c r="S21" s="1909"/>
      <c r="T21" s="1909"/>
      <c r="U21" s="1909"/>
      <c r="V21" s="1909"/>
    </row>
    <row r="22" spans="1:26" ht="15.75" thickBot="1">
      <c r="A22" s="126" t="s">
        <v>328</v>
      </c>
      <c r="B22" s="1204"/>
      <c r="C22" s="1205"/>
      <c r="D22" s="280">
        <f ca="1">IF(C19&lt;D19,D19/C19-1,C19/D19-1)</f>
        <v>0.5333676697814731</v>
      </c>
      <c r="E22" s="281"/>
      <c r="F22" s="282"/>
      <c r="G22" s="283">
        <f ca="1">ROUND(G19/('数据-汇总表'!D3/666.67),0)</f>
        <v>117</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507"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508"/>
      <c r="B25" s="1273" t="s">
        <v>331</v>
      </c>
      <c r="C25" s="287">
        <f>IF(B30=0,0,C30)</f>
        <v>0</v>
      </c>
      <c r="D25" s="288"/>
      <c r="E25" s="308"/>
      <c r="F25" s="308"/>
      <c r="G25" s="308"/>
      <c r="H25" s="308"/>
      <c r="I25" s="308"/>
      <c r="J25" s="1909"/>
      <c r="K25" s="1207" t="str">
        <f ca="1">项目基本情况!B16&amp;"国有建设用地使用权价格："&amp;O38&amp;"万元"</f>
        <v>出让国有建设用地使用权价格：17216万元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大写金额：人民币壹亿柒仟贰佰壹拾陆万元整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单位面积地价：1751元/平方米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楼面地价：876元/平方米</v>
      </c>
      <c r="L28" s="1204"/>
      <c r="M28" s="1204"/>
      <c r="N28" s="1204"/>
      <c r="O28" s="1203"/>
      <c r="P28" s="1909"/>
      <c r="V28" s="1909"/>
    </row>
    <row r="29" spans="1:26" ht="18">
      <c r="A29" s="290"/>
      <c r="B29" s="291"/>
      <c r="C29" s="291"/>
      <c r="D29" s="292"/>
      <c r="E29" s="308"/>
      <c r="F29" s="308"/>
      <c r="G29" s="308"/>
      <c r="H29" s="308"/>
      <c r="I29" s="308"/>
      <c r="J29" s="1909"/>
      <c r="K29" s="1210" t="str">
        <f>IF(OR(项目基本情况!E8="抵押价格",项目基本情况!E8="已注销及未注销"),"抵押价格："&amp;O39&amp;"万元","——")</f>
        <v>——</v>
      </c>
      <c r="L29" s="1204"/>
      <c r="M29" s="1204"/>
      <c r="N29" s="1204"/>
      <c r="O29" s="1203"/>
      <c r="P29" s="1909"/>
      <c r="V29" s="1909"/>
    </row>
    <row r="30" spans="1:26" ht="18.75" thickBot="1">
      <c r="A30" s="2797" t="s">
        <v>336</v>
      </c>
      <c r="B30" s="306"/>
      <c r="C30" s="306"/>
      <c r="D30" s="307"/>
      <c r="E30" s="3000" t="s">
        <v>2951</v>
      </c>
      <c r="F30" s="308"/>
      <c r="G30" s="308"/>
      <c r="H30" s="308"/>
      <c r="I30" s="308"/>
      <c r="J30" s="1909"/>
      <c r="K30" s="1210" t="str">
        <f>IF(K29="——","——","大写金额：人民币"&amp;NUMBERSTRING(INT(O39*10000),2)&amp;"元整")</f>
        <v>——</v>
      </c>
      <c r="L30" s="1204"/>
      <c r="M30" s="1204"/>
      <c r="N30" s="1204"/>
      <c r="O30" s="1203"/>
      <c r="P30" s="1909"/>
      <c r="V30" s="1909"/>
    </row>
    <row r="31" spans="1:26" ht="24" customHeight="1" thickBot="1">
      <c r="A31" s="3535" t="s">
        <v>2952</v>
      </c>
      <c r="B31" s="3535"/>
      <c r="C31" s="3535"/>
      <c r="D31" s="3535"/>
      <c r="E31" s="3535"/>
      <c r="F31" s="3535"/>
      <c r="G31" s="3535"/>
      <c r="H31" s="3535"/>
      <c r="I31" s="3535"/>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1" t="s">
        <v>337</v>
      </c>
      <c r="B32" s="3001" t="s">
        <v>1678</v>
      </c>
      <c r="C32" s="263">
        <f ca="1">G19-C24</f>
        <v>17216</v>
      </c>
      <c r="D32" s="3002" t="s">
        <v>1679</v>
      </c>
      <c r="E32" s="308"/>
      <c r="F32" s="308"/>
      <c r="G32" s="308"/>
      <c r="H32" s="308"/>
      <c r="I32" s="308"/>
      <c r="J32" s="1909"/>
      <c r="K32" s="2315" t="e">
        <f>IF(K31="——","——","大写金额：人民币"&amp;NUMBERSTRING(INT(O40*10000),2)&amp;"元整")</f>
        <v>#VALUE!</v>
      </c>
      <c r="L32" s="2318"/>
      <c r="M32" s="2318"/>
      <c r="N32" s="2318"/>
      <c r="O32" s="2319"/>
      <c r="P32" s="1909"/>
      <c r="V32" s="1909"/>
    </row>
    <row r="33" spans="1:26" ht="18.75" thickBot="1">
      <c r="A33" s="295" t="s">
        <v>340</v>
      </c>
      <c r="B33" s="1331" t="s">
        <v>1680</v>
      </c>
      <c r="C33" s="261">
        <f ca="1">ROUND(C32*10000/'数据-汇总表'!E3,0)</f>
        <v>876</v>
      </c>
      <c r="D33" s="1332" t="s">
        <v>1681</v>
      </c>
      <c r="E33" s="3507" t="s">
        <v>338</v>
      </c>
      <c r="F33" s="293" t="s">
        <v>339</v>
      </c>
      <c r="G33" s="294"/>
      <c r="H33" s="966"/>
      <c r="I33" s="1211"/>
      <c r="J33" s="1909"/>
      <c r="K33" s="1210" t="str">
        <f>IF(项目基本情况!E9="——","——","抵押净值："&amp;C46&amp;"万元")</f>
        <v>抵押净值：——万元</v>
      </c>
      <c r="L33" s="1204"/>
      <c r="M33" s="1204"/>
      <c r="N33" s="1204"/>
      <c r="O33" s="1203"/>
      <c r="P33" s="1909"/>
      <c r="V33" s="1909"/>
    </row>
    <row r="34" spans="1:26" s="1206" customFormat="1" ht="18.75" thickBot="1">
      <c r="A34" s="297"/>
      <c r="B34" s="1333" t="s">
        <v>1682</v>
      </c>
      <c r="C34" s="261">
        <f ca="1">ROUND(C32*10000/'数据-汇总表'!D3,0)</f>
        <v>1751</v>
      </c>
      <c r="D34" s="1334" t="s">
        <v>1681</v>
      </c>
      <c r="E34" s="3551"/>
      <c r="F34" s="127" t="s">
        <v>341</v>
      </c>
      <c r="G34" s="296"/>
      <c r="H34" s="105"/>
      <c r="I34" s="308"/>
      <c r="J34" s="1909"/>
      <c r="K34" s="1213" t="e">
        <f>IF(K33="——","——","大写金额：人民币"&amp;NUMBERSTRING(INT(O41*10000),2)&amp;"元整")</f>
        <v>#VALUE!</v>
      </c>
      <c r="L34" s="1214"/>
      <c r="M34" s="1214"/>
      <c r="N34" s="1214"/>
      <c r="O34" s="1215"/>
      <c r="P34" s="1909"/>
      <c r="Q34" s="289"/>
      <c r="R34" s="289"/>
      <c r="S34" s="289"/>
      <c r="T34" s="289"/>
      <c r="U34" s="289"/>
      <c r="V34" s="1909"/>
      <c r="W34" s="289"/>
      <c r="X34" s="289"/>
      <c r="Y34" s="289"/>
      <c r="Z34" s="289"/>
    </row>
    <row r="35" spans="1:26" ht="15.75" thickBot="1">
      <c r="A35" s="281"/>
      <c r="B35" s="1335"/>
      <c r="C35" s="1336">
        <f ca="1">ROUND(C32/('数据-汇总表'!D3/666.67),0)</f>
        <v>117</v>
      </c>
      <c r="D35" s="1337" t="s">
        <v>1683</v>
      </c>
      <c r="E35" s="3552"/>
      <c r="F35" s="298" t="s">
        <v>342</v>
      </c>
      <c r="G35" s="968"/>
      <c r="H35" s="967" t="s">
        <v>343</v>
      </c>
      <c r="I35" s="308"/>
      <c r="J35" s="1909"/>
      <c r="K35" s="3525" t="s">
        <v>350</v>
      </c>
      <c r="L35" s="3525" t="s">
        <v>351</v>
      </c>
      <c r="M35" s="1216" t="s">
        <v>352</v>
      </c>
      <c r="N35" s="3525" t="s">
        <v>353</v>
      </c>
      <c r="O35" s="3525" t="s">
        <v>354</v>
      </c>
      <c r="P35" s="1909"/>
      <c r="V35" s="1909"/>
    </row>
    <row r="36" spans="1:26" ht="16.5" customHeight="1">
      <c r="A36" s="300" t="s">
        <v>344</v>
      </c>
      <c r="B36" s="301" t="s">
        <v>333</v>
      </c>
      <c r="C36" s="302" t="s">
        <v>345</v>
      </c>
      <c r="D36" s="302" t="s">
        <v>346</v>
      </c>
      <c r="E36" s="303" t="s">
        <v>347</v>
      </c>
      <c r="F36" s="308"/>
      <c r="G36" s="308"/>
      <c r="H36" s="308"/>
      <c r="I36" s="308"/>
      <c r="J36" s="1911"/>
      <c r="K36" s="3526"/>
      <c r="L36" s="3526"/>
      <c r="M36" s="1218" t="s">
        <v>355</v>
      </c>
      <c r="N36" s="3526"/>
      <c r="O36" s="3526"/>
      <c r="P36" s="1909"/>
      <c r="V36" s="1909"/>
    </row>
    <row r="37" spans="1:26" ht="16.5" customHeight="1" thickBot="1">
      <c r="A37" s="1212" t="s">
        <v>348</v>
      </c>
      <c r="B37" s="304"/>
      <c r="C37" s="291"/>
      <c r="D37" s="291"/>
      <c r="E37" s="292"/>
      <c r="F37" s="308"/>
      <c r="G37" s="308"/>
      <c r="H37" s="308"/>
      <c r="I37" s="308"/>
      <c r="J37" s="1911"/>
      <c r="K37" s="3527"/>
      <c r="L37" s="3527"/>
      <c r="M37" s="1219"/>
      <c r="N37" s="3527"/>
      <c r="O37" s="3527"/>
      <c r="P37" s="1909"/>
      <c r="V37" s="1909"/>
    </row>
    <row r="38" spans="1:26" ht="16.5" customHeight="1" thickBot="1">
      <c r="A38" s="1212" t="s">
        <v>349</v>
      </c>
      <c r="B38" s="304"/>
      <c r="C38" s="291"/>
      <c r="D38" s="291"/>
      <c r="E38" s="292"/>
      <c r="F38" s="308"/>
      <c r="G38" s="308"/>
      <c r="H38" s="308"/>
      <c r="I38" s="308"/>
      <c r="J38" s="1911"/>
      <c r="K38" s="1220">
        <f>'数据-汇总表'!D3</f>
        <v>98307</v>
      </c>
      <c r="L38" s="1221">
        <f>'数据-汇总表'!E3</f>
        <v>196602</v>
      </c>
      <c r="M38" s="1221">
        <f ca="1">C34</f>
        <v>1751</v>
      </c>
      <c r="N38" s="1221">
        <f ca="1">C33</f>
        <v>876</v>
      </c>
      <c r="O38" s="1222">
        <f ca="1">C32</f>
        <v>17216</v>
      </c>
      <c r="P38" s="1909"/>
      <c r="V38" s="1909"/>
    </row>
    <row r="39" spans="1:26" ht="16.5" customHeight="1" thickBot="1">
      <c r="A39" s="1217"/>
      <c r="B39" s="305"/>
      <c r="C39" s="306"/>
      <c r="D39" s="306"/>
      <c r="E39" s="307"/>
      <c r="F39" s="308"/>
      <c r="G39" s="308"/>
      <c r="H39" s="308"/>
      <c r="I39" s="308"/>
      <c r="J39" s="1911"/>
      <c r="K39" s="3565" t="str">
        <f>MID(A44,3,LEN(A44)-2)</f>
        <v/>
      </c>
      <c r="L39" s="3566"/>
      <c r="M39" s="3566"/>
      <c r="N39" s="3567"/>
      <c r="O39" s="1339" t="str">
        <f>C44</f>
        <v>——</v>
      </c>
      <c r="P39" s="1909"/>
      <c r="V39" s="1909"/>
    </row>
    <row r="40" spans="1:26" ht="19.5" thickBot="1">
      <c r="A40" s="104" t="s">
        <v>864</v>
      </c>
      <c r="B40" s="308"/>
      <c r="C40" s="308"/>
      <c r="D40" s="308"/>
      <c r="E40" s="308"/>
      <c r="F40" s="308"/>
      <c r="G40" s="308"/>
      <c r="H40" s="308"/>
      <c r="I40" s="308"/>
      <c r="J40" s="1911"/>
      <c r="K40" s="3565" t="str">
        <f t="shared" ref="K40:K41" si="0">MID(A45,3,LEN(A45)-2)</f>
        <v/>
      </c>
      <c r="L40" s="3566"/>
      <c r="M40" s="3566"/>
      <c r="N40" s="3567"/>
      <c r="O40" s="1339" t="str">
        <f>C45</f>
        <v>——</v>
      </c>
      <c r="P40" s="1909"/>
      <c r="V40" s="1909"/>
    </row>
    <row r="41" spans="1:26" ht="16.5" thickBot="1">
      <c r="A41" s="309" t="s">
        <v>356</v>
      </c>
      <c r="B41" s="310"/>
      <c r="C41" s="311" t="s">
        <v>357</v>
      </c>
      <c r="D41" s="312" t="s">
        <v>358</v>
      </c>
      <c r="E41" s="312" t="s">
        <v>359</v>
      </c>
      <c r="F41" s="313" t="s">
        <v>360</v>
      </c>
      <c r="G41" s="308"/>
      <c r="H41" s="308"/>
      <c r="I41" s="308"/>
      <c r="J41" s="1911"/>
      <c r="K41" s="3565" t="str">
        <f t="shared" si="0"/>
        <v/>
      </c>
      <c r="L41" s="3566"/>
      <c r="M41" s="3566"/>
      <c r="N41" s="3567"/>
      <c r="O41" s="1339" t="str">
        <f>C46</f>
        <v>——</v>
      </c>
      <c r="P41" s="1909"/>
      <c r="V41" s="1909"/>
    </row>
    <row r="42" spans="1:26" ht="29.25">
      <c r="A42" s="3509" t="s">
        <v>2055</v>
      </c>
      <c r="B42" s="3510"/>
      <c r="C42" s="261">
        <f ca="1">C32</f>
        <v>17216</v>
      </c>
      <c r="D42" s="314">
        <f ca="1">C33</f>
        <v>876</v>
      </c>
      <c r="E42" s="314">
        <f ca="1">C34</f>
        <v>1751</v>
      </c>
      <c r="F42" s="315">
        <f ca="1">C35</f>
        <v>117</v>
      </c>
      <c r="G42" s="308"/>
      <c r="H42" s="308"/>
      <c r="I42" s="316"/>
      <c r="J42" s="1911"/>
      <c r="K42" s="1223" t="s">
        <v>361</v>
      </c>
      <c r="L42" s="1928" t="s">
        <v>362</v>
      </c>
      <c r="M42" s="1224" t="s">
        <v>363</v>
      </c>
      <c r="N42" s="1929" t="s">
        <v>364</v>
      </c>
      <c r="O42" s="1930" t="s">
        <v>365</v>
      </c>
      <c r="P42" s="1909"/>
      <c r="V42" s="1909"/>
    </row>
    <row r="43" spans="1:26" ht="30">
      <c r="A43" s="3520" t="s">
        <v>2703</v>
      </c>
      <c r="B43" s="3521"/>
      <c r="C43" s="261">
        <f>IF(H33="正常操作",G33+G34+G35,G34+G35)</f>
        <v>0</v>
      </c>
      <c r="D43" s="314" t="s">
        <v>43</v>
      </c>
      <c r="E43" s="314" t="s">
        <v>44</v>
      </c>
      <c r="F43" s="315" t="s">
        <v>44</v>
      </c>
      <c r="G43" s="2580" t="s">
        <v>943</v>
      </c>
      <c r="H43" s="308"/>
      <c r="I43" s="316"/>
      <c r="J43" s="1911"/>
      <c r="K43" s="1225" t="str">
        <f>C4</f>
        <v>剩余法-待开发</v>
      </c>
      <c r="L43" s="1226">
        <f ca="1">IF(L42="估价结果/万元",C19,C20)</f>
        <v>13591</v>
      </c>
      <c r="M43" s="1227">
        <f>C18</f>
        <v>0.5</v>
      </c>
      <c r="N43" s="1228">
        <f ca="1">IF(N42="测算结果/万元",G19,G20)</f>
        <v>17216</v>
      </c>
      <c r="O43" s="1229">
        <f ca="1">IF(O42="最终结果/万元",C32,C33)</f>
        <v>17216</v>
      </c>
      <c r="P43" s="1909"/>
      <c r="V43" s="1909"/>
    </row>
    <row r="44" spans="1:26" ht="18.75" thickBot="1">
      <c r="A44" s="3509" t="str">
        <f>IF(OR(项目基本情况!E8="抵押价格",项目基本情况!E8="已注销及未注销"),"3.抵押价格","——")</f>
        <v>——</v>
      </c>
      <c r="B44" s="3510"/>
      <c r="C44" s="261" t="str">
        <f>IF(A44="——","——",C42-C43)</f>
        <v>——</v>
      </c>
      <c r="D44" s="314" t="e">
        <f>ROUND(C44*10000/'数据-汇总表'!E3,0)</f>
        <v>#VALUE!</v>
      </c>
      <c r="E44" s="314" t="e">
        <f>ROUND(C44*10000/'数据-汇总表'!D3,0)</f>
        <v>#VALUE!</v>
      </c>
      <c r="F44" s="315" t="e">
        <f>ROUND(C44/('数据-汇总表'!D3/666.67),0)</f>
        <v>#VALUE!</v>
      </c>
      <c r="G44" s="308"/>
      <c r="H44" s="308"/>
      <c r="I44" s="316"/>
      <c r="J44" s="1911"/>
      <c r="K44" s="1230" t="str">
        <f>D4</f>
        <v>成本逼近法</v>
      </c>
      <c r="L44" s="1231">
        <f ca="1">IF(L42="估价结果/万元",D19,D20)</f>
        <v>20840</v>
      </c>
      <c r="M44" s="1232">
        <f>D18</f>
        <v>0.5</v>
      </c>
      <c r="N44" s="1233"/>
      <c r="O44" s="1234"/>
      <c r="P44" s="1909"/>
      <c r="V44" s="1909"/>
    </row>
    <row r="45" spans="1:26" ht="15">
      <c r="A45" s="3515" t="str">
        <f>IF(项目基本情况!E8="已注销及未注销","4.抵押担保权已注销时的抵押价格",IF(项目基本情况!E8="已注销","3.抵押担保权已注销时的抵押价格","——"))</f>
        <v>——</v>
      </c>
      <c r="B45" s="3516"/>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511" t="str">
        <f>IF(项目基本情况!E9="抵押净值",IF(A45="——","4.抵押净值","5.抵押净值"),"——")</f>
        <v>——</v>
      </c>
      <c r="B46" s="3512"/>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59" t="s">
        <v>374</v>
      </c>
      <c r="B63" s="3560"/>
      <c r="C63" s="3561"/>
      <c r="D63" s="338">
        <f ca="1">ROUND(C42*F63,0)</f>
        <v>17216</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517" t="s">
        <v>378</v>
      </c>
      <c r="B64" s="3518"/>
      <c r="C64" s="3518"/>
      <c r="D64" s="3518"/>
      <c r="E64" s="3518"/>
      <c r="F64" s="3518"/>
      <c r="G64" s="3519"/>
      <c r="H64" s="1240"/>
      <c r="I64" s="936"/>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0"/>
      <c r="I65" s="936"/>
      <c r="J65" s="1900"/>
      <c r="K65" s="1241"/>
      <c r="L65" s="1242"/>
      <c r="M65" s="1242"/>
      <c r="N65" s="1274" t="s">
        <v>379</v>
      </c>
      <c r="O65" s="1275"/>
      <c r="P65" s="1276"/>
      <c r="Q65" s="1909"/>
      <c r="R65" s="1909"/>
      <c r="S65" s="1909"/>
      <c r="T65" s="1909"/>
      <c r="U65" s="1909"/>
      <c r="V65" s="1909"/>
    </row>
    <row r="66" spans="1:22" ht="25.5">
      <c r="A66" s="3513" t="s">
        <v>386</v>
      </c>
      <c r="B66" s="3514"/>
      <c r="C66" s="3514"/>
      <c r="D66" s="258" t="b">
        <f>IF(H66="情况1",0,IF(H66="情况2",D70,IF(H66="情况3",D71,IF(H66="情况4",D72))))</f>
        <v>0</v>
      </c>
      <c r="E66" s="979" t="str">
        <f>IF(H66="情况4","(销售额-原购置价)×税（费）率","销售额×税（费）率")</f>
        <v>销售额×税（费）率</v>
      </c>
      <c r="F66" s="347">
        <f>IF(H66="情况1","免征",'数据-取费表'!B41)</f>
        <v>5.5000000000000007E-2</v>
      </c>
      <c r="G66" s="348" t="s">
        <v>387</v>
      </c>
      <c r="H66" s="188"/>
      <c r="I66" s="1240"/>
      <c r="J66" s="1915"/>
      <c r="K66" s="1243">
        <v>1</v>
      </c>
      <c r="L66" s="3574" t="s">
        <v>385</v>
      </c>
      <c r="M66" s="3575"/>
      <c r="N66" s="2310"/>
      <c r="O66" s="2311"/>
      <c r="P66" s="2312"/>
      <c r="Q66" s="1909"/>
      <c r="R66" s="1909"/>
      <c r="S66" s="1909"/>
      <c r="T66" s="1909"/>
      <c r="U66" s="1909"/>
      <c r="V66" s="1909"/>
    </row>
    <row r="67" spans="1:22" ht="25.5" customHeight="1">
      <c r="A67" s="349" t="s">
        <v>389</v>
      </c>
      <c r="B67" s="3504" t="s">
        <v>390</v>
      </c>
      <c r="C67" s="3504"/>
      <c r="D67" s="350">
        <v>0</v>
      </c>
      <c r="E67" s="41" t="s">
        <v>391</v>
      </c>
      <c r="F67" s="62" t="s">
        <v>21</v>
      </c>
      <c r="G67" s="3562"/>
      <c r="H67" s="3003" t="s">
        <v>2953</v>
      </c>
      <c r="I67" s="3005"/>
      <c r="J67" s="1916"/>
      <c r="K67" s="1888">
        <v>2</v>
      </c>
      <c r="L67" s="3568" t="s">
        <v>388</v>
      </c>
      <c r="M67" s="3568"/>
      <c r="N67" s="1277">
        <f>'数据-取费表'!B2</f>
        <v>44125</v>
      </c>
      <c r="O67" s="1277"/>
      <c r="P67" s="1277"/>
      <c r="Q67" s="1909"/>
      <c r="R67" s="1909"/>
      <c r="S67" s="1909"/>
      <c r="T67" s="1909"/>
      <c r="U67" s="1909"/>
      <c r="V67" s="1909"/>
    </row>
    <row r="68" spans="1:22" ht="25.5" customHeight="1">
      <c r="A68" s="351"/>
      <c r="B68" s="3504" t="s">
        <v>393</v>
      </c>
      <c r="C68" s="3504"/>
      <c r="D68" s="352"/>
      <c r="E68" s="77"/>
      <c r="F68" s="353"/>
      <c r="G68" s="3563"/>
      <c r="H68" s="3004" t="s">
        <v>2954</v>
      </c>
      <c r="I68" s="3005"/>
      <c r="J68" s="1916"/>
      <c r="K68" s="1888">
        <v>3</v>
      </c>
      <c r="L68" s="3568" t="s">
        <v>392</v>
      </c>
      <c r="M68" s="3568"/>
      <c r="N68" s="1245">
        <f ca="1">C42</f>
        <v>17216</v>
      </c>
      <c r="O68" s="1245"/>
      <c r="P68" s="1245"/>
      <c r="Q68" s="1909"/>
      <c r="R68" s="1909"/>
      <c r="S68" s="1909"/>
      <c r="T68" s="1909"/>
      <c r="U68" s="1909"/>
      <c r="V68" s="1909"/>
    </row>
    <row r="69" spans="1:22" ht="23.45" customHeight="1">
      <c r="A69" s="354"/>
      <c r="B69" s="3504" t="s">
        <v>394</v>
      </c>
      <c r="C69" s="3504"/>
      <c r="D69" s="355"/>
      <c r="E69" s="73"/>
      <c r="F69" s="353"/>
      <c r="G69" s="3564"/>
      <c r="H69" s="3004" t="s">
        <v>2955</v>
      </c>
      <c r="I69" s="3005"/>
      <c r="J69" s="1916"/>
      <c r="K69" s="1246">
        <v>4</v>
      </c>
      <c r="L69" s="3578" t="s">
        <v>2855</v>
      </c>
      <c r="M69" s="3579"/>
      <c r="N69" s="1247" t="str">
        <f>C44</f>
        <v>——</v>
      </c>
      <c r="O69" s="1247"/>
      <c r="P69" s="1247"/>
      <c r="Q69" s="1909"/>
      <c r="R69" s="1909"/>
      <c r="S69" s="1909"/>
      <c r="T69" s="1909"/>
      <c r="U69" s="1909"/>
      <c r="V69" s="1909"/>
    </row>
    <row r="70" spans="1:22" ht="24" customHeight="1">
      <c r="A70" s="356" t="s">
        <v>395</v>
      </c>
      <c r="B70" s="3504" t="s">
        <v>396</v>
      </c>
      <c r="C70" s="3504"/>
      <c r="D70" s="355">
        <f ca="1">ROUND(D63*'数据-取费表'!B41/(1+'数据-取费表'!C42),0)</f>
        <v>902</v>
      </c>
      <c r="E70" s="17" t="s">
        <v>397</v>
      </c>
      <c r="F70" s="357">
        <f>'数据-取费表'!B41</f>
        <v>5.5000000000000007E-2</v>
      </c>
      <c r="G70" s="358"/>
      <c r="H70" s="308"/>
      <c r="I70" s="1244"/>
      <c r="J70" s="1916"/>
      <c r="K70" s="2762"/>
      <c r="L70" s="2763"/>
      <c r="M70" s="2763"/>
      <c r="N70" s="2764" t="s">
        <v>2859</v>
      </c>
      <c r="O70" s="2763"/>
      <c r="P70" s="2765"/>
      <c r="Q70" s="1909"/>
      <c r="R70" s="1909"/>
      <c r="S70" s="1909"/>
      <c r="T70" s="1909"/>
      <c r="U70" s="1909"/>
      <c r="V70" s="1909"/>
    </row>
    <row r="71" spans="1:22" ht="12" customHeight="1">
      <c r="A71" s="356" t="s">
        <v>403</v>
      </c>
      <c r="B71" s="3505" t="s">
        <v>2984</v>
      </c>
      <c r="C71" s="3506"/>
      <c r="D71" s="355">
        <f ca="1">ROUND(D63*'数据-取费表'!B41/(1+'数据-取费表'!C42),0)</f>
        <v>902</v>
      </c>
      <c r="E71" s="17" t="s">
        <v>397</v>
      </c>
      <c r="F71" s="357">
        <f>'数据-取费表'!B41</f>
        <v>5.5000000000000007E-2</v>
      </c>
      <c r="G71" s="358"/>
      <c r="H71" s="308"/>
      <c r="I71" s="1244"/>
      <c r="J71" s="1916"/>
      <c r="K71" s="2761" t="s">
        <v>398</v>
      </c>
      <c r="L71" s="3580" t="s">
        <v>399</v>
      </c>
      <c r="M71" s="3580"/>
      <c r="N71" s="2761" t="s">
        <v>400</v>
      </c>
      <c r="O71" s="2761" t="s">
        <v>401</v>
      </c>
      <c r="P71" s="2761" t="s">
        <v>402</v>
      </c>
      <c r="Q71" s="1909"/>
      <c r="R71" s="1909"/>
      <c r="S71" s="1909"/>
      <c r="T71" s="1909"/>
      <c r="U71" s="1909"/>
      <c r="V71" s="1909"/>
    </row>
    <row r="72" spans="1:22" ht="12" customHeight="1">
      <c r="A72" s="356" t="s">
        <v>405</v>
      </c>
      <c r="B72" s="3505" t="s">
        <v>2985</v>
      </c>
      <c r="C72" s="3506"/>
      <c r="D72" s="355">
        <f ca="1">C86</f>
        <v>902</v>
      </c>
      <c r="E72" s="73" t="s">
        <v>406</v>
      </c>
      <c r="F72" s="357">
        <f>'数据-取费表'!B41</f>
        <v>5.5000000000000007E-2</v>
      </c>
      <c r="G72" s="358"/>
      <c r="H72" s="1250"/>
      <c r="I72" s="1244"/>
      <c r="J72" s="1916"/>
      <c r="K72" s="1888">
        <v>1</v>
      </c>
      <c r="L72" s="3555" t="s">
        <v>404</v>
      </c>
      <c r="M72" s="3555"/>
      <c r="N72" s="1248" t="b">
        <f>D66</f>
        <v>0</v>
      </c>
      <c r="O72" s="1771" t="str">
        <f>E66</f>
        <v>销售额×税（费）率</v>
      </c>
      <c r="P72" s="1249">
        <f>F66</f>
        <v>5.5000000000000007E-2</v>
      </c>
      <c r="Q72" s="1909"/>
      <c r="R72" s="1909"/>
      <c r="S72" s="1909"/>
      <c r="T72" s="1909"/>
      <c r="U72" s="1909"/>
      <c r="V72" s="1909"/>
    </row>
    <row r="73" spans="1:22" ht="24" customHeight="1">
      <c r="A73" s="3550" t="s">
        <v>408</v>
      </c>
      <c r="B73" s="3514"/>
      <c r="C73" s="3514"/>
      <c r="D73" s="359">
        <f ca="1">IF(H73="个人住宅",0,ROUND(D63*I73,0))</f>
        <v>9</v>
      </c>
      <c r="E73" s="17" t="s">
        <v>409</v>
      </c>
      <c r="F73" s="357" t="str">
        <f>IF(H73="正常",I73,"免征")</f>
        <v>免征</v>
      </c>
      <c r="G73" s="358"/>
      <c r="H73" s="188"/>
      <c r="I73" s="357">
        <f>'数据-取费表'!B49</f>
        <v>5.0000000000000001E-4</v>
      </c>
      <c r="J73" s="1916"/>
      <c r="K73" s="1888">
        <v>2</v>
      </c>
      <c r="L73" s="3555" t="s">
        <v>407</v>
      </c>
      <c r="M73" s="3555"/>
      <c r="N73" s="1248">
        <f t="shared" ref="N73:P74" ca="1" si="1">D73</f>
        <v>9</v>
      </c>
      <c r="O73" s="1771" t="str">
        <f t="shared" si="1"/>
        <v>销售额×税（费）率</v>
      </c>
      <c r="P73" s="1249" t="str">
        <f t="shared" si="1"/>
        <v>免征</v>
      </c>
      <c r="Q73" s="1909"/>
      <c r="R73" s="1909"/>
      <c r="S73" s="1909"/>
      <c r="T73" s="1909"/>
      <c r="U73" s="1909"/>
      <c r="V73" s="1909"/>
    </row>
    <row r="74" spans="1:22" ht="24.75">
      <c r="A74" s="3550" t="s">
        <v>411</v>
      </c>
      <c r="B74" s="3514"/>
      <c r="C74" s="3514"/>
      <c r="D74" s="359">
        <f ca="1">IF(H74="个人住宅",D75,D76)</f>
        <v>9760</v>
      </c>
      <c r="E74" s="17" t="s">
        <v>412</v>
      </c>
      <c r="F74" s="357" t="str">
        <f>IF(H74="正常",F76,"免征")</f>
        <v>免征</v>
      </c>
      <c r="G74" s="969" t="s">
        <v>413</v>
      </c>
      <c r="H74" s="360"/>
      <c r="I74" s="42"/>
      <c r="J74" s="1916"/>
      <c r="K74" s="1888">
        <v>3</v>
      </c>
      <c r="L74" s="3555" t="s">
        <v>410</v>
      </c>
      <c r="M74" s="3555"/>
      <c r="N74" s="1248">
        <f t="shared" ca="1" si="1"/>
        <v>9760</v>
      </c>
      <c r="O74" s="1771" t="str">
        <f t="shared" si="1"/>
        <v>增值额×税（费）率</v>
      </c>
      <c r="P74" s="1251" t="str">
        <f t="shared" si="1"/>
        <v>免征</v>
      </c>
      <c r="Q74" s="1909"/>
      <c r="R74" s="1909"/>
      <c r="S74" s="1909"/>
      <c r="T74" s="1909"/>
      <c r="U74" s="1909"/>
      <c r="V74" s="1909"/>
    </row>
    <row r="75" spans="1:22" ht="12.75">
      <c r="A75" s="356" t="s">
        <v>414</v>
      </c>
      <c r="B75" s="3502" t="s">
        <v>415</v>
      </c>
      <c r="C75" s="3538"/>
      <c r="D75" s="361">
        <v>0</v>
      </c>
      <c r="E75" s="41" t="s">
        <v>416</v>
      </c>
      <c r="F75" s="362"/>
      <c r="G75" s="358"/>
      <c r="H75" s="42"/>
      <c r="I75" s="42"/>
      <c r="J75" s="1916"/>
      <c r="K75" s="2755">
        <f>IF(H77="非个人房产","",4)</f>
        <v>4</v>
      </c>
      <c r="L75" s="3555" t="str">
        <f>IF(H77="非个人房产","——","个人所得税")</f>
        <v>个人所得税</v>
      </c>
      <c r="M75" s="3555"/>
      <c r="N75" s="1252">
        <f>D77</f>
        <v>0</v>
      </c>
      <c r="O75" s="1784" t="str">
        <f>E77</f>
        <v>差额计税</v>
      </c>
      <c r="P75" s="1253">
        <f>F77</f>
        <v>0.01</v>
      </c>
      <c r="Q75" s="1909"/>
      <c r="R75" s="1909"/>
      <c r="S75" s="1909"/>
      <c r="T75" s="1909"/>
      <c r="U75" s="1909"/>
      <c r="V75" s="1909"/>
    </row>
    <row r="76" spans="1:22" ht="24.75">
      <c r="A76" s="356" t="s">
        <v>395</v>
      </c>
      <c r="B76" s="3502" t="s">
        <v>418</v>
      </c>
      <c r="C76" s="3503"/>
      <c r="D76" s="359">
        <f ca="1">IF(H76="转让取得",C99,C115)</f>
        <v>9760</v>
      </c>
      <c r="E76" s="17" t="s">
        <v>419</v>
      </c>
      <c r="F76" s="53" t="s">
        <v>21</v>
      </c>
      <c r="G76" s="358"/>
      <c r="H76" s="360"/>
      <c r="I76" s="42"/>
      <c r="J76" s="1916"/>
      <c r="K76" s="2755" t="str">
        <f>IF(项目基本情况!K6="上海银行",IF(K75="",4,K75+1),"")</f>
        <v/>
      </c>
      <c r="L76" s="3570" t="str">
        <f>IF(项目基本情况!K6="上海银行","其他处置费用","")</f>
        <v/>
      </c>
      <c r="M76" s="3571"/>
      <c r="N76" s="1248" t="str">
        <f>IF(项目基本情况!K6="上海银行",N89,"")</f>
        <v/>
      </c>
      <c r="O76" s="3572" t="str">
        <f>IF(项目基本情况!K6="上海银行","包含处置中涉及的律师、诉讼、拍卖、评估等费用","")</f>
        <v/>
      </c>
      <c r="P76" s="3573"/>
      <c r="Q76" s="1909"/>
      <c r="R76" s="1909"/>
      <c r="S76" s="1909"/>
      <c r="T76" s="1909"/>
      <c r="U76" s="1909"/>
      <c r="V76" s="1909"/>
    </row>
    <row r="77" spans="1:22" ht="24.75" thickBot="1">
      <c r="A77" s="3557" t="s">
        <v>421</v>
      </c>
      <c r="B77" s="3558"/>
      <c r="C77" s="3558"/>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0" t="s">
        <v>413</v>
      </c>
      <c r="H77" s="3007"/>
      <c r="I77" s="3006" t="s">
        <v>2956</v>
      </c>
      <c r="J77" s="1916"/>
      <c r="K77" s="3556">
        <f>IF(AND(K75="",K76=""),4,IF(项目基本情况!K6="上海银行",K76+1,K75+1))</f>
        <v>5</v>
      </c>
      <c r="L77" s="3555" t="s">
        <v>2856</v>
      </c>
      <c r="M77" s="2760" t="s">
        <v>417</v>
      </c>
      <c r="N77" s="1254"/>
      <c r="O77" s="1255">
        <f ca="1">SUMIF(N72:N76,"&lt;9e307")</f>
        <v>9769</v>
      </c>
      <c r="P77" s="1256"/>
      <c r="Q77" s="2758" t="e">
        <f ca="1">O77/N69</f>
        <v>#VALUE!</v>
      </c>
      <c r="R77" s="1909"/>
      <c r="S77" s="1909"/>
      <c r="T77" s="1909"/>
      <c r="U77" s="1909"/>
      <c r="V77" s="1909"/>
    </row>
    <row r="78" spans="1:22" ht="12" customHeight="1">
      <c r="A78" s="1257"/>
      <c r="B78" s="308"/>
      <c r="C78" s="308"/>
      <c r="D78" s="308"/>
      <c r="E78" s="42"/>
      <c r="F78" s="42"/>
      <c r="G78" s="42"/>
      <c r="H78" s="989"/>
      <c r="I78" s="308"/>
      <c r="J78" s="1916"/>
      <c r="K78" s="3556"/>
      <c r="L78" s="3555"/>
      <c r="M78" s="2760" t="s">
        <v>420</v>
      </c>
      <c r="N78" s="1254"/>
      <c r="O78" s="1255" t="str">
        <f ca="1">NUMBERSTRING(INT(O77*10000),2)&amp;"元整"</f>
        <v>玖仟柒佰陆拾玖万元整</v>
      </c>
      <c r="P78" s="1256"/>
      <c r="Q78" s="1909"/>
      <c r="R78" s="1909"/>
      <c r="S78" s="1909"/>
      <c r="T78" s="1909"/>
      <c r="U78" s="1909"/>
      <c r="V78" s="1909"/>
    </row>
    <row r="79" spans="1:22" ht="13.5" thickBot="1">
      <c r="A79" s="3522" t="s">
        <v>422</v>
      </c>
      <c r="B79" s="3522"/>
      <c r="C79" s="3522"/>
      <c r="D79" s="3522"/>
      <c r="E79" s="3522"/>
      <c r="F79" s="42"/>
      <c r="G79" s="42"/>
      <c r="H79" s="989"/>
      <c r="I79" s="308"/>
      <c r="J79" s="1916"/>
      <c r="K79" s="3576">
        <f>K77+1</f>
        <v>6</v>
      </c>
      <c r="L79" s="3555" t="s">
        <v>2857</v>
      </c>
      <c r="M79" s="2760" t="s">
        <v>417</v>
      </c>
      <c r="N79" s="1254"/>
      <c r="O79" s="1255" t="e">
        <f ca="1">N69-O77</f>
        <v>#VALUE!</v>
      </c>
      <c r="P79" s="1256"/>
      <c r="Q79" s="1909"/>
      <c r="R79" s="1909"/>
      <c r="S79" s="1909"/>
      <c r="T79" s="1909"/>
      <c r="U79" s="1909"/>
      <c r="V79" s="1909"/>
    </row>
    <row r="80" spans="1:22" ht="12.75">
      <c r="A80" s="3523" t="s">
        <v>423</v>
      </c>
      <c r="B80" s="3524"/>
      <c r="C80" s="980"/>
      <c r="D80" s="980" t="s">
        <v>424</v>
      </c>
      <c r="E80" s="363" t="s">
        <v>425</v>
      </c>
      <c r="F80" s="42"/>
      <c r="G80" s="42"/>
      <c r="H80" s="989"/>
      <c r="I80" s="308"/>
      <c r="J80" s="1909"/>
      <c r="K80" s="3577"/>
      <c r="L80" s="3555"/>
      <c r="M80" s="2760" t="s">
        <v>420</v>
      </c>
      <c r="N80" s="1254"/>
      <c r="O80" s="1255" t="e">
        <f ca="1">NUMBERSTRING(INT(O79*10000),2)&amp;"元整"</f>
        <v>#VALUE!</v>
      </c>
      <c r="P80" s="1256"/>
      <c r="Q80" s="1909"/>
      <c r="R80" s="1909"/>
      <c r="S80" s="1909"/>
      <c r="T80" s="1909"/>
      <c r="U80" s="1909"/>
      <c r="V80" s="1909"/>
    </row>
    <row r="81" spans="1:26" ht="13.5" thickBot="1">
      <c r="A81" s="374" t="s">
        <v>1813</v>
      </c>
      <c r="B81" s="364" t="s">
        <v>426</v>
      </c>
      <c r="C81" s="365">
        <f ca="1">ROUND((C82+C83)/(1+'数据-取费表'!C42),0)</f>
        <v>16396</v>
      </c>
      <c r="D81" s="366"/>
      <c r="E81" s="367"/>
      <c r="F81" s="42"/>
      <c r="G81" s="42"/>
      <c r="H81" s="989"/>
      <c r="I81" s="308"/>
      <c r="J81" s="1909"/>
      <c r="K81" s="2755">
        <f>K79+1</f>
        <v>7</v>
      </c>
      <c r="L81" s="3553" t="s">
        <v>2858</v>
      </c>
      <c r="M81" s="3554"/>
      <c r="N81" s="1258"/>
      <c r="O81" s="1259" t="e">
        <f ca="1">ROUND(O79*10000/'数据-汇总表'!E3,0)</f>
        <v>#VALUE!</v>
      </c>
      <c r="P81" s="1260"/>
      <c r="Q81" s="1909"/>
      <c r="R81" s="1909"/>
      <c r="S81" s="1909"/>
      <c r="T81" s="1909"/>
      <c r="U81" s="1909"/>
      <c r="V81" s="1909"/>
    </row>
    <row r="82" spans="1:26" ht="13.5" thickTop="1">
      <c r="A82" s="368" t="s">
        <v>1814</v>
      </c>
      <c r="B82" s="369" t="s">
        <v>427</v>
      </c>
      <c r="C82" s="370">
        <f ca="1">D63</f>
        <v>17216</v>
      </c>
      <c r="D82" s="371" t="s">
        <v>19</v>
      </c>
      <c r="E82" s="372"/>
      <c r="F82" s="42"/>
      <c r="G82" s="42"/>
      <c r="H82" s="989"/>
      <c r="I82" s="308"/>
      <c r="J82" s="1909"/>
      <c r="K82" s="1909"/>
      <c r="L82" s="1909"/>
      <c r="M82" s="1909"/>
      <c r="N82" s="1909"/>
      <c r="O82" s="1909"/>
      <c r="P82" s="1909"/>
      <c r="Q82" s="1909"/>
      <c r="R82" s="1909"/>
      <c r="S82" s="1909"/>
      <c r="T82" s="1909"/>
      <c r="U82" s="1909"/>
      <c r="V82" s="1909"/>
    </row>
    <row r="83" spans="1:26" ht="12.75">
      <c r="A83" s="368" t="s">
        <v>1815</v>
      </c>
      <c r="B83" s="369" t="s">
        <v>428</v>
      </c>
      <c r="C83" s="373"/>
      <c r="D83" s="371"/>
      <c r="E83" s="372"/>
      <c r="F83" s="42"/>
      <c r="G83" s="42"/>
      <c r="H83" s="989"/>
      <c r="I83" s="308"/>
      <c r="J83" s="1909"/>
      <c r="K83" s="3569" t="s">
        <v>2846</v>
      </c>
      <c r="L83" s="2766" t="s">
        <v>2847</v>
      </c>
      <c r="M83" s="2756" t="e">
        <f>IF(N69&gt;10000,N69*0.5%,IF(AND(N69&gt;1000,N69&lt;=10000),N69*1%,IF(AND(N69&gt;100,N69&lt;=1000),N69*3%,IF(AND(N69&gt;10,N69&lt;=100),N69*5%,N69*8%))))</f>
        <v>#VALUE!</v>
      </c>
      <c r="N83" s="53" t="e">
        <f>ROUND(M83,1)</f>
        <v>#VALUE!</v>
      </c>
      <c r="O83" s="2759"/>
      <c r="P83" s="1909"/>
      <c r="Q83" s="1909"/>
      <c r="R83" s="1909"/>
      <c r="S83" s="1909"/>
      <c r="T83" s="1909"/>
      <c r="U83" s="1909"/>
      <c r="V83" s="1909"/>
    </row>
    <row r="84" spans="1:26" ht="12.75">
      <c r="A84" s="374" t="s">
        <v>1816</v>
      </c>
      <c r="B84" s="375" t="s">
        <v>429</v>
      </c>
      <c r="C84" s="376"/>
      <c r="D84" s="377" t="s">
        <v>19</v>
      </c>
      <c r="E84" s="2784" t="s">
        <v>2897</v>
      </c>
      <c r="F84" s="42"/>
      <c r="G84" s="42"/>
      <c r="H84" s="989"/>
      <c r="I84" s="308"/>
      <c r="J84" s="1909"/>
      <c r="K84" s="3569"/>
      <c r="L84" s="2766" t="s">
        <v>2848</v>
      </c>
      <c r="M84" s="27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09" t="s">
        <v>2849</v>
      </c>
      <c r="P84" s="1909"/>
      <c r="Q84" s="1909"/>
      <c r="R84" s="1909"/>
      <c r="S84" s="1909"/>
      <c r="T84" s="1909"/>
      <c r="U84" s="1909"/>
      <c r="V84" s="1909"/>
    </row>
    <row r="85" spans="1:26" ht="12.75">
      <c r="A85" s="374" t="s">
        <v>1817</v>
      </c>
      <c r="B85" s="375" t="s">
        <v>430</v>
      </c>
      <c r="C85" s="378">
        <f ca="1">C81-C84</f>
        <v>16396</v>
      </c>
      <c r="D85" s="371" t="s">
        <v>19</v>
      </c>
      <c r="E85" s="372"/>
      <c r="F85" s="42"/>
      <c r="G85" s="42"/>
      <c r="H85" s="989"/>
      <c r="I85" s="308"/>
      <c r="J85" s="1909"/>
      <c r="K85" s="3569"/>
      <c r="L85" s="2766" t="s">
        <v>2850</v>
      </c>
      <c r="M85" s="2756" t="e">
        <f>IF(N69&gt;1000,N69*0.1%,IF(AND(N69&gt;500,N69&lt;=1000),N69*0.5%,IF(AND(N69&gt;50,N69&lt;=500),N69*1%,IF(AND(N69&gt;1,N69&lt;=50),N69*1.5%))))</f>
        <v>#VALUE!</v>
      </c>
      <c r="N85" s="53" t="e">
        <f t="shared" si="2"/>
        <v>#VALUE!</v>
      </c>
      <c r="O85" s="1909" t="s">
        <v>2849</v>
      </c>
      <c r="P85" s="1909"/>
      <c r="Q85" s="1909"/>
      <c r="R85" s="1909"/>
      <c r="S85" s="1909"/>
      <c r="T85" s="1909"/>
      <c r="U85" s="1909"/>
      <c r="V85" s="1909"/>
    </row>
    <row r="86" spans="1:26" ht="13.5" thickBot="1">
      <c r="A86" s="379" t="s">
        <v>1818</v>
      </c>
      <c r="B86" s="380" t="s">
        <v>431</v>
      </c>
      <c r="C86" s="381">
        <f ca="1">IF(C85&lt;=0,0,ROUND(C85*D86,0))</f>
        <v>902</v>
      </c>
      <c r="D86" s="382">
        <f>'数据-取费表'!B41</f>
        <v>5.5000000000000007E-2</v>
      </c>
      <c r="E86" s="383"/>
      <c r="F86" s="42"/>
      <c r="G86" s="42"/>
      <c r="H86" s="989"/>
      <c r="I86" s="308"/>
      <c r="J86" s="1909"/>
      <c r="K86" s="3569"/>
      <c r="L86" s="2766" t="s">
        <v>2851</v>
      </c>
      <c r="M86" s="2756" t="e">
        <f>N69*0.5%</f>
        <v>#VALUE!</v>
      </c>
      <c r="N86" s="53" t="e">
        <f>IF(M86&gt;0.5,0.5,ROUND(M86,0))</f>
        <v>#VALUE!</v>
      </c>
      <c r="O86" s="1909" t="s">
        <v>2852</v>
      </c>
      <c r="P86" s="1909"/>
      <c r="Q86" s="1909"/>
      <c r="R86" s="1909"/>
      <c r="S86" s="1909"/>
      <c r="T86" s="1909"/>
      <c r="U86" s="1909"/>
      <c r="V86" s="1909"/>
    </row>
    <row r="87" spans="1:26" s="1206" customFormat="1" ht="14.25" customHeight="1">
      <c r="A87" s="1261"/>
      <c r="B87" s="1262"/>
      <c r="C87" s="1263"/>
      <c r="D87" s="1264"/>
      <c r="E87" s="1265"/>
      <c r="F87" s="42"/>
      <c r="G87" s="42"/>
      <c r="H87" s="989"/>
      <c r="I87" s="308"/>
      <c r="J87" s="1909"/>
      <c r="K87" s="3569"/>
      <c r="L87" s="2766" t="s">
        <v>2853</v>
      </c>
      <c r="M87" s="27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59"/>
      <c r="P87" s="1909"/>
      <c r="Q87" s="1909"/>
      <c r="R87" s="1909"/>
      <c r="S87" s="1909"/>
      <c r="T87" s="1909"/>
      <c r="U87" s="1909"/>
      <c r="V87" s="1909"/>
      <c r="W87" s="289"/>
      <c r="X87" s="289"/>
      <c r="Y87" s="289"/>
      <c r="Z87" s="289"/>
    </row>
    <row r="88" spans="1:26" s="1266" customFormat="1" ht="15" thickBot="1">
      <c r="A88" s="3548" t="s">
        <v>432</v>
      </c>
      <c r="B88" s="3549"/>
      <c r="C88" s="3549"/>
      <c r="D88" s="3549"/>
      <c r="E88" s="3549"/>
      <c r="F88" s="3549"/>
      <c r="G88" s="3549"/>
      <c r="H88" s="3549"/>
      <c r="I88" s="1267"/>
      <c r="J88" s="1917"/>
      <c r="K88" s="3569"/>
      <c r="L88" s="2766" t="s">
        <v>2854</v>
      </c>
      <c r="M88" s="2756" t="e">
        <f>IF(N69&gt;10000,N69*0.5%,IF(AND(N69&gt;5000,N69&lt;=10000),N69*1%,IF(AND(N69&gt;1000,N69&lt;=5000),N69*2%,IF(AND(N69&gt;200,N69&lt;=1000),N69*3%,N69*5%))))</f>
        <v>#VALUE!</v>
      </c>
      <c r="N88" s="53" t="e">
        <f>ROUND(M88,1)</f>
        <v>#VALUE!</v>
      </c>
      <c r="O88" s="2759"/>
      <c r="P88" s="1914"/>
      <c r="Q88" s="1914"/>
      <c r="R88" s="1914"/>
      <c r="S88" s="1914"/>
      <c r="T88" s="1914"/>
      <c r="U88" s="1914"/>
      <c r="V88" s="1914"/>
      <c r="W88" s="1918"/>
      <c r="X88" s="1918"/>
      <c r="Y88" s="1918"/>
      <c r="Z88" s="1918"/>
    </row>
    <row r="89" spans="1:26" s="1266" customFormat="1" ht="14.25">
      <c r="A89" s="3523" t="s">
        <v>423</v>
      </c>
      <c r="B89" s="3524"/>
      <c r="C89" s="980"/>
      <c r="D89" s="980" t="s">
        <v>424</v>
      </c>
      <c r="E89" s="384" t="s">
        <v>433</v>
      </c>
      <c r="F89" s="385"/>
      <c r="G89" s="385"/>
      <c r="H89" s="386"/>
      <c r="I89" s="1268"/>
      <c r="J89" s="1919"/>
      <c r="K89" s="3569"/>
      <c r="L89" s="2766" t="s">
        <v>27</v>
      </c>
      <c r="M89" s="2757"/>
      <c r="N89" s="53" t="e">
        <f>ROUND(SUM(N83:N88),0)</f>
        <v>#VALUE!</v>
      </c>
      <c r="O89" s="2767" t="e">
        <f>N89/N69</f>
        <v>#VALUE!</v>
      </c>
      <c r="P89" s="1914"/>
      <c r="Q89" s="1914"/>
      <c r="R89" s="1914"/>
      <c r="S89" s="1914"/>
      <c r="T89" s="1914"/>
      <c r="U89" s="1914"/>
      <c r="V89" s="1914"/>
      <c r="W89" s="1918"/>
      <c r="X89" s="1918"/>
      <c r="Y89" s="1918"/>
      <c r="Z89" s="1918"/>
    </row>
    <row r="90" spans="1:26" s="1266" customFormat="1" ht="14.25">
      <c r="A90" s="374" t="s">
        <v>1813</v>
      </c>
      <c r="B90" s="375" t="s">
        <v>434</v>
      </c>
      <c r="C90" s="378">
        <f ca="1">ROUND(D63/(1+'数据-取费表'!C42),0)</f>
        <v>16396</v>
      </c>
      <c r="D90" s="371" t="s">
        <v>19</v>
      </c>
      <c r="E90" s="977"/>
      <c r="F90" s="976"/>
      <c r="G90" s="976"/>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1819</v>
      </c>
      <c r="B91" s="345" t="s">
        <v>435</v>
      </c>
      <c r="C91" s="378">
        <f ca="1">C92+C96</f>
        <v>82</v>
      </c>
      <c r="D91" s="371" t="s">
        <v>19</v>
      </c>
      <c r="E91" s="977"/>
      <c r="F91" s="976"/>
      <c r="G91" s="976"/>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1820</v>
      </c>
      <c r="B92" s="369" t="s">
        <v>436</v>
      </c>
      <c r="C92" s="371">
        <f>ROUND(IF(G95="2016年5月1日后购买",C93/(1+'数据-取费表'!C30)+C94+C95,C93+C94+C95),0)</f>
        <v>0</v>
      </c>
      <c r="D92" s="371" t="s">
        <v>19</v>
      </c>
      <c r="E92" s="977"/>
      <c r="F92" s="976"/>
      <c r="G92" s="976"/>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1821</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1822</v>
      </c>
      <c r="B94" s="393" t="s">
        <v>440</v>
      </c>
      <c r="C94" s="371">
        <f>IF(F93="购房发票",ROUND(C93*H93*5%,0),0)</f>
        <v>0</v>
      </c>
      <c r="D94" s="394">
        <v>0.05</v>
      </c>
      <c r="E94" s="3505" t="s">
        <v>441</v>
      </c>
      <c r="F94" s="3504"/>
      <c r="G94" s="3504"/>
      <c r="H94" s="3547"/>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1823</v>
      </c>
      <c r="B95" s="369" t="s">
        <v>442</v>
      </c>
      <c r="C95" s="371">
        <f>ROUND(IF(G95="个人买卖住房",0,IF(G95="2016年5月1日前购买",C93*D95,C93*D95/(1+'数据-取费表'!C42))),0)</f>
        <v>0</v>
      </c>
      <c r="D95" s="395">
        <f>'数据-取费表'!B48+'数据-取费表'!B49</f>
        <v>3.0499999999999999E-2</v>
      </c>
      <c r="E95" s="26" t="s">
        <v>443</v>
      </c>
      <c r="F95" s="396"/>
      <c r="G95" s="397"/>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1824</v>
      </c>
      <c r="B96" s="369" t="s">
        <v>444</v>
      </c>
      <c r="C96" s="398">
        <f ca="1">ROUND(D63*D96/(1+'数据-取费表'!C42),0)</f>
        <v>82</v>
      </c>
      <c r="D96" s="399">
        <f>'数据-取费表'!B43</f>
        <v>5.000000000000001E-3</v>
      </c>
      <c r="E96" s="3539" t="s">
        <v>2412</v>
      </c>
      <c r="F96" s="3540"/>
      <c r="G96" s="3540"/>
      <c r="H96" s="3541"/>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1825</v>
      </c>
      <c r="B97" s="375" t="s">
        <v>445</v>
      </c>
      <c r="C97" s="378">
        <f ca="1">C90-C91</f>
        <v>16314</v>
      </c>
      <c r="D97" s="371" t="s">
        <v>19</v>
      </c>
      <c r="E97" s="977"/>
      <c r="F97" s="976"/>
      <c r="G97" s="976"/>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1826</v>
      </c>
      <c r="B98" s="375" t="s">
        <v>446</v>
      </c>
      <c r="C98" s="400">
        <f ca="1">IF(C97&lt;=0,0,C97/C91)</f>
        <v>198.95121951219511</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1827</v>
      </c>
      <c r="B99" s="380" t="s">
        <v>447</v>
      </c>
      <c r="C99" s="401">
        <f ca="1">ROUND(IF(C97&lt;=0,0,IF(C98&gt;=200%,C97*60%-C91*35%,IF(C98&gt;=100%,C97*50%-C91*15%,IF(C98&gt;=50%,C97*40%-C91*5%,IF(C98&lt;50%,C97*30%,0))))),0)</f>
        <v>9760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48" t="s">
        <v>448</v>
      </c>
      <c r="B101" s="3549"/>
      <c r="C101" s="3549"/>
      <c r="D101" s="3549"/>
      <c r="E101" s="3549"/>
      <c r="F101" s="3549"/>
      <c r="G101" s="3549"/>
      <c r="H101" s="3549"/>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23" t="s">
        <v>423</v>
      </c>
      <c r="B102" s="3524"/>
      <c r="C102" s="980"/>
      <c r="D102" s="980"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1813</v>
      </c>
      <c r="B103" s="375" t="s">
        <v>434</v>
      </c>
      <c r="C103" s="378">
        <f ca="1">ROUND(D63/(1+'数据-取费表'!C42),0)</f>
        <v>16396</v>
      </c>
      <c r="D103" s="371" t="s">
        <v>19</v>
      </c>
      <c r="E103" s="977"/>
      <c r="F103" s="976"/>
      <c r="G103" s="976"/>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1819</v>
      </c>
      <c r="B104" s="345" t="s">
        <v>435</v>
      </c>
      <c r="C104" s="378">
        <f ca="1">IF(H106="仅含出让金",C105+C108+C109+C110+C111+C112,C105+C109+C110+C111+C112)</f>
        <v>82</v>
      </c>
      <c r="D104" s="408"/>
      <c r="E104" s="977"/>
      <c r="F104" s="976"/>
      <c r="G104" s="976"/>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1820</v>
      </c>
      <c r="B105" s="369" t="s">
        <v>449</v>
      </c>
      <c r="C105" s="398">
        <f>C106+C107</f>
        <v>0</v>
      </c>
      <c r="D105" s="399"/>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1821</v>
      </c>
      <c r="B106" s="369" t="s">
        <v>450</v>
      </c>
      <c r="C106" s="409"/>
      <c r="D106" s="399"/>
      <c r="E106" s="410" t="s">
        <v>451</v>
      </c>
      <c r="F106" s="972"/>
      <c r="G106" s="411" t="s">
        <v>452</v>
      </c>
      <c r="H106" s="412"/>
      <c r="I106" s="11"/>
      <c r="J106" s="1914"/>
      <c r="K106" s="3239" t="s">
        <v>2977</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1822</v>
      </c>
      <c r="B107" s="369" t="s">
        <v>442</v>
      </c>
      <c r="C107" s="398">
        <f>ROUND(C106*D107,0)</f>
        <v>0</v>
      </c>
      <c r="D107" s="399">
        <f>'数据-取费表'!B48+'数据-取费表'!B49</f>
        <v>3.0499999999999999E-2</v>
      </c>
      <c r="E107" s="410"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1824</v>
      </c>
      <c r="B108" s="369" t="s">
        <v>454</v>
      </c>
      <c r="C108" s="409"/>
      <c r="D108" s="399"/>
      <c r="E108" s="410" t="str">
        <f>IF(H106="-","土地取得成本中已包含该笔费用"," ")</f>
        <v xml:space="preserve"> </v>
      </c>
      <c r="F108" s="972"/>
      <c r="G108" s="3499" t="s">
        <v>2948</v>
      </c>
      <c r="H108" s="3500"/>
      <c r="I108" s="2856"/>
      <c r="J108" s="1914"/>
      <c r="K108" s="3239" t="s">
        <v>2978</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1828</v>
      </c>
      <c r="B109" s="369" t="s">
        <v>455</v>
      </c>
      <c r="C109" s="398">
        <f>IF(H109="——",IF(F1="现房",'剩余法-现房'!C18,0),I109)</f>
        <v>0</v>
      </c>
      <c r="D109" s="399"/>
      <c r="E109" s="3542" t="s">
        <v>456</v>
      </c>
      <c r="F109" s="3540"/>
      <c r="G109" s="3540"/>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1829</v>
      </c>
      <c r="B110" s="369" t="s">
        <v>457</v>
      </c>
      <c r="C110" s="398">
        <f>ROUND((C105+C108+C109)*D110,0)</f>
        <v>0</v>
      </c>
      <c r="D110" s="3270">
        <v>0</v>
      </c>
      <c r="E110" s="3542" t="s">
        <v>458</v>
      </c>
      <c r="F110" s="3540"/>
      <c r="G110" s="3540"/>
      <c r="H110" s="3541"/>
      <c r="I110" s="11"/>
      <c r="J110" s="1914"/>
      <c r="K110" s="3240" t="s">
        <v>2979</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1830</v>
      </c>
      <c r="B111" s="369" t="s">
        <v>444</v>
      </c>
      <c r="C111" s="398">
        <f ca="1">ROUND(D63*D111/(1+'数据-取费表'!C42),0)</f>
        <v>82</v>
      </c>
      <c r="D111" s="399">
        <f>'数据-取费表'!B43</f>
        <v>5.000000000000001E-3</v>
      </c>
      <c r="E111" s="3539" t="s">
        <v>2412</v>
      </c>
      <c r="F111" s="3540"/>
      <c r="G111" s="3540"/>
      <c r="H111" s="3541"/>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1831</v>
      </c>
      <c r="B112" s="369" t="s">
        <v>459</v>
      </c>
      <c r="C112" s="398">
        <f>ROUND(C108*D112,0)</f>
        <v>0</v>
      </c>
      <c r="D112" s="399">
        <v>0.2</v>
      </c>
      <c r="E112" s="3542" t="s">
        <v>2435</v>
      </c>
      <c r="F112" s="3540"/>
      <c r="G112" s="3540"/>
      <c r="H112" s="3541"/>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1825</v>
      </c>
      <c r="B113" s="375" t="s">
        <v>445</v>
      </c>
      <c r="C113" s="378">
        <f ca="1">ROUND(C103-C104,0)</f>
        <v>16314</v>
      </c>
      <c r="D113" s="371" t="s">
        <v>19</v>
      </c>
      <c r="E113" s="977"/>
      <c r="F113" s="976"/>
      <c r="G113" s="976"/>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1826</v>
      </c>
      <c r="B114" s="375" t="s">
        <v>446</v>
      </c>
      <c r="C114" s="400">
        <f ca="1">IF(C113&lt;=0,0,C113/C104)</f>
        <v>198.95121951219511</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1827</v>
      </c>
      <c r="B115" s="380" t="s">
        <v>447</v>
      </c>
      <c r="C115" s="401">
        <f ca="1">ROUND(IF(C113&lt;=0,0,IF(C114&gt;=200%,C113*60%-C104*35%,IF(C114&gt;=100%,C113*50%-C104*15%,IF(C114&gt;=50%,C113*40%-C104*5%,IF(C114&lt;50%,C113*30%,0))))),0)</f>
        <v>9760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219" priority="21" stopIfTrue="1" operator="equal">
      <formula>25</formula>
    </cfRule>
  </conditionalFormatting>
  <conditionalFormatting sqref="C8:C9">
    <cfRule type="cellIs" dxfId="218" priority="19" stopIfTrue="1" operator="equal">
      <formula>15</formula>
    </cfRule>
  </conditionalFormatting>
  <conditionalFormatting sqref="C14:C16">
    <cfRule type="cellIs" dxfId="217" priority="13" stopIfTrue="1" operator="equal">
      <formula>30</formula>
    </cfRule>
  </conditionalFormatting>
  <conditionalFormatting sqref="D5:D7">
    <cfRule type="cellIs" dxfId="216" priority="10" stopIfTrue="1" operator="equal">
      <formula>25</formula>
    </cfRule>
  </conditionalFormatting>
  <conditionalFormatting sqref="D8:D9">
    <cfRule type="cellIs" dxfId="215" priority="9" stopIfTrue="1" operator="equal">
      <formula>15</formula>
    </cfRule>
  </conditionalFormatting>
  <conditionalFormatting sqref="C10:D13">
    <cfRule type="cellIs" dxfId="214" priority="8" stopIfTrue="1" operator="equal">
      <formula>15</formula>
    </cfRule>
  </conditionalFormatting>
  <conditionalFormatting sqref="D14:D16">
    <cfRule type="cellIs" dxfId="213" priority="6" stopIfTrue="1" operator="equal">
      <formula>30</formula>
    </cfRule>
  </conditionalFormatting>
  <conditionalFormatting sqref="C108">
    <cfRule type="expression" dxfId="212" priority="3" stopIfTrue="1">
      <formula>$H$106&lt;&gt;"仅含出让金"</formula>
    </cfRule>
  </conditionalFormatting>
  <conditionalFormatting sqref="C109">
    <cfRule type="expression" dxfId="211" priority="2" stopIfTrue="1">
      <formula>$H$109="由企业提供"</formula>
    </cfRule>
  </conditionalFormatting>
  <conditionalFormatting sqref="I33">
    <cfRule type="expression" dxfId="21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6"/>
  <sheetViews>
    <sheetView zoomScaleNormal="100" workbookViewId="0">
      <selection activeCell="E34" sqref="E34"/>
    </sheetView>
  </sheetViews>
  <sheetFormatPr defaultRowHeight="13.5"/>
  <cols>
    <col min="1" max="1" width="12" customWidth="1"/>
    <col min="10" max="10" width="12.5" customWidth="1"/>
    <col min="13" max="13" width="19.25" customWidth="1"/>
  </cols>
  <sheetData>
    <row r="1" spans="1:18">
      <c r="A1" s="3377"/>
      <c r="B1" s="3377"/>
      <c r="C1" s="3376" t="s">
        <v>3464</v>
      </c>
      <c r="D1" s="3376" t="s">
        <v>3465</v>
      </c>
      <c r="E1" s="3376" t="s">
        <v>3466</v>
      </c>
      <c r="F1" s="3376" t="s">
        <v>3465</v>
      </c>
      <c r="G1" s="3376" t="s">
        <v>3467</v>
      </c>
      <c r="H1" s="3377"/>
      <c r="I1" s="3376" t="s">
        <v>3468</v>
      </c>
      <c r="J1" s="3377"/>
      <c r="N1" s="3378" t="s">
        <v>3503</v>
      </c>
      <c r="O1" s="3378" t="s">
        <v>3501</v>
      </c>
      <c r="P1" s="3378" t="s">
        <v>3502</v>
      </c>
      <c r="Q1" s="3378" t="s">
        <v>3506</v>
      </c>
      <c r="R1" s="3378" t="s">
        <v>3507</v>
      </c>
    </row>
    <row r="2" spans="1:18">
      <c r="A2" s="3581" t="str">
        <f>A32</f>
        <v>XARX-0001</v>
      </c>
      <c r="B2" s="3376" t="s">
        <v>3469</v>
      </c>
      <c r="C2" s="3377">
        <f ca="1">'[2]剩余法-住宅'!$B$3</f>
        <v>804</v>
      </c>
      <c r="D2" s="3377">
        <v>0.5</v>
      </c>
      <c r="E2" s="3377">
        <f ca="1">[2]成本逼近法!$B$3</f>
        <v>1060</v>
      </c>
      <c r="F2" s="3377">
        <f>1-D2</f>
        <v>0.5</v>
      </c>
      <c r="G2" s="3377">
        <f ca="1">ROUND(C2*D2+E2*F2,0)</f>
        <v>932</v>
      </c>
      <c r="H2" s="3382">
        <v>1</v>
      </c>
      <c r="I2" s="3383">
        <f>F32</f>
        <v>222092</v>
      </c>
      <c r="J2" s="3377">
        <f>I2*H2</f>
        <v>222092</v>
      </c>
      <c r="K2" s="3362" t="e">
        <f ca="1">ROUND(J6*10000/J5,0)</f>
        <v>#DIV/0!</v>
      </c>
      <c r="L2" s="3362"/>
      <c r="M2" t="e">
        <f ca="1">K2*I2/10000</f>
        <v>#DIV/0!</v>
      </c>
      <c r="N2" s="3378" t="s">
        <v>3504</v>
      </c>
      <c r="O2" s="3379">
        <f>'[4]数据-取费表'!$U$6</f>
        <v>1.9</v>
      </c>
      <c r="P2" s="3379">
        <v>4650</v>
      </c>
      <c r="Q2" s="3380">
        <f>'数据-取费表'!Q6</f>
        <v>0.03</v>
      </c>
      <c r="R2" s="3381">
        <f>'数据-取费表'!W6</f>
        <v>0.05</v>
      </c>
    </row>
    <row r="3" spans="1:18">
      <c r="A3" s="3582"/>
      <c r="B3" s="3376" t="s">
        <v>3499</v>
      </c>
      <c r="C3" s="3377">
        <f ca="1">'[2]剩余法-底商'!$B$3</f>
        <v>6242</v>
      </c>
      <c r="D3" s="3377">
        <f>D2</f>
        <v>0.5</v>
      </c>
      <c r="E3" s="3377">
        <f ca="1">E2</f>
        <v>1060</v>
      </c>
      <c r="F3" s="3377">
        <f t="shared" ref="F3:F23" si="0">1-D3</f>
        <v>0.5</v>
      </c>
      <c r="G3" s="3377">
        <f t="shared" ref="G3:G24" ca="1" si="1">ROUND(C3*D3+E3*F3,0)</f>
        <v>3651</v>
      </c>
      <c r="H3" s="3382">
        <f ca="1">ROUND(G3/G2,4)</f>
        <v>3.9174000000000002</v>
      </c>
      <c r="I3" s="3384">
        <f>H32</f>
        <v>2318</v>
      </c>
      <c r="J3" s="3377">
        <f ca="1">I3*H3</f>
        <v>9080.5331999999999</v>
      </c>
      <c r="K3" s="3362" t="e">
        <f ca="1">ROUND(K2*H3,0)</f>
        <v>#DIV/0!</v>
      </c>
      <c r="L3" s="3362"/>
      <c r="M3" t="e">
        <f ca="1">K3*I3/10000</f>
        <v>#DIV/0!</v>
      </c>
      <c r="N3" s="3378" t="s">
        <v>3499</v>
      </c>
      <c r="O3" s="3379">
        <f>'[4]数据-取费表'!$U$7</f>
        <v>2.5</v>
      </c>
      <c r="P3" s="3379">
        <v>3700</v>
      </c>
      <c r="Q3" s="3389">
        <v>0.1</v>
      </c>
      <c r="R3" s="3381">
        <f>汇总0617!R3</f>
        <v>0.08</v>
      </c>
    </row>
    <row r="4" spans="1:18">
      <c r="A4" s="3583"/>
      <c r="B4" s="3376" t="str">
        <f>B14</f>
        <v>车位</v>
      </c>
      <c r="C4" s="3377" t="e">
        <f ca="1">'[2]剩余法-车库'!$B$3</f>
        <v>#DIV/0!</v>
      </c>
      <c r="D4" s="3377">
        <f>D2</f>
        <v>0.5</v>
      </c>
      <c r="E4" s="3377">
        <f ca="1">E2</f>
        <v>1060</v>
      </c>
      <c r="F4" s="3377">
        <f>F2</f>
        <v>0.5</v>
      </c>
      <c r="G4" s="3377" t="e">
        <f t="shared" ca="1" si="1"/>
        <v>#DIV/0!</v>
      </c>
      <c r="H4" s="3382" t="e">
        <f ca="1">ROUND(G4/G2,4)</f>
        <v>#DIV/0!</v>
      </c>
      <c r="I4" s="3384">
        <f>L32</f>
        <v>322.95999999999998</v>
      </c>
      <c r="J4" s="3377" t="e">
        <f ca="1">H4*I4</f>
        <v>#DIV/0!</v>
      </c>
      <c r="K4" s="3362" t="e">
        <f ca="1">ROUND(K2*H4,0)</f>
        <v>#DIV/0!</v>
      </c>
      <c r="L4" s="3362"/>
      <c r="M4" t="e">
        <f ca="1">K4*I4/10000</f>
        <v>#DIV/0!</v>
      </c>
      <c r="N4" s="3378"/>
      <c r="O4" s="3379"/>
      <c r="P4" s="3379"/>
      <c r="Q4" s="3389"/>
      <c r="R4" s="3381"/>
    </row>
    <row r="5" spans="1:18">
      <c r="A5" s="3595" t="s">
        <v>3470</v>
      </c>
      <c r="B5" s="3596"/>
      <c r="C5" s="3596"/>
      <c r="D5" s="3596"/>
      <c r="E5" s="3596"/>
      <c r="F5" s="3596"/>
      <c r="G5" s="3597"/>
      <c r="H5" s="3385">
        <f ca="1">SUM(H2:H3)</f>
        <v>4.9174000000000007</v>
      </c>
      <c r="I5" s="3385">
        <f>SUM(I2:I3)</f>
        <v>224410</v>
      </c>
      <c r="J5" s="3385" t="e">
        <f ca="1">SUM(J2:J4)</f>
        <v>#DIV/0!</v>
      </c>
      <c r="M5" t="e">
        <f ca="1">SUM(M2:M4)</f>
        <v>#DIV/0!</v>
      </c>
      <c r="N5" s="3378" t="s">
        <v>3505</v>
      </c>
      <c r="O5" s="3379">
        <v>2.1</v>
      </c>
      <c r="P5" s="3379">
        <v>3500</v>
      </c>
      <c r="Q5" s="3389">
        <v>0.1</v>
      </c>
      <c r="R5" s="3381">
        <v>0.1</v>
      </c>
    </row>
    <row r="6" spans="1:18">
      <c r="A6" s="3595" t="s">
        <v>3471</v>
      </c>
      <c r="B6" s="3596"/>
      <c r="C6" s="3596"/>
      <c r="D6" s="3596"/>
      <c r="E6" s="3596"/>
      <c r="F6" s="3596"/>
      <c r="G6" s="3597"/>
      <c r="H6" s="3385"/>
      <c r="I6" s="3385"/>
      <c r="J6" s="3385">
        <f ca="1">[2]结果表!$G$19</f>
        <v>20117</v>
      </c>
      <c r="N6" s="3378" t="s">
        <v>3472</v>
      </c>
      <c r="O6" s="3379" t="e">
        <f ca="1">'不动产收益法-酒店'!F6</f>
        <v>#DIV/0!</v>
      </c>
      <c r="P6" s="3379">
        <f>'数据-取费表'!L11</f>
        <v>5200</v>
      </c>
      <c r="Q6" s="3380">
        <f>'数据-取费表'!Q11</f>
        <v>0.05</v>
      </c>
      <c r="R6" s="3381">
        <f>'数据-取费表'!W11</f>
        <v>0.25</v>
      </c>
    </row>
    <row r="7" spans="1:18">
      <c r="A7" s="3603" t="str">
        <f>A33</f>
        <v>XARX-0002</v>
      </c>
      <c r="B7" s="3376" t="s">
        <v>3469</v>
      </c>
      <c r="C7" s="3377">
        <f ca="1">'[6]剩余法-住宅'!$B$3</f>
        <v>802</v>
      </c>
      <c r="D7" s="3377">
        <f>D3</f>
        <v>0.5</v>
      </c>
      <c r="E7" s="3377">
        <f ca="1">[6]成本逼近法!$B$3</f>
        <v>1059</v>
      </c>
      <c r="F7" s="3377">
        <f t="shared" si="0"/>
        <v>0.5</v>
      </c>
      <c r="G7" s="3377">
        <f t="shared" ca="1" si="1"/>
        <v>931</v>
      </c>
      <c r="H7" s="3382">
        <v>1</v>
      </c>
      <c r="I7" s="3384">
        <f>F33</f>
        <v>315530</v>
      </c>
      <c r="J7" s="3377">
        <f t="shared" ref="J7:J23" si="2">I7*H7</f>
        <v>315530</v>
      </c>
      <c r="K7" s="3362" t="e">
        <f ca="1">ROUND(J11*10000/J10,0)</f>
        <v>#DIV/0!</v>
      </c>
      <c r="M7" t="e">
        <f ca="1">K7*I7/10000</f>
        <v>#DIV/0!</v>
      </c>
      <c r="N7" s="3405" t="s">
        <v>3517</v>
      </c>
      <c r="O7" s="3377">
        <f>汇总0617!O7</f>
        <v>350</v>
      </c>
      <c r="P7" s="3406">
        <f>汇总0617!P7</f>
        <v>3000</v>
      </c>
      <c r="Q7" s="3380">
        <f>汇总0617!Q7</f>
        <v>0.1</v>
      </c>
      <c r="R7" s="3380">
        <f>汇总0617!R7</f>
        <v>0.15</v>
      </c>
    </row>
    <row r="8" spans="1:18" ht="12.75" customHeight="1">
      <c r="A8" s="3582"/>
      <c r="B8" s="3376" t="s">
        <v>3499</v>
      </c>
      <c r="C8" s="3377">
        <f ca="1">'[6]剩余法-底商'!$B$3</f>
        <v>6194</v>
      </c>
      <c r="D8" s="3377">
        <f>D7</f>
        <v>0.5</v>
      </c>
      <c r="E8" s="3377">
        <f ca="1">E7</f>
        <v>1059</v>
      </c>
      <c r="F8" s="3377">
        <f t="shared" si="0"/>
        <v>0.5</v>
      </c>
      <c r="G8" s="3377">
        <f t="shared" ca="1" si="1"/>
        <v>3627</v>
      </c>
      <c r="H8" s="3382">
        <f ca="1">ROUND(G8/G7,4)</f>
        <v>3.8957999999999999</v>
      </c>
      <c r="I8" s="3384">
        <f>H33</f>
        <v>12923</v>
      </c>
      <c r="J8" s="3377">
        <f t="shared" ca="1" si="2"/>
        <v>50345.4234</v>
      </c>
      <c r="K8" s="3362" t="e">
        <f ca="1">ROUND(K7*H8,0)</f>
        <v>#DIV/0!</v>
      </c>
      <c r="M8" t="e">
        <f ca="1">K8*I8/10000</f>
        <v>#DIV/0!</v>
      </c>
    </row>
    <row r="9" spans="1:18">
      <c r="A9" s="3583"/>
      <c r="B9" s="3376" t="str">
        <f>B14</f>
        <v>车位</v>
      </c>
      <c r="C9" s="3377" t="e">
        <f ca="1">'[6]剩余法-车库'!$B$3</f>
        <v>#DIV/0!</v>
      </c>
      <c r="D9" s="3377">
        <f>D8</f>
        <v>0.5</v>
      </c>
      <c r="E9" s="3377">
        <f ca="1">E7</f>
        <v>1059</v>
      </c>
      <c r="F9" s="3377">
        <f t="shared" si="0"/>
        <v>0.5</v>
      </c>
      <c r="G9" s="3377" t="e">
        <f t="shared" ca="1" si="1"/>
        <v>#DIV/0!</v>
      </c>
      <c r="H9" s="3382" t="e">
        <f ca="1">ROUND(G9/G7,4)</f>
        <v>#DIV/0!</v>
      </c>
      <c r="I9" s="3384">
        <f>L33</f>
        <v>2011.02</v>
      </c>
      <c r="J9" s="3377" t="e">
        <f ca="1">I9*H9</f>
        <v>#DIV/0!</v>
      </c>
      <c r="K9" s="3392" t="e">
        <f ca="1">ROUND(K7*H9,0)</f>
        <v>#DIV/0!</v>
      </c>
      <c r="M9" t="e">
        <f ca="1">K9*I9/10000</f>
        <v>#DIV/0!</v>
      </c>
    </row>
    <row r="10" spans="1:18">
      <c r="A10" s="3595" t="s">
        <v>3470</v>
      </c>
      <c r="B10" s="3596"/>
      <c r="C10" s="3596"/>
      <c r="D10" s="3596"/>
      <c r="E10" s="3596"/>
      <c r="F10" s="3596"/>
      <c r="G10" s="3597"/>
      <c r="H10" s="3385" t="e">
        <f ca="1">SUM(H7:H9)</f>
        <v>#DIV/0!</v>
      </c>
      <c r="I10" s="3386">
        <f>SUM(I7:I9)</f>
        <v>330464.02</v>
      </c>
      <c r="J10" s="3385" t="e">
        <f ca="1">SUM(J7:J9)</f>
        <v>#DIV/0!</v>
      </c>
      <c r="K10" s="3362"/>
      <c r="M10" t="e">
        <f ca="1">SUM(M7:M9)</f>
        <v>#DIV/0!</v>
      </c>
    </row>
    <row r="11" spans="1:18">
      <c r="A11" s="3595" t="s">
        <v>3471</v>
      </c>
      <c r="B11" s="3596"/>
      <c r="C11" s="3596"/>
      <c r="D11" s="3596"/>
      <c r="E11" s="3596"/>
      <c r="F11" s="3596"/>
      <c r="G11" s="3597"/>
      <c r="H11" s="3385"/>
      <c r="I11" s="3386"/>
      <c r="J11" s="3385">
        <f ca="1">[6]结果表!$G$19</f>
        <v>31282</v>
      </c>
      <c r="K11" s="3362"/>
    </row>
    <row r="12" spans="1:18">
      <c r="A12" s="3581" t="str">
        <f>A34</f>
        <v>XARX-0003</v>
      </c>
      <c r="B12" s="3376" t="s">
        <v>914</v>
      </c>
      <c r="C12" s="3377">
        <f ca="1">'剩余法-住宅'!B3</f>
        <v>800</v>
      </c>
      <c r="D12" s="3377">
        <f>D9</f>
        <v>0.5</v>
      </c>
      <c r="E12" s="3377">
        <f ca="1">成本逼近法!B3</f>
        <v>1060</v>
      </c>
      <c r="F12" s="3377">
        <v>0.5</v>
      </c>
      <c r="G12" s="3377">
        <f t="shared" ca="1" si="1"/>
        <v>930</v>
      </c>
      <c r="H12" s="3382">
        <v>1</v>
      </c>
      <c r="I12" s="3383">
        <f>F34</f>
        <v>188593</v>
      </c>
      <c r="J12" s="3377">
        <f t="shared" si="2"/>
        <v>188593</v>
      </c>
      <c r="K12" s="3362" t="e">
        <f ca="1">ROUND(J16*10000/J15,0)</f>
        <v>#DIV/0!</v>
      </c>
      <c r="M12" t="e">
        <f ca="1">K12*I12/10000</f>
        <v>#DIV/0!</v>
      </c>
    </row>
    <row r="13" spans="1:18">
      <c r="A13" s="3582"/>
      <c r="B13" s="3376" t="s">
        <v>3324</v>
      </c>
      <c r="C13" s="3377">
        <f ca="1">'剩余法-底商'!B3</f>
        <v>6257</v>
      </c>
      <c r="D13" s="3377">
        <f>D12</f>
        <v>0.5</v>
      </c>
      <c r="E13" s="3377">
        <f ca="1">E12</f>
        <v>1060</v>
      </c>
      <c r="F13" s="3377">
        <v>0.5</v>
      </c>
      <c r="G13" s="3377">
        <f t="shared" ca="1" si="1"/>
        <v>3659</v>
      </c>
      <c r="H13" s="3382">
        <f t="shared" ref="H13" ca="1" si="3">G13/G12</f>
        <v>3.9344086021505378</v>
      </c>
      <c r="I13" s="3384">
        <f>H34</f>
        <v>2175</v>
      </c>
      <c r="J13" s="3377">
        <f t="shared" ca="1" si="2"/>
        <v>8557.3387096774204</v>
      </c>
      <c r="K13" s="3362" t="e">
        <f ca="1">ROUND(K12*H13,0)</f>
        <v>#DIV/0!</v>
      </c>
      <c r="M13" t="e">
        <f ca="1">K13*I13/10000</f>
        <v>#DIV/0!</v>
      </c>
    </row>
    <row r="14" spans="1:18">
      <c r="A14" s="3583"/>
      <c r="B14" s="3376" t="s">
        <v>3523</v>
      </c>
      <c r="C14" s="3377" t="e">
        <f ca="1">'剩余法-车位'!B3</f>
        <v>#DIV/0!</v>
      </c>
      <c r="D14" s="3377">
        <f>D13</f>
        <v>0.5</v>
      </c>
      <c r="E14" s="3377">
        <f ca="1">E12</f>
        <v>1060</v>
      </c>
      <c r="F14" s="3377">
        <f t="shared" si="0"/>
        <v>0.5</v>
      </c>
      <c r="G14" s="3377" t="e">
        <f t="shared" ca="1" si="1"/>
        <v>#DIV/0!</v>
      </c>
      <c r="H14" s="3382" t="e">
        <f ca="1">G14/G12</f>
        <v>#DIV/0!</v>
      </c>
      <c r="I14" s="3384">
        <f>L34</f>
        <v>389.52</v>
      </c>
      <c r="J14" s="3377" t="e">
        <f t="shared" ca="1" si="2"/>
        <v>#DIV/0!</v>
      </c>
      <c r="K14" s="3392" t="e">
        <f ca="1">ROUND(K12*H14,0)</f>
        <v>#DIV/0!</v>
      </c>
      <c r="M14" t="e">
        <f ca="1">K14*I14/10000</f>
        <v>#DIV/0!</v>
      </c>
    </row>
    <row r="15" spans="1:18">
      <c r="A15" s="3595" t="s">
        <v>3470</v>
      </c>
      <c r="B15" s="3596"/>
      <c r="C15" s="3596"/>
      <c r="D15" s="3596"/>
      <c r="E15" s="3596"/>
      <c r="F15" s="3596"/>
      <c r="G15" s="3597"/>
      <c r="H15" s="3385" t="e">
        <f ca="1">SUM(H12:H14)</f>
        <v>#DIV/0!</v>
      </c>
      <c r="I15" s="3386">
        <f>SUM(I12:I14)</f>
        <v>191157.52</v>
      </c>
      <c r="J15" s="3385" t="e">
        <f ca="1">SUM(J12:J14)</f>
        <v>#DIV/0!</v>
      </c>
      <c r="K15" s="3362"/>
      <c r="M15" t="e">
        <f ca="1">SUM(M12:M14)</f>
        <v>#DIV/0!</v>
      </c>
    </row>
    <row r="16" spans="1:18">
      <c r="A16" s="3595" t="s">
        <v>3471</v>
      </c>
      <c r="B16" s="3596"/>
      <c r="C16" s="3596"/>
      <c r="D16" s="3596"/>
      <c r="E16" s="3596"/>
      <c r="F16" s="3596"/>
      <c r="G16" s="3597"/>
      <c r="H16" s="3385"/>
      <c r="I16" s="3386"/>
      <c r="J16" s="3385">
        <f ca="1">结果表!G19</f>
        <v>17216</v>
      </c>
      <c r="K16" s="3362"/>
    </row>
    <row r="17" spans="1:34">
      <c r="A17" s="3584" t="str">
        <f>A35</f>
        <v>XARX-0004</v>
      </c>
      <c r="B17" s="3408" t="s">
        <v>3469</v>
      </c>
      <c r="C17" s="3377">
        <f ca="1">'[5]剩余法-住宅'!$B$3</f>
        <v>802</v>
      </c>
      <c r="D17" s="3377">
        <f>D14</f>
        <v>0.5</v>
      </c>
      <c r="E17" s="3377">
        <f ca="1">[5]成本逼近法!$B$3</f>
        <v>1060</v>
      </c>
      <c r="F17" s="3377">
        <f t="shared" si="0"/>
        <v>0.5</v>
      </c>
      <c r="G17" s="3377">
        <f t="shared" ca="1" si="1"/>
        <v>931</v>
      </c>
      <c r="H17" s="3382">
        <v>1</v>
      </c>
      <c r="I17" s="3384">
        <f>F35</f>
        <v>278821</v>
      </c>
      <c r="J17" s="3377">
        <f t="shared" si="2"/>
        <v>278821</v>
      </c>
      <c r="K17" s="3362" t="e">
        <f ca="1">ROUND(J21*10000/J20,0)</f>
        <v>#DIV/0!</v>
      </c>
      <c r="M17" t="e">
        <f ca="1">K17*I17/10000</f>
        <v>#DIV/0!</v>
      </c>
      <c r="O17" t="e">
        <f ca="1">M2+M7+M12+M17+M22</f>
        <v>#DIV/0!</v>
      </c>
      <c r="P17" s="3593" t="s">
        <v>3509</v>
      </c>
    </row>
    <row r="18" spans="1:34">
      <c r="A18" s="3584"/>
      <c r="B18" s="3408" t="s">
        <v>3499</v>
      </c>
      <c r="C18" s="3377">
        <f ca="1">'[5]剩余法-底商'!$B$3</f>
        <v>6194</v>
      </c>
      <c r="D18" s="3377">
        <f>D17</f>
        <v>0.5</v>
      </c>
      <c r="E18" s="3377">
        <f ca="1">E17</f>
        <v>1060</v>
      </c>
      <c r="F18" s="3377">
        <f t="shared" si="0"/>
        <v>0.5</v>
      </c>
      <c r="G18" s="3377">
        <f t="shared" ca="1" si="1"/>
        <v>3627</v>
      </c>
      <c r="H18" s="3382">
        <f t="shared" ref="H18" ca="1" si="4">G18/G17</f>
        <v>3.8958109559613319</v>
      </c>
      <c r="I18" s="3384">
        <f>H35</f>
        <v>7506</v>
      </c>
      <c r="J18" s="3377">
        <f t="shared" ca="1" si="2"/>
        <v>29241.957035445757</v>
      </c>
      <c r="K18" s="3362" t="e">
        <f ca="1">ROUND(K17*H18,0)</f>
        <v>#DIV/0!</v>
      </c>
      <c r="M18" t="e">
        <f ca="1">K18*I18/10000</f>
        <v>#DIV/0!</v>
      </c>
      <c r="O18" s="3391">
        <f>I2+I7+I12+I17+I22</f>
        <v>1213950</v>
      </c>
      <c r="P18" s="3594"/>
    </row>
    <row r="19" spans="1:34">
      <c r="A19" s="3584"/>
      <c r="B19" s="3407" t="str">
        <f>B14</f>
        <v>车位</v>
      </c>
      <c r="C19" s="3377" t="e">
        <f ca="1">'[5]剩余法-车库'!$B$3</f>
        <v>#DIV/0!</v>
      </c>
      <c r="D19" s="3377">
        <f>D17</f>
        <v>0.5</v>
      </c>
      <c r="E19" s="3377">
        <f ca="1">E17</f>
        <v>1060</v>
      </c>
      <c r="F19" s="3377">
        <f>F17</f>
        <v>0.5</v>
      </c>
      <c r="G19" s="3377" t="e">
        <f t="shared" ca="1" si="1"/>
        <v>#DIV/0!</v>
      </c>
      <c r="H19" s="3382" t="e">
        <f ca="1">ROUND(G19/G17,4)</f>
        <v>#DIV/0!</v>
      </c>
      <c r="I19" s="3384">
        <f>L35</f>
        <v>1120</v>
      </c>
      <c r="J19" s="3377" t="e">
        <f ca="1">H19*I19</f>
        <v>#DIV/0!</v>
      </c>
      <c r="K19" s="3362" t="e">
        <f ca="1">ROUND(K17*H19,0)</f>
        <v>#DIV/0!</v>
      </c>
      <c r="M19" t="e">
        <f ca="1">K19*I19/10000</f>
        <v>#DIV/0!</v>
      </c>
      <c r="O19" s="3391"/>
      <c r="P19" s="3594"/>
    </row>
    <row r="20" spans="1:34">
      <c r="A20" s="3595" t="s">
        <v>3470</v>
      </c>
      <c r="B20" s="3596"/>
      <c r="C20" s="3596"/>
      <c r="D20" s="3596"/>
      <c r="E20" s="3596"/>
      <c r="F20" s="3596"/>
      <c r="G20" s="3597"/>
      <c r="H20" s="3385">
        <f ca="1">SUM(H17:H18)</f>
        <v>4.8958109559613323</v>
      </c>
      <c r="I20" s="3386">
        <f>SUM(I17:I18)</f>
        <v>286327</v>
      </c>
      <c r="J20" s="3385" t="e">
        <f ca="1">SUM(J17:J19)</f>
        <v>#DIV/0!</v>
      </c>
      <c r="K20" s="3362"/>
      <c r="M20" t="e">
        <f ca="1">SUM(M17:M19)</f>
        <v>#DIV/0!</v>
      </c>
      <c r="O20" s="3392" t="e">
        <f ca="1">O17*10000/O18</f>
        <v>#DIV/0!</v>
      </c>
      <c r="P20" s="3594"/>
    </row>
    <row r="21" spans="1:34">
      <c r="A21" s="3595" t="s">
        <v>3471</v>
      </c>
      <c r="B21" s="3596"/>
      <c r="C21" s="3596"/>
      <c r="D21" s="3596"/>
      <c r="E21" s="3596"/>
      <c r="F21" s="3596"/>
      <c r="G21" s="3597"/>
      <c r="H21" s="3385"/>
      <c r="I21" s="3386"/>
      <c r="J21" s="3385">
        <f ca="1">[5]结果表!$G$19</f>
        <v>27073</v>
      </c>
      <c r="K21" s="3362"/>
    </row>
    <row r="22" spans="1:34">
      <c r="A22" s="3585" t="str">
        <f>A36</f>
        <v>XARX-0005</v>
      </c>
      <c r="B22" s="3376" t="s">
        <v>3469</v>
      </c>
      <c r="C22" s="3377">
        <f ca="1">'[7]剩余法-住宅'!$B$3</f>
        <v>790</v>
      </c>
      <c r="D22" s="3377">
        <f>D18</f>
        <v>0.5</v>
      </c>
      <c r="E22" s="3377">
        <f ca="1">[7]成本逼近法!$B$3</f>
        <v>1060</v>
      </c>
      <c r="F22" s="3377">
        <f t="shared" si="0"/>
        <v>0.5</v>
      </c>
      <c r="G22" s="3377">
        <f t="shared" ca="1" si="1"/>
        <v>925</v>
      </c>
      <c r="H22" s="3382">
        <v>1</v>
      </c>
      <c r="I22" s="3383">
        <f>F36</f>
        <v>208914</v>
      </c>
      <c r="J22" s="3377">
        <f t="shared" si="2"/>
        <v>208914</v>
      </c>
      <c r="K22" s="3362" t="e">
        <f ca="1">ROUND(J26*10000/J25,0)</f>
        <v>#DIV/0!</v>
      </c>
      <c r="M22" t="e">
        <f ca="1">K22*I22/10000</f>
        <v>#DIV/0!</v>
      </c>
      <c r="O22" t="e">
        <f ca="1">M3+M8+M13+M18+M23</f>
        <v>#DIV/0!</v>
      </c>
      <c r="P22" s="3593" t="s">
        <v>3510</v>
      </c>
    </row>
    <row r="23" spans="1:34">
      <c r="A23" s="3586"/>
      <c r="B23" s="3376" t="s">
        <v>3499</v>
      </c>
      <c r="C23" s="3377">
        <f ca="1">'[7]剩余法-底商'!$B$3</f>
        <v>6154</v>
      </c>
      <c r="D23" s="3377">
        <f>D22</f>
        <v>0.5</v>
      </c>
      <c r="E23" s="3377">
        <f ca="1">E22</f>
        <v>1060</v>
      </c>
      <c r="F23" s="3377">
        <f t="shared" si="0"/>
        <v>0.5</v>
      </c>
      <c r="G23" s="3377">
        <f t="shared" ca="1" si="1"/>
        <v>3607</v>
      </c>
      <c r="H23" s="3382">
        <f ca="1">ROUND(G23/G22,4)</f>
        <v>3.8995000000000002</v>
      </c>
      <c r="I23" s="3384">
        <f>H36</f>
        <v>3193.4</v>
      </c>
      <c r="J23" s="3377">
        <f t="shared" ca="1" si="2"/>
        <v>12452.6633</v>
      </c>
      <c r="K23" s="3362" t="e">
        <f ca="1">ROUND(K22*H23,0)</f>
        <v>#DIV/0!</v>
      </c>
      <c r="M23" t="e">
        <f ca="1">K23*I23/10000</f>
        <v>#DIV/0!</v>
      </c>
      <c r="O23" s="3390">
        <f>I3+I8+I13+I18+I23</f>
        <v>28115.4</v>
      </c>
      <c r="P23" s="3594"/>
    </row>
    <row r="24" spans="1:34">
      <c r="A24" s="3587"/>
      <c r="B24" s="3376" t="str">
        <f>B19</f>
        <v>车位</v>
      </c>
      <c r="C24" s="3377" t="e">
        <f ca="1">'[7]剩余法-车库'!$B$3</f>
        <v>#DIV/0!</v>
      </c>
      <c r="D24" s="3377">
        <f>D22</f>
        <v>0.5</v>
      </c>
      <c r="E24" s="3377">
        <f ca="1">E22</f>
        <v>1060</v>
      </c>
      <c r="F24" s="3377">
        <f>F22</f>
        <v>0.5</v>
      </c>
      <c r="G24" s="3377" t="e">
        <f t="shared" ca="1" si="1"/>
        <v>#DIV/0!</v>
      </c>
      <c r="H24" s="3382" t="e">
        <f ca="1">ROUND(G24/G22,4)</f>
        <v>#DIV/0!</v>
      </c>
      <c r="I24" s="3384">
        <f>L36</f>
        <v>490</v>
      </c>
      <c r="J24" s="3377" t="e">
        <f ca="1">H24*I24</f>
        <v>#DIV/0!</v>
      </c>
      <c r="K24" s="3362" t="e">
        <f ca="1">ROUND(K22*H24,0)</f>
        <v>#DIV/0!</v>
      </c>
      <c r="M24" t="e">
        <f ca="1">K24*I24/10000</f>
        <v>#DIV/0!</v>
      </c>
      <c r="O24" s="3390"/>
      <c r="P24" s="3594"/>
    </row>
    <row r="25" spans="1:34">
      <c r="A25" s="3595" t="s">
        <v>3470</v>
      </c>
      <c r="B25" s="3596"/>
      <c r="C25" s="3596"/>
      <c r="D25" s="3596"/>
      <c r="E25" s="3596"/>
      <c r="F25" s="3596"/>
      <c r="G25" s="3597"/>
      <c r="H25" s="3385">
        <f ca="1">SUM(H22:H23)</f>
        <v>4.8994999999999997</v>
      </c>
      <c r="I25" s="3387">
        <f>SUM(I22:I23)</f>
        <v>212107.4</v>
      </c>
      <c r="J25" s="3385" t="e">
        <f ca="1">SUM(J22:J24)</f>
        <v>#DIV/0!</v>
      </c>
      <c r="M25" t="e">
        <f ca="1">SUM(M22:M24)</f>
        <v>#DIV/0!</v>
      </c>
      <c r="O25" s="3392" t="e">
        <f ca="1">O22*10000/O23</f>
        <v>#DIV/0!</v>
      </c>
      <c r="P25" s="3594"/>
    </row>
    <row r="26" spans="1:34">
      <c r="A26" s="3595" t="s">
        <v>3471</v>
      </c>
      <c r="B26" s="3596"/>
      <c r="C26" s="3596"/>
      <c r="D26" s="3596"/>
      <c r="E26" s="3596"/>
      <c r="F26" s="3596"/>
      <c r="G26" s="3597"/>
      <c r="H26" s="3385"/>
      <c r="I26" s="3385"/>
      <c r="J26" s="3385">
        <f ca="1">[7]结果表!$G$19</f>
        <v>19538</v>
      </c>
    </row>
    <row r="30" spans="1:34" s="3363" customFormat="1" ht="29.25" customHeight="1">
      <c r="A30" s="3598" t="s">
        <v>3473</v>
      </c>
      <c r="B30" s="3588" t="s">
        <v>3516</v>
      </c>
      <c r="C30" s="3598" t="s">
        <v>3474</v>
      </c>
      <c r="D30" s="3598" t="s">
        <v>3475</v>
      </c>
      <c r="E30" s="3588" t="s">
        <v>3476</v>
      </c>
      <c r="F30" s="3588" t="s">
        <v>3477</v>
      </c>
      <c r="G30" s="3588" t="s">
        <v>3478</v>
      </c>
      <c r="H30" s="3588" t="s">
        <v>3479</v>
      </c>
      <c r="I30" s="3588" t="s">
        <v>3480</v>
      </c>
      <c r="J30" s="3588" t="s">
        <v>3481</v>
      </c>
      <c r="K30" s="3588" t="s">
        <v>3524</v>
      </c>
      <c r="L30" s="3588" t="s">
        <v>3525</v>
      </c>
      <c r="M30" s="3588" t="s">
        <v>3482</v>
      </c>
      <c r="N30" s="3598" t="s">
        <v>3483</v>
      </c>
      <c r="O30" s="3598" t="s">
        <v>3484</v>
      </c>
      <c r="P30" s="3598" t="s">
        <v>3485</v>
      </c>
      <c r="Q30" s="3598" t="s">
        <v>3486</v>
      </c>
      <c r="R30" s="3590" t="s">
        <v>3487</v>
      </c>
      <c r="S30" s="3591"/>
      <c r="T30" s="3591"/>
      <c r="U30" s="3591"/>
      <c r="V30" s="3591"/>
      <c r="W30" s="3591"/>
      <c r="X30" s="3591"/>
      <c r="Y30" s="3591"/>
      <c r="Z30" s="3591"/>
      <c r="AA30" s="3591"/>
      <c r="AB30" s="3591"/>
      <c r="AC30" s="3591"/>
      <c r="AD30" s="3591"/>
      <c r="AE30" s="3592"/>
      <c r="AF30" s="3598" t="s">
        <v>3488</v>
      </c>
      <c r="AG30" s="3599" t="s">
        <v>3489</v>
      </c>
      <c r="AH30" s="3599" t="s">
        <v>3490</v>
      </c>
    </row>
    <row r="31" spans="1:34" s="3363" customFormat="1" ht="24">
      <c r="A31" s="3598"/>
      <c r="B31" s="3589"/>
      <c r="C31" s="3598"/>
      <c r="D31" s="3598"/>
      <c r="E31" s="3589"/>
      <c r="F31" s="3589"/>
      <c r="G31" s="3589"/>
      <c r="H31" s="3589"/>
      <c r="I31" s="3589"/>
      <c r="J31" s="3589"/>
      <c r="K31" s="3589"/>
      <c r="L31" s="3589"/>
      <c r="M31" s="3589"/>
      <c r="N31" s="3598"/>
      <c r="O31" s="3598"/>
      <c r="P31" s="3598"/>
      <c r="Q31" s="3598"/>
      <c r="R31" s="3364" t="s">
        <v>3491</v>
      </c>
      <c r="S31" s="3364" t="s">
        <v>3492</v>
      </c>
      <c r="T31" s="3364" t="s">
        <v>3493</v>
      </c>
      <c r="U31" s="3364" t="s">
        <v>3492</v>
      </c>
      <c r="V31" s="3364" t="s">
        <v>3494</v>
      </c>
      <c r="W31" s="3364" t="s">
        <v>3492</v>
      </c>
      <c r="X31" s="3364" t="s">
        <v>3495</v>
      </c>
      <c r="Y31" s="3364" t="s">
        <v>3492</v>
      </c>
      <c r="Z31" s="3364" t="s">
        <v>3496</v>
      </c>
      <c r="AA31" s="3364" t="s">
        <v>3492</v>
      </c>
      <c r="AB31" s="3364" t="s">
        <v>3497</v>
      </c>
      <c r="AC31" s="3364" t="s">
        <v>3492</v>
      </c>
      <c r="AD31" s="3397" t="s">
        <v>3526</v>
      </c>
      <c r="AE31" s="3397" t="s">
        <v>3492</v>
      </c>
      <c r="AF31" s="3598"/>
      <c r="AG31" s="3599"/>
      <c r="AH31" s="3599"/>
    </row>
    <row r="32" spans="1:34" s="3363" customFormat="1" ht="19.5" customHeight="1">
      <c r="A32" s="3364" t="s">
        <v>3511</v>
      </c>
      <c r="B32" s="3365">
        <v>123492</v>
      </c>
      <c r="C32" s="3365">
        <v>123492</v>
      </c>
      <c r="D32" s="3365">
        <v>229017</v>
      </c>
      <c r="E32" s="3365">
        <f>F32+H32</f>
        <v>224410</v>
      </c>
      <c r="F32" s="3365">
        <v>222092</v>
      </c>
      <c r="G32" s="3365">
        <v>0</v>
      </c>
      <c r="H32" s="3365">
        <v>2318</v>
      </c>
      <c r="I32" s="3365">
        <v>0</v>
      </c>
      <c r="J32" s="3365">
        <v>0</v>
      </c>
      <c r="K32" s="3365">
        <v>0</v>
      </c>
      <c r="L32" s="3365">
        <f>29.36*11</f>
        <v>322.95999999999998</v>
      </c>
      <c r="M32" s="3394">
        <f t="shared" ref="M32:M33" si="5">ROUND(E32/C32,2)</f>
        <v>1.82</v>
      </c>
      <c r="N32" s="3367">
        <f ca="1">J6</f>
        <v>20117</v>
      </c>
      <c r="O32" s="3367">
        <f ca="1">ROUND(N32*10000/B32,0)</f>
        <v>1629</v>
      </c>
      <c r="P32" s="3367">
        <f ca="1">ROUND(O32/15,0)</f>
        <v>109</v>
      </c>
      <c r="Q32" s="3368">
        <f ca="1">ROUND(N32*10000/E32,0)</f>
        <v>896</v>
      </c>
      <c r="R32" s="3369" t="e">
        <f ca="1">K2</f>
        <v>#DIV/0!</v>
      </c>
      <c r="S32" s="3369" t="e">
        <f ca="1">ROUND(F32*R32/10000,0)</f>
        <v>#DIV/0!</v>
      </c>
      <c r="T32" s="3369" t="s">
        <v>943</v>
      </c>
      <c r="U32" s="3369">
        <v>0</v>
      </c>
      <c r="V32" s="3369" t="e">
        <f ca="1">K3</f>
        <v>#DIV/0!</v>
      </c>
      <c r="W32" s="3369" t="e">
        <f ca="1">ROUND(H32*V32/10000,0)</f>
        <v>#DIV/0!</v>
      </c>
      <c r="X32" s="3367" t="s">
        <v>943</v>
      </c>
      <c r="Y32" s="3367">
        <v>0</v>
      </c>
      <c r="Z32" s="3367" t="s">
        <v>943</v>
      </c>
      <c r="AA32" s="3367">
        <v>0</v>
      </c>
      <c r="AB32" s="3367" t="s">
        <v>943</v>
      </c>
      <c r="AC32" s="3367">
        <v>0</v>
      </c>
      <c r="AD32" s="3367" t="s">
        <v>943</v>
      </c>
      <c r="AE32" s="3367">
        <v>0</v>
      </c>
      <c r="AF32" s="3600" t="s">
        <v>3498</v>
      </c>
      <c r="AG32" s="3370" t="e">
        <f ca="1">S32+U32+W32+Y32+AA32+AC32</f>
        <v>#DIV/0!</v>
      </c>
      <c r="AH32" s="3370" t="e">
        <f ca="1">N32-AG32</f>
        <v>#DIV/0!</v>
      </c>
    </row>
    <row r="33" spans="1:34" s="3373" customFormat="1" ht="19.5" customHeight="1">
      <c r="A33" s="3371" t="s">
        <v>3512</v>
      </c>
      <c r="B33" s="3372">
        <v>172907</v>
      </c>
      <c r="C33" s="3372">
        <f>B33-1938</f>
        <v>170969</v>
      </c>
      <c r="D33" s="3372">
        <v>333875</v>
      </c>
      <c r="E33" s="3365">
        <f t="shared" ref="E33:E36" si="6">F33+H33</f>
        <v>328453</v>
      </c>
      <c r="F33" s="3372">
        <v>315530</v>
      </c>
      <c r="G33" s="3372">
        <v>0</v>
      </c>
      <c r="H33" s="3372">
        <v>12923</v>
      </c>
      <c r="I33" s="3372">
        <v>0</v>
      </c>
      <c r="J33" s="3372">
        <v>0</v>
      </c>
      <c r="K33" s="3372">
        <v>0</v>
      </c>
      <c r="L33" s="3372">
        <f>30.47*(21+45)</f>
        <v>2011.02</v>
      </c>
      <c r="M33" s="3394">
        <f t="shared" si="5"/>
        <v>1.92</v>
      </c>
      <c r="N33" s="3369">
        <f ca="1">J11</f>
        <v>31282</v>
      </c>
      <c r="O33" s="3367">
        <f t="shared" ref="O33:O36" ca="1" si="7">ROUND(N33*10000/B33,0)</f>
        <v>1809</v>
      </c>
      <c r="P33" s="3367">
        <f t="shared" ref="P33:P36" ca="1" si="8">ROUND(O33/15,0)</f>
        <v>121</v>
      </c>
      <c r="Q33" s="3368">
        <f t="shared" ref="Q33:Q36" ca="1" si="9">ROUND(N33*10000/E33,0)</f>
        <v>952</v>
      </c>
      <c r="R33" s="3369" t="e">
        <f ca="1">K7</f>
        <v>#DIV/0!</v>
      </c>
      <c r="S33" s="3369" t="e">
        <f ca="1">ROUND(F33*R33/10000,0)</f>
        <v>#DIV/0!</v>
      </c>
      <c r="T33" s="3369" t="s">
        <v>943</v>
      </c>
      <c r="U33" s="3369">
        <v>0</v>
      </c>
      <c r="V33" s="3369" t="e">
        <f ca="1">K8</f>
        <v>#DIV/0!</v>
      </c>
      <c r="W33" s="3369" t="e">
        <f ca="1">ROUND(H33*V33/10000,0)</f>
        <v>#DIV/0!</v>
      </c>
      <c r="X33" s="3369" t="s">
        <v>3527</v>
      </c>
      <c r="Y33" s="3369">
        <v>0</v>
      </c>
      <c r="Z33" s="3369" t="s">
        <v>943</v>
      </c>
      <c r="AA33" s="3369">
        <v>0</v>
      </c>
      <c r="AB33" s="3369" t="s">
        <v>943</v>
      </c>
      <c r="AC33" s="3369">
        <v>0</v>
      </c>
      <c r="AD33" s="3369" t="s">
        <v>943</v>
      </c>
      <c r="AE33" s="3369">
        <v>0</v>
      </c>
      <c r="AF33" s="3601"/>
      <c r="AG33" s="3370" t="e">
        <f t="shared" ref="AG33:AG36" ca="1" si="10">S33+U33+W33+Y33+AA33+AC33</f>
        <v>#DIV/0!</v>
      </c>
      <c r="AH33" s="3370" t="e">
        <f t="shared" ref="AH33:AH36" ca="1" si="11">N33-AG33</f>
        <v>#DIV/0!</v>
      </c>
    </row>
    <row r="34" spans="1:34" s="3363" customFormat="1" ht="19.5" customHeight="1">
      <c r="A34" s="3364" t="s">
        <v>3513</v>
      </c>
      <c r="B34" s="3374">
        <v>98307</v>
      </c>
      <c r="C34" s="3374">
        <f>B34</f>
        <v>98307</v>
      </c>
      <c r="D34" s="3374">
        <v>196602</v>
      </c>
      <c r="E34" s="3365">
        <f t="shared" si="6"/>
        <v>190768</v>
      </c>
      <c r="F34" s="3374">
        <v>188593</v>
      </c>
      <c r="G34" s="3365">
        <v>0</v>
      </c>
      <c r="H34" s="3365">
        <f>'数据-基础表'!K13</f>
        <v>2175</v>
      </c>
      <c r="I34" s="3365">
        <v>0</v>
      </c>
      <c r="J34" s="3365">
        <v>0</v>
      </c>
      <c r="K34" s="3365">
        <v>0</v>
      </c>
      <c r="L34" s="3365">
        <f>32.46*12</f>
        <v>389.52</v>
      </c>
      <c r="M34" s="3394">
        <f>ROUND(E34/C34,2)</f>
        <v>1.94</v>
      </c>
      <c r="N34" s="3367">
        <f ca="1">J16</f>
        <v>17216</v>
      </c>
      <c r="O34" s="3367">
        <f t="shared" ca="1" si="7"/>
        <v>1751</v>
      </c>
      <c r="P34" s="3367">
        <f t="shared" ca="1" si="8"/>
        <v>117</v>
      </c>
      <c r="Q34" s="3368">
        <f t="shared" ca="1" si="9"/>
        <v>902</v>
      </c>
      <c r="R34" s="3375" t="e">
        <f ca="1">K12</f>
        <v>#DIV/0!</v>
      </c>
      <c r="S34" s="3369" t="e">
        <f ca="1">ROUND(F34*R34/10000,0)</f>
        <v>#DIV/0!</v>
      </c>
      <c r="T34" s="3375" t="s">
        <v>943</v>
      </c>
      <c r="U34" s="3375">
        <v>0</v>
      </c>
      <c r="V34" s="3375" t="e">
        <f ca="1">K13</f>
        <v>#DIV/0!</v>
      </c>
      <c r="W34" s="3369" t="e">
        <f ca="1">ROUND(H34*V34/10000,0)</f>
        <v>#DIV/0!</v>
      </c>
      <c r="X34" s="3375" t="s">
        <v>943</v>
      </c>
      <c r="Y34" s="3367">
        <v>0</v>
      </c>
      <c r="Z34" s="3375" t="s">
        <v>943</v>
      </c>
      <c r="AA34" s="3367">
        <v>0</v>
      </c>
      <c r="AB34" s="3375" t="s">
        <v>3527</v>
      </c>
      <c r="AC34" s="3369">
        <v>0</v>
      </c>
      <c r="AD34" s="3375" t="s">
        <v>3527</v>
      </c>
      <c r="AE34" s="3369">
        <v>0</v>
      </c>
      <c r="AF34" s="3601"/>
      <c r="AG34" s="3370" t="e">
        <f t="shared" ca="1" si="10"/>
        <v>#DIV/0!</v>
      </c>
      <c r="AH34" s="3370" t="e">
        <f t="shared" ca="1" si="11"/>
        <v>#DIV/0!</v>
      </c>
    </row>
    <row r="35" spans="1:34" s="3363" customFormat="1" ht="19.5" customHeight="1">
      <c r="A35" s="3364" t="s">
        <v>3514</v>
      </c>
      <c r="B35" s="3374">
        <v>153466</v>
      </c>
      <c r="C35" s="3393">
        <f>B35-1938</f>
        <v>151528</v>
      </c>
      <c r="D35" s="3366">
        <v>293784</v>
      </c>
      <c r="E35" s="3365">
        <f t="shared" si="6"/>
        <v>286327</v>
      </c>
      <c r="F35" s="3366">
        <v>278821</v>
      </c>
      <c r="G35" s="3365">
        <v>0</v>
      </c>
      <c r="H35" s="3365">
        <v>7506</v>
      </c>
      <c r="I35" s="3365">
        <v>0</v>
      </c>
      <c r="J35" s="3365">
        <v>0</v>
      </c>
      <c r="K35" s="3365">
        <v>0</v>
      </c>
      <c r="L35" s="3365">
        <f>35*32</f>
        <v>1120</v>
      </c>
      <c r="M35" s="3394">
        <f t="shared" ref="M35:M36" si="12">ROUND(E35/C35,2)</f>
        <v>1.89</v>
      </c>
      <c r="N35" s="3367">
        <f ca="1">J21</f>
        <v>27073</v>
      </c>
      <c r="O35" s="3367">
        <f t="shared" ca="1" si="7"/>
        <v>1764</v>
      </c>
      <c r="P35" s="3367">
        <f t="shared" ca="1" si="8"/>
        <v>118</v>
      </c>
      <c r="Q35" s="3368">
        <f t="shared" ca="1" si="9"/>
        <v>946</v>
      </c>
      <c r="R35" s="3367" t="e">
        <f ca="1">K17</f>
        <v>#DIV/0!</v>
      </c>
      <c r="S35" s="3369" t="e">
        <f ca="1">ROUND(F35*R35/10000,0)</f>
        <v>#DIV/0!</v>
      </c>
      <c r="T35" s="3367" t="s">
        <v>943</v>
      </c>
      <c r="U35" s="3367">
        <v>0</v>
      </c>
      <c r="V35" s="3367" t="e">
        <f ca="1">K18</f>
        <v>#DIV/0!</v>
      </c>
      <c r="W35" s="3369" t="e">
        <f ca="1">ROUND(H35*V35/10000,0)</f>
        <v>#DIV/0!</v>
      </c>
      <c r="X35" s="3367" t="s">
        <v>943</v>
      </c>
      <c r="Y35" s="3367">
        <v>0</v>
      </c>
      <c r="Z35" s="3367" t="s">
        <v>943</v>
      </c>
      <c r="AA35" s="3367">
        <v>0</v>
      </c>
      <c r="AB35" s="3367" t="s">
        <v>943</v>
      </c>
      <c r="AC35" s="3367">
        <v>0</v>
      </c>
      <c r="AD35" s="3367" t="s">
        <v>943</v>
      </c>
      <c r="AE35" s="3367">
        <v>0</v>
      </c>
      <c r="AF35" s="3601"/>
      <c r="AG35" s="3370" t="e">
        <f t="shared" ca="1" si="10"/>
        <v>#DIV/0!</v>
      </c>
      <c r="AH35" s="3370" t="e">
        <f t="shared" ca="1" si="11"/>
        <v>#DIV/0!</v>
      </c>
    </row>
    <row r="36" spans="1:34" s="3363" customFormat="1" ht="19.5" customHeight="1">
      <c r="A36" s="3364" t="s">
        <v>3515</v>
      </c>
      <c r="B36" s="3374">
        <v>116931</v>
      </c>
      <c r="C36" s="3393">
        <f>B36</f>
        <v>116931</v>
      </c>
      <c r="D36" s="3366">
        <v>225238</v>
      </c>
      <c r="E36" s="3365">
        <f t="shared" si="6"/>
        <v>212107.4</v>
      </c>
      <c r="F36" s="3366">
        <v>208914</v>
      </c>
      <c r="G36" s="3365">
        <v>0</v>
      </c>
      <c r="H36" s="3365">
        <v>3193.4</v>
      </c>
      <c r="I36" s="3365">
        <v>0</v>
      </c>
      <c r="J36" s="3365">
        <v>0</v>
      </c>
      <c r="K36" s="3365">
        <v>0</v>
      </c>
      <c r="L36" s="3365">
        <f>35*14</f>
        <v>490</v>
      </c>
      <c r="M36" s="3394">
        <f t="shared" si="12"/>
        <v>1.81</v>
      </c>
      <c r="N36" s="3367">
        <f ca="1">J26</f>
        <v>19538</v>
      </c>
      <c r="O36" s="3367">
        <f t="shared" ca="1" si="7"/>
        <v>1671</v>
      </c>
      <c r="P36" s="3367">
        <f t="shared" ca="1" si="8"/>
        <v>111</v>
      </c>
      <c r="Q36" s="3368">
        <f t="shared" ca="1" si="9"/>
        <v>921</v>
      </c>
      <c r="R36" s="3367" t="e">
        <f ca="1">K22</f>
        <v>#DIV/0!</v>
      </c>
      <c r="S36" s="3369" t="e">
        <f ca="1">ROUND(F36*R36/10000,0)</f>
        <v>#DIV/0!</v>
      </c>
      <c r="T36" s="3367" t="s">
        <v>943</v>
      </c>
      <c r="U36" s="3367">
        <v>0</v>
      </c>
      <c r="V36" s="3367" t="e">
        <f ca="1">K23</f>
        <v>#DIV/0!</v>
      </c>
      <c r="W36" s="3369" t="e">
        <f ca="1">ROUND(H36*V36/10000,0)</f>
        <v>#DIV/0!</v>
      </c>
      <c r="X36" s="3367" t="s">
        <v>943</v>
      </c>
      <c r="Y36" s="3367">
        <v>0</v>
      </c>
      <c r="Z36" s="3367" t="s">
        <v>943</v>
      </c>
      <c r="AA36" s="3367">
        <v>0</v>
      </c>
      <c r="AB36" s="3367" t="s">
        <v>943</v>
      </c>
      <c r="AC36" s="3367">
        <v>0</v>
      </c>
      <c r="AD36" s="3367" t="s">
        <v>943</v>
      </c>
      <c r="AE36" s="3367">
        <v>0</v>
      </c>
      <c r="AF36" s="3602"/>
      <c r="AG36" s="3370" t="e">
        <f t="shared" ca="1" si="10"/>
        <v>#DIV/0!</v>
      </c>
      <c r="AH36" s="3370" t="e">
        <f t="shared" ca="1" si="11"/>
        <v>#DIV/0!</v>
      </c>
    </row>
  </sheetData>
  <mergeCells count="39">
    <mergeCell ref="E30:E31"/>
    <mergeCell ref="A16:G16"/>
    <mergeCell ref="A5:G5"/>
    <mergeCell ref="A6:G6"/>
    <mergeCell ref="A10:G10"/>
    <mergeCell ref="A11:G11"/>
    <mergeCell ref="A15:G15"/>
    <mergeCell ref="AG30:AG31"/>
    <mergeCell ref="AH30:AH31"/>
    <mergeCell ref="AF32:AF36"/>
    <mergeCell ref="A7:A9"/>
    <mergeCell ref="A12:A14"/>
    <mergeCell ref="N30:N31"/>
    <mergeCell ref="O30:O31"/>
    <mergeCell ref="P30:P31"/>
    <mergeCell ref="Q30:Q31"/>
    <mergeCell ref="AF30:AF31"/>
    <mergeCell ref="G30:G31"/>
    <mergeCell ref="A30:A31"/>
    <mergeCell ref="H30:H31"/>
    <mergeCell ref="A20:G20"/>
    <mergeCell ref="A21:G21"/>
    <mergeCell ref="A25:G25"/>
    <mergeCell ref="A2:A4"/>
    <mergeCell ref="A17:A19"/>
    <mergeCell ref="A22:A24"/>
    <mergeCell ref="L30:L31"/>
    <mergeCell ref="R30:AE30"/>
    <mergeCell ref="P17:P20"/>
    <mergeCell ref="P22:P25"/>
    <mergeCell ref="I30:I31"/>
    <mergeCell ref="J30:J31"/>
    <mergeCell ref="K30:K31"/>
    <mergeCell ref="M30:M31"/>
    <mergeCell ref="A26:G26"/>
    <mergeCell ref="F30:F31"/>
    <mergeCell ref="B30:B31"/>
    <mergeCell ref="C30:C31"/>
    <mergeCell ref="D30:D31"/>
  </mergeCells>
  <phoneticPr fontId="229" type="noConversion"/>
  <pageMargins left="0.7" right="0.7" top="0.75" bottom="0.75" header="0.3" footer="0.3"/>
  <pageSetup paperSize="0" orientation="portrait" horizontalDpi="0" verticalDpi="0" copies="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5"/>
  <sheetViews>
    <sheetView tabSelected="1" zoomScaleNormal="100" workbookViewId="0">
      <selection activeCell="K39" sqref="K39:K40"/>
    </sheetView>
  </sheetViews>
  <sheetFormatPr defaultRowHeight="13.5"/>
  <cols>
    <col min="1" max="1" width="12" customWidth="1"/>
    <col min="10" max="10" width="12.5" customWidth="1"/>
    <col min="12" max="12" width="9.5" bestFit="1" customWidth="1"/>
    <col min="13" max="13" width="19.25" customWidth="1"/>
  </cols>
  <sheetData>
    <row r="1" spans="1:18">
      <c r="A1" s="3377"/>
      <c r="B1" s="3377"/>
      <c r="C1" s="3376" t="s">
        <v>3464</v>
      </c>
      <c r="D1" s="3376" t="s">
        <v>3465</v>
      </c>
      <c r="E1" s="3376" t="s">
        <v>3466</v>
      </c>
      <c r="F1" s="3376" t="s">
        <v>3465</v>
      </c>
      <c r="G1" s="3376" t="s">
        <v>3467</v>
      </c>
      <c r="H1" s="3377"/>
      <c r="I1" s="3376" t="s">
        <v>3468</v>
      </c>
      <c r="J1" s="3377"/>
      <c r="N1" s="3378" t="s">
        <v>3503</v>
      </c>
      <c r="O1" s="3378" t="s">
        <v>3501</v>
      </c>
      <c r="P1" s="3378" t="s">
        <v>3502</v>
      </c>
      <c r="Q1" s="3378" t="s">
        <v>3506</v>
      </c>
      <c r="R1" s="3378" t="s">
        <v>3507</v>
      </c>
    </row>
    <row r="2" spans="1:18">
      <c r="A2" s="3581" t="str">
        <f>A32</f>
        <v>XARX-0001</v>
      </c>
      <c r="B2" s="3376" t="s">
        <v>3434</v>
      </c>
      <c r="C2" s="3377">
        <f ca="1">'[2]剩余法-住宅'!$B$3</f>
        <v>804</v>
      </c>
      <c r="D2" s="3377">
        <v>0.5</v>
      </c>
      <c r="E2" s="3377">
        <f ca="1">[2]成本逼近法!$B$3</f>
        <v>1060</v>
      </c>
      <c r="F2" s="3377">
        <f>1-D2</f>
        <v>0.5</v>
      </c>
      <c r="G2" s="3377">
        <f ca="1">ROUND(C2*D2+E2*F2,0)</f>
        <v>932</v>
      </c>
      <c r="H2" s="3382">
        <v>1</v>
      </c>
      <c r="I2" s="3383">
        <f>F32</f>
        <v>222092</v>
      </c>
      <c r="J2" s="3377">
        <f>I2*H2</f>
        <v>222092</v>
      </c>
      <c r="K2" s="3362">
        <f ca="1">ROUND(J6*10000/J5,0)</f>
        <v>870</v>
      </c>
      <c r="L2" s="3362"/>
      <c r="M2">
        <f ca="1">K2*I2/10000</f>
        <v>19322.004000000001</v>
      </c>
      <c r="N2" s="3378" t="s">
        <v>3434</v>
      </c>
      <c r="O2" s="3379">
        <f>'[4]数据-取费表'!$U$6</f>
        <v>1.9</v>
      </c>
      <c r="P2" s="3379">
        <v>4650</v>
      </c>
      <c r="Q2" s="3380">
        <f>'数据-取费表'!Q6</f>
        <v>0.03</v>
      </c>
      <c r="R2" s="3381">
        <f>'数据-取费表'!W6</f>
        <v>0.05</v>
      </c>
    </row>
    <row r="3" spans="1:18">
      <c r="A3" s="3582"/>
      <c r="B3" s="3376" t="s">
        <v>3499</v>
      </c>
      <c r="C3" s="3377">
        <f ca="1">'[2]剩余法-底商'!$B$3</f>
        <v>6242</v>
      </c>
      <c r="D3" s="3377">
        <f>D2</f>
        <v>0.5</v>
      </c>
      <c r="E3" s="3377">
        <f ca="1">E2</f>
        <v>1060</v>
      </c>
      <c r="F3" s="3377">
        <f t="shared" ref="F3:F23" si="0">1-D3</f>
        <v>0.5</v>
      </c>
      <c r="G3" s="3377">
        <f t="shared" ref="G3:G24" ca="1" si="1">ROUND(C3*D3+E3*F3,0)</f>
        <v>3651</v>
      </c>
      <c r="H3" s="3382">
        <f ca="1">ROUND(G3/G2,4)</f>
        <v>3.9174000000000002</v>
      </c>
      <c r="I3" s="3384">
        <f>H32</f>
        <v>2318</v>
      </c>
      <c r="J3" s="3377">
        <f ca="1">I3*H3</f>
        <v>9080.5331999999999</v>
      </c>
      <c r="K3" s="3362">
        <f ca="1">ROUND(K2*H3,0)</f>
        <v>3408</v>
      </c>
      <c r="L3" s="3362"/>
      <c r="M3">
        <f ca="1">K3*I3/10000</f>
        <v>789.97439999999995</v>
      </c>
      <c r="N3" s="3378" t="s">
        <v>3499</v>
      </c>
      <c r="O3" s="3379">
        <f>'[4]数据-取费表'!$U$7</f>
        <v>2.5</v>
      </c>
      <c r="P3" s="3379">
        <v>3700</v>
      </c>
      <c r="Q3" s="3389">
        <v>0.1</v>
      </c>
      <c r="R3" s="3381">
        <v>0.08</v>
      </c>
    </row>
    <row r="4" spans="1:18" hidden="1">
      <c r="A4" s="3583"/>
      <c r="B4" s="3376" t="str">
        <f>B14</f>
        <v>车位</v>
      </c>
      <c r="C4" s="3377" t="e">
        <f ca="1">'[2]剩余法-车库'!$B$3</f>
        <v>#DIV/0!</v>
      </c>
      <c r="D4" s="3377">
        <f>D2</f>
        <v>0.5</v>
      </c>
      <c r="E4" s="3377">
        <f ca="1">E2</f>
        <v>1060</v>
      </c>
      <c r="F4" s="3377">
        <f>F2</f>
        <v>0.5</v>
      </c>
      <c r="G4" s="3377" t="e">
        <f t="shared" ca="1" si="1"/>
        <v>#DIV/0!</v>
      </c>
      <c r="H4" s="3382" t="e">
        <f ca="1">ROUND(G4/G2,4)</f>
        <v>#DIV/0!</v>
      </c>
      <c r="I4" s="3384">
        <f>L32</f>
        <v>322.95999999999998</v>
      </c>
      <c r="J4" s="3377" t="e">
        <f ca="1">H4*I4</f>
        <v>#DIV/0!</v>
      </c>
      <c r="K4" s="3362" t="e">
        <f ca="1">ROUND(K2*H4,0)</f>
        <v>#DIV/0!</v>
      </c>
      <c r="L4" s="3362"/>
      <c r="M4" t="e">
        <f ca="1">K4*I4/10000</f>
        <v>#DIV/0!</v>
      </c>
      <c r="N4" s="3378"/>
      <c r="O4" s="3379"/>
      <c r="P4" s="3379"/>
      <c r="Q4" s="3389"/>
      <c r="R4" s="3381"/>
    </row>
    <row r="5" spans="1:18">
      <c r="A5" s="3595" t="s">
        <v>3456</v>
      </c>
      <c r="B5" s="3596"/>
      <c r="C5" s="3596"/>
      <c r="D5" s="3596"/>
      <c r="E5" s="3596"/>
      <c r="F5" s="3596"/>
      <c r="G5" s="3597"/>
      <c r="H5" s="3385">
        <f ca="1">SUM(H2:H3)</f>
        <v>4.9174000000000007</v>
      </c>
      <c r="I5" s="3387">
        <f>SUM(I2:I3)</f>
        <v>224410</v>
      </c>
      <c r="J5" s="3385">
        <f ca="1">SUM(J2:J3)</f>
        <v>231172.53320000001</v>
      </c>
      <c r="M5" t="e">
        <f ca="1">SUM(M2:M4)</f>
        <v>#DIV/0!</v>
      </c>
      <c r="N5" s="3378" t="s">
        <v>3500</v>
      </c>
      <c r="O5" s="3379">
        <v>2.1</v>
      </c>
      <c r="P5" s="3379">
        <v>3500</v>
      </c>
      <c r="Q5" s="3389">
        <v>0.1</v>
      </c>
      <c r="R5" s="3381">
        <v>0.1</v>
      </c>
    </row>
    <row r="6" spans="1:18">
      <c r="A6" s="3595" t="s">
        <v>3471</v>
      </c>
      <c r="B6" s="3596"/>
      <c r="C6" s="3596"/>
      <c r="D6" s="3596"/>
      <c r="E6" s="3596"/>
      <c r="F6" s="3596"/>
      <c r="G6" s="3597"/>
      <c r="H6" s="3385"/>
      <c r="I6" s="3385"/>
      <c r="J6" s="3385">
        <f ca="1">[2]结果表!$G$19</f>
        <v>20117</v>
      </c>
      <c r="N6" s="3378" t="s">
        <v>3472</v>
      </c>
      <c r="O6" s="3379" t="e">
        <f ca="1">'不动产收益法-酒店'!F6</f>
        <v>#DIV/0!</v>
      </c>
      <c r="P6" s="3379">
        <f>'数据-取费表'!L11</f>
        <v>5200</v>
      </c>
      <c r="Q6" s="3380">
        <f>'数据-取费表'!Q11</f>
        <v>0.05</v>
      </c>
      <c r="R6" s="3381">
        <f>'数据-取费表'!W11</f>
        <v>0.25</v>
      </c>
    </row>
    <row r="7" spans="1:18">
      <c r="A7" s="3603" t="str">
        <f>A33</f>
        <v>XARX-0002</v>
      </c>
      <c r="B7" s="3376" t="s">
        <v>3434</v>
      </c>
      <c r="C7" s="3377">
        <f ca="1">'[6]剩余法-住宅'!$B$3</f>
        <v>802</v>
      </c>
      <c r="D7" s="3377">
        <f>D3</f>
        <v>0.5</v>
      </c>
      <c r="E7" s="3377">
        <f ca="1">[6]成本逼近法!$B$3</f>
        <v>1059</v>
      </c>
      <c r="F7" s="3377">
        <f t="shared" si="0"/>
        <v>0.5</v>
      </c>
      <c r="G7" s="3377">
        <f t="shared" ca="1" si="1"/>
        <v>931</v>
      </c>
      <c r="H7" s="3382">
        <v>1</v>
      </c>
      <c r="I7" s="3384">
        <f>F33</f>
        <v>315530</v>
      </c>
      <c r="J7" s="3377">
        <f t="shared" ref="J7:J23" si="2">I7*H7</f>
        <v>315530</v>
      </c>
      <c r="K7" s="3362">
        <f ca="1">ROUND(J11*10000/J10,0)</f>
        <v>855</v>
      </c>
      <c r="M7">
        <f ca="1">K7*I7/10000</f>
        <v>26977.814999999999</v>
      </c>
      <c r="N7" s="3405" t="s">
        <v>3517</v>
      </c>
      <c r="O7" s="3377">
        <v>350</v>
      </c>
      <c r="P7" s="3406">
        <v>3000</v>
      </c>
      <c r="Q7" s="3380">
        <v>0.1</v>
      </c>
      <c r="R7" s="3380">
        <v>0.15</v>
      </c>
    </row>
    <row r="8" spans="1:18" ht="12.75" customHeight="1">
      <c r="A8" s="3582"/>
      <c r="B8" s="3376" t="str">
        <f>B3</f>
        <v>底商</v>
      </c>
      <c r="C8" s="3377">
        <f ca="1">'[6]剩余法-底商'!$B$3</f>
        <v>6194</v>
      </c>
      <c r="D8" s="3377">
        <f>D7</f>
        <v>0.5</v>
      </c>
      <c r="E8" s="3377">
        <f ca="1">E7</f>
        <v>1059</v>
      </c>
      <c r="F8" s="3377">
        <f t="shared" si="0"/>
        <v>0.5</v>
      </c>
      <c r="G8" s="3377">
        <f t="shared" ca="1" si="1"/>
        <v>3627</v>
      </c>
      <c r="H8" s="3382">
        <f ca="1">ROUND(G8/G7,4)</f>
        <v>3.8957999999999999</v>
      </c>
      <c r="I8" s="3384">
        <f>H33</f>
        <v>12923</v>
      </c>
      <c r="J8" s="3377">
        <f t="shared" ca="1" si="2"/>
        <v>50345.4234</v>
      </c>
      <c r="K8" s="3362">
        <f ca="1">ROUND(K7*H8,0)</f>
        <v>3331</v>
      </c>
      <c r="M8">
        <f ca="1">K8*I8/10000</f>
        <v>4304.6513000000004</v>
      </c>
    </row>
    <row r="9" spans="1:18" hidden="1">
      <c r="A9" s="3583"/>
      <c r="B9" s="3376" t="str">
        <f>B14</f>
        <v>车位</v>
      </c>
      <c r="C9" s="3377" t="e">
        <f ca="1">'[6]剩余法-车库'!$B$3</f>
        <v>#DIV/0!</v>
      </c>
      <c r="D9" s="3377">
        <f>D8</f>
        <v>0.5</v>
      </c>
      <c r="E9" s="3377">
        <f ca="1">E7</f>
        <v>1059</v>
      </c>
      <c r="F9" s="3377">
        <f t="shared" si="0"/>
        <v>0.5</v>
      </c>
      <c r="G9" s="3377" t="e">
        <f t="shared" ca="1" si="1"/>
        <v>#DIV/0!</v>
      </c>
      <c r="H9" s="3382" t="e">
        <f ca="1">ROUND(G9/G7,4)</f>
        <v>#DIV/0!</v>
      </c>
      <c r="I9" s="3384">
        <f>L33</f>
        <v>2011.02</v>
      </c>
      <c r="J9" s="3377" t="e">
        <f ca="1">I9*H9</f>
        <v>#DIV/0!</v>
      </c>
      <c r="K9" s="3392" t="e">
        <f ca="1">ROUND(K7*H9,0)</f>
        <v>#DIV/0!</v>
      </c>
      <c r="M9" t="e">
        <f ca="1">K9*I9/10000</f>
        <v>#DIV/0!</v>
      </c>
    </row>
    <row r="10" spans="1:18">
      <c r="A10" s="3595" t="s">
        <v>3456</v>
      </c>
      <c r="B10" s="3596"/>
      <c r="C10" s="3596"/>
      <c r="D10" s="3596"/>
      <c r="E10" s="3596"/>
      <c r="F10" s="3596"/>
      <c r="G10" s="3597"/>
      <c r="H10" s="3385">
        <f ca="1">SUM(H7:H8)</f>
        <v>4.8957999999999995</v>
      </c>
      <c r="I10" s="3386">
        <f>SUM(I7:I8)</f>
        <v>328453</v>
      </c>
      <c r="J10" s="3385">
        <f ca="1">SUM(J7:J8)</f>
        <v>365875.42339999997</v>
      </c>
      <c r="K10" s="3362"/>
      <c r="M10" t="e">
        <f ca="1">SUM(M7:M9)</f>
        <v>#DIV/0!</v>
      </c>
    </row>
    <row r="11" spans="1:18">
      <c r="A11" s="3595" t="s">
        <v>3471</v>
      </c>
      <c r="B11" s="3596"/>
      <c r="C11" s="3596"/>
      <c r="D11" s="3596"/>
      <c r="E11" s="3596"/>
      <c r="F11" s="3596"/>
      <c r="G11" s="3597"/>
      <c r="H11" s="3385"/>
      <c r="I11" s="3386"/>
      <c r="J11" s="3385">
        <f ca="1">[6]结果表!$G$19</f>
        <v>31282</v>
      </c>
      <c r="K11" s="3362"/>
    </row>
    <row r="12" spans="1:18">
      <c r="A12" s="3581" t="str">
        <f>A34</f>
        <v>XARX-0003</v>
      </c>
      <c r="B12" s="3376" t="s">
        <v>914</v>
      </c>
      <c r="C12" s="3377">
        <f ca="1">'剩余法-住宅'!B3</f>
        <v>800</v>
      </c>
      <c r="D12" s="3377">
        <f>D9</f>
        <v>0.5</v>
      </c>
      <c r="E12" s="3377">
        <f ca="1">成本逼近法!B3</f>
        <v>1060</v>
      </c>
      <c r="F12" s="3377">
        <v>0.5</v>
      </c>
      <c r="G12" s="3377">
        <f t="shared" ca="1" si="1"/>
        <v>930</v>
      </c>
      <c r="H12" s="3382">
        <v>1</v>
      </c>
      <c r="I12" s="3383">
        <f>F34</f>
        <v>188593</v>
      </c>
      <c r="J12" s="3377">
        <f t="shared" si="2"/>
        <v>188593</v>
      </c>
      <c r="K12" s="3362">
        <f ca="1">ROUND(J16*10000/J15,0)</f>
        <v>873</v>
      </c>
      <c r="M12">
        <f ca="1">K12*I12/10000</f>
        <v>16464.168900000001</v>
      </c>
    </row>
    <row r="13" spans="1:18">
      <c r="A13" s="3582"/>
      <c r="B13" s="3376" t="str">
        <f>B3</f>
        <v>底商</v>
      </c>
      <c r="C13" s="3377">
        <f ca="1">'剩余法-底商'!B3</f>
        <v>6257</v>
      </c>
      <c r="D13" s="3377">
        <f>D12</f>
        <v>0.5</v>
      </c>
      <c r="E13" s="3377">
        <f ca="1">E12</f>
        <v>1060</v>
      </c>
      <c r="F13" s="3377">
        <v>0.5</v>
      </c>
      <c r="G13" s="3377">
        <f t="shared" ca="1" si="1"/>
        <v>3659</v>
      </c>
      <c r="H13" s="3382">
        <f t="shared" ref="H13" ca="1" si="3">G13/G12</f>
        <v>3.9344086021505378</v>
      </c>
      <c r="I13" s="3384">
        <f>H34</f>
        <v>2175</v>
      </c>
      <c r="J13" s="3377">
        <f t="shared" ca="1" si="2"/>
        <v>8557.3387096774204</v>
      </c>
      <c r="K13" s="3362">
        <f ca="1">ROUND(K12*H13,0)</f>
        <v>3435</v>
      </c>
      <c r="M13">
        <f ca="1">K13*I13/10000</f>
        <v>747.11249999999995</v>
      </c>
    </row>
    <row r="14" spans="1:18" hidden="1">
      <c r="A14" s="3583"/>
      <c r="B14" s="3376" t="s">
        <v>3523</v>
      </c>
      <c r="C14" s="3377" t="e">
        <f ca="1">'剩余法-车位'!B3</f>
        <v>#DIV/0!</v>
      </c>
      <c r="D14" s="3377">
        <f>D13</f>
        <v>0.5</v>
      </c>
      <c r="E14" s="3377">
        <f ca="1">E12</f>
        <v>1060</v>
      </c>
      <c r="F14" s="3377">
        <f t="shared" si="0"/>
        <v>0.5</v>
      </c>
      <c r="G14" s="3377" t="e">
        <f t="shared" ca="1" si="1"/>
        <v>#DIV/0!</v>
      </c>
      <c r="H14" s="3382" t="e">
        <f ca="1">G14/G12</f>
        <v>#DIV/0!</v>
      </c>
      <c r="I14" s="3384">
        <f>L34</f>
        <v>389.52</v>
      </c>
      <c r="J14" s="3377" t="e">
        <f t="shared" ca="1" si="2"/>
        <v>#DIV/0!</v>
      </c>
      <c r="K14" s="3392" t="e">
        <f ca="1">ROUND(K12*H14,0)</f>
        <v>#DIV/0!</v>
      </c>
      <c r="M14" t="e">
        <f ca="1">K14*I14/10000</f>
        <v>#DIV/0!</v>
      </c>
    </row>
    <row r="15" spans="1:18">
      <c r="A15" s="3595" t="s">
        <v>3456</v>
      </c>
      <c r="B15" s="3596"/>
      <c r="C15" s="3596"/>
      <c r="D15" s="3596"/>
      <c r="E15" s="3596"/>
      <c r="F15" s="3596"/>
      <c r="G15" s="3597"/>
      <c r="H15" s="3385">
        <f ca="1">SUM(H12:H13)</f>
        <v>4.9344086021505378</v>
      </c>
      <c r="I15" s="3386">
        <f>SUM(I12:I13)</f>
        <v>190768</v>
      </c>
      <c r="J15" s="3385">
        <f ca="1">SUM(J12:J13)</f>
        <v>197150.33870967742</v>
      </c>
      <c r="K15" s="3362"/>
      <c r="M15" t="e">
        <f ca="1">SUM(M12:M14)</f>
        <v>#DIV/0!</v>
      </c>
    </row>
    <row r="16" spans="1:18">
      <c r="A16" s="3595" t="s">
        <v>3471</v>
      </c>
      <c r="B16" s="3596"/>
      <c r="C16" s="3596"/>
      <c r="D16" s="3596"/>
      <c r="E16" s="3596"/>
      <c r="F16" s="3596"/>
      <c r="G16" s="3597"/>
      <c r="H16" s="3385"/>
      <c r="I16" s="3386"/>
      <c r="J16" s="3385">
        <f ca="1">结果表!G19</f>
        <v>17216</v>
      </c>
      <c r="K16" s="3362"/>
    </row>
    <row r="17" spans="1:32">
      <c r="A17" s="3584" t="str">
        <f>A35</f>
        <v>XARX-0004</v>
      </c>
      <c r="B17" s="3408" t="s">
        <v>3434</v>
      </c>
      <c r="C17" s="3377">
        <f ca="1">'[5]剩余法-住宅'!$B$3</f>
        <v>802</v>
      </c>
      <c r="D17" s="3377">
        <f>D14</f>
        <v>0.5</v>
      </c>
      <c r="E17" s="3377">
        <f ca="1">[5]成本逼近法!$B$3</f>
        <v>1060</v>
      </c>
      <c r="F17" s="3377">
        <f t="shared" si="0"/>
        <v>0.5</v>
      </c>
      <c r="G17" s="3377">
        <f t="shared" ca="1" si="1"/>
        <v>931</v>
      </c>
      <c r="H17" s="3382">
        <v>1</v>
      </c>
      <c r="I17" s="3384">
        <f>F35</f>
        <v>278821</v>
      </c>
      <c r="J17" s="3377">
        <f t="shared" si="2"/>
        <v>278821</v>
      </c>
      <c r="K17" s="3362">
        <f ca="1">ROUND(J21*10000/J20,0)</f>
        <v>879</v>
      </c>
      <c r="M17">
        <f ca="1">K17*I17/10000</f>
        <v>24508.365900000001</v>
      </c>
      <c r="O17">
        <f ca="1">M2+M7+M12+M17+M22</f>
        <v>105711.95450000001</v>
      </c>
      <c r="P17" s="3593" t="s">
        <v>3434</v>
      </c>
    </row>
    <row r="18" spans="1:32">
      <c r="A18" s="3584"/>
      <c r="B18" s="3376" t="str">
        <f>B3</f>
        <v>底商</v>
      </c>
      <c r="C18" s="3377">
        <f ca="1">'[5]剩余法-底商'!$B$3</f>
        <v>6194</v>
      </c>
      <c r="D18" s="3377">
        <f>D17</f>
        <v>0.5</v>
      </c>
      <c r="E18" s="3377">
        <f ca="1">E17</f>
        <v>1060</v>
      </c>
      <c r="F18" s="3377">
        <f t="shared" si="0"/>
        <v>0.5</v>
      </c>
      <c r="G18" s="3377">
        <f t="shared" ca="1" si="1"/>
        <v>3627</v>
      </c>
      <c r="H18" s="3382">
        <f t="shared" ref="H18" ca="1" si="4">G18/G17</f>
        <v>3.8958109559613319</v>
      </c>
      <c r="I18" s="3384">
        <f>H35</f>
        <v>7506</v>
      </c>
      <c r="J18" s="3377">
        <f t="shared" ca="1" si="2"/>
        <v>29241.957035445757</v>
      </c>
      <c r="K18" s="3362">
        <f ca="1">ROUND(K17*H18,0)</f>
        <v>3424</v>
      </c>
      <c r="M18">
        <f ca="1">K18*I18/10000</f>
        <v>2570.0544</v>
      </c>
      <c r="O18" s="3391">
        <f>I2+I7+I12+I17+I22</f>
        <v>1213865</v>
      </c>
      <c r="P18" s="3594"/>
    </row>
    <row r="19" spans="1:32" hidden="1">
      <c r="A19" s="3584"/>
      <c r="B19" s="3407" t="str">
        <f>B14</f>
        <v>车位</v>
      </c>
      <c r="C19" s="3377" t="e">
        <f ca="1">'[5]剩余法-车库'!$B$3</f>
        <v>#DIV/0!</v>
      </c>
      <c r="D19" s="3377">
        <f>D17</f>
        <v>0.5</v>
      </c>
      <c r="E19" s="3377">
        <f ca="1">E17</f>
        <v>1060</v>
      </c>
      <c r="F19" s="3377">
        <f>F17</f>
        <v>0.5</v>
      </c>
      <c r="G19" s="3377" t="e">
        <f t="shared" ca="1" si="1"/>
        <v>#DIV/0!</v>
      </c>
      <c r="H19" s="3382" t="e">
        <f ca="1">ROUND(G19/G17,4)</f>
        <v>#DIV/0!</v>
      </c>
      <c r="I19" s="3384">
        <f>L35</f>
        <v>1120</v>
      </c>
      <c r="J19" s="3377" t="e">
        <f ca="1">H19*I19</f>
        <v>#DIV/0!</v>
      </c>
      <c r="K19" s="3362" t="e">
        <f ca="1">ROUND(K17*H19,0)</f>
        <v>#DIV/0!</v>
      </c>
      <c r="M19" t="e">
        <f ca="1">K19*I19/10000</f>
        <v>#DIV/0!</v>
      </c>
      <c r="O19" s="3391"/>
      <c r="P19" s="3594"/>
    </row>
    <row r="20" spans="1:32">
      <c r="A20" s="3595" t="s">
        <v>3456</v>
      </c>
      <c r="B20" s="3596"/>
      <c r="C20" s="3596"/>
      <c r="D20" s="3596"/>
      <c r="E20" s="3596"/>
      <c r="F20" s="3596"/>
      <c r="G20" s="3597"/>
      <c r="H20" s="3385">
        <f ca="1">SUM(H17:H18)</f>
        <v>4.8958109559613323</v>
      </c>
      <c r="I20" s="3386">
        <f>SUM(I17:I18)</f>
        <v>286327</v>
      </c>
      <c r="J20" s="3385">
        <f ca="1">SUM(J17:J18)</f>
        <v>308062.95703544578</v>
      </c>
      <c r="K20" s="3362"/>
      <c r="M20" t="e">
        <f ca="1">SUM(M17:M19)</f>
        <v>#DIV/0!</v>
      </c>
      <c r="O20" s="3392">
        <f ca="1">O17*10000/O18</f>
        <v>870.87076816614706</v>
      </c>
      <c r="P20" s="3594"/>
    </row>
    <row r="21" spans="1:32">
      <c r="A21" s="3595" t="s">
        <v>3471</v>
      </c>
      <c r="B21" s="3596"/>
      <c r="C21" s="3596"/>
      <c r="D21" s="3596"/>
      <c r="E21" s="3596"/>
      <c r="F21" s="3596"/>
      <c r="G21" s="3597"/>
      <c r="H21" s="3385"/>
      <c r="I21" s="3386"/>
      <c r="J21" s="3385">
        <f ca="1">[5]结果表!$G$19</f>
        <v>27073</v>
      </c>
      <c r="K21" s="3362"/>
    </row>
    <row r="22" spans="1:32">
      <c r="A22" s="3585" t="str">
        <f>A36</f>
        <v>XARX-0005</v>
      </c>
      <c r="B22" s="3376" t="s">
        <v>3434</v>
      </c>
      <c r="C22" s="3377">
        <f ca="1">'[7]剩余法-住宅'!$B$3</f>
        <v>790</v>
      </c>
      <c r="D22" s="3377">
        <f>D18</f>
        <v>0.5</v>
      </c>
      <c r="E22" s="3377">
        <f ca="1">[7]成本逼近法!$B$3</f>
        <v>1060</v>
      </c>
      <c r="F22" s="3377">
        <f t="shared" si="0"/>
        <v>0.5</v>
      </c>
      <c r="G22" s="3377">
        <f t="shared" ca="1" si="1"/>
        <v>925</v>
      </c>
      <c r="H22" s="3382">
        <v>1</v>
      </c>
      <c r="I22" s="3383">
        <v>208829</v>
      </c>
      <c r="J22" s="3377">
        <f t="shared" si="2"/>
        <v>208829</v>
      </c>
      <c r="K22" s="3362">
        <f ca="1">ROUND(J26*10000/J25,0)</f>
        <v>883</v>
      </c>
      <c r="M22">
        <f ca="1">K22*I22/10000</f>
        <v>18439.600699999999</v>
      </c>
      <c r="O22">
        <f ca="1">M3+M8+M13+M18+M23</f>
        <v>9511.2802200000006</v>
      </c>
      <c r="P22" s="3593" t="s">
        <v>3499</v>
      </c>
    </row>
    <row r="23" spans="1:32">
      <c r="A23" s="3586"/>
      <c r="B23" s="3376" t="str">
        <f>B3</f>
        <v>底商</v>
      </c>
      <c r="C23" s="3377">
        <f ca="1">'[7]剩余法-底商'!$B$3</f>
        <v>6154</v>
      </c>
      <c r="D23" s="3377">
        <f>D22</f>
        <v>0.5</v>
      </c>
      <c r="E23" s="3377">
        <f ca="1">E22</f>
        <v>1060</v>
      </c>
      <c r="F23" s="3377">
        <f t="shared" si="0"/>
        <v>0.5</v>
      </c>
      <c r="G23" s="3377">
        <f t="shared" ca="1" si="1"/>
        <v>3607</v>
      </c>
      <c r="H23" s="3382">
        <f ca="1">ROUND(G23/G22,4)</f>
        <v>3.8995000000000002</v>
      </c>
      <c r="I23" s="3384">
        <f>H36</f>
        <v>3193.4</v>
      </c>
      <c r="J23" s="3377">
        <f t="shared" ca="1" si="2"/>
        <v>12452.6633</v>
      </c>
      <c r="K23" s="3362">
        <f ca="1">ROUND(K22*H23,0)</f>
        <v>3443</v>
      </c>
      <c r="M23">
        <f ca="1">K23*I23/10000</f>
        <v>1099.4876200000001</v>
      </c>
      <c r="O23" s="3390">
        <f>I3+I8+I13+I18+I23</f>
        <v>28115.4</v>
      </c>
      <c r="P23" s="3594"/>
    </row>
    <row r="24" spans="1:32" hidden="1">
      <c r="A24" s="3587"/>
      <c r="B24" s="3376" t="str">
        <f>B19</f>
        <v>车位</v>
      </c>
      <c r="C24" s="3377" t="e">
        <f ca="1">'[7]剩余法-车库'!$B$3</f>
        <v>#DIV/0!</v>
      </c>
      <c r="D24" s="3377">
        <f>D22</f>
        <v>0.5</v>
      </c>
      <c r="E24" s="3377">
        <f ca="1">E22</f>
        <v>1060</v>
      </c>
      <c r="F24" s="3377">
        <f>F22</f>
        <v>0.5</v>
      </c>
      <c r="G24" s="3377" t="e">
        <f t="shared" ca="1" si="1"/>
        <v>#DIV/0!</v>
      </c>
      <c r="H24" s="3382" t="e">
        <f ca="1">ROUND(G24/G22,4)</f>
        <v>#DIV/0!</v>
      </c>
      <c r="I24" s="3384">
        <f>L36</f>
        <v>490</v>
      </c>
      <c r="J24" s="3377" t="e">
        <f ca="1">H24*I24</f>
        <v>#DIV/0!</v>
      </c>
      <c r="K24" s="3362" t="e">
        <f ca="1">ROUND(K22*H24,0)</f>
        <v>#DIV/0!</v>
      </c>
      <c r="M24" t="e">
        <f ca="1">K24*I24/10000</f>
        <v>#DIV/0!</v>
      </c>
      <c r="O24" s="3390"/>
      <c r="P24" s="3594"/>
    </row>
    <row r="25" spans="1:32">
      <c r="A25" s="3595" t="s">
        <v>3456</v>
      </c>
      <c r="B25" s="3596"/>
      <c r="C25" s="3596"/>
      <c r="D25" s="3596"/>
      <c r="E25" s="3596"/>
      <c r="F25" s="3596"/>
      <c r="G25" s="3597"/>
      <c r="H25" s="3385">
        <f ca="1">SUM(H22:H23)</f>
        <v>4.8994999999999997</v>
      </c>
      <c r="I25" s="3387">
        <f>SUM(I22:I23)</f>
        <v>212022.39999999999</v>
      </c>
      <c r="J25" s="3385">
        <f ca="1">SUM(J22:J23)</f>
        <v>221281.66330000001</v>
      </c>
      <c r="M25" t="e">
        <f ca="1">SUM(M22:M24)</f>
        <v>#DIV/0!</v>
      </c>
      <c r="O25" s="3392">
        <f ca="1">O22*10000/O23</f>
        <v>3382.9432339571908</v>
      </c>
      <c r="P25" s="3594"/>
    </row>
    <row r="26" spans="1:32">
      <c r="A26" s="3595" t="s">
        <v>3471</v>
      </c>
      <c r="B26" s="3596"/>
      <c r="C26" s="3596"/>
      <c r="D26" s="3596"/>
      <c r="E26" s="3596"/>
      <c r="F26" s="3596"/>
      <c r="G26" s="3597"/>
      <c r="H26" s="3385"/>
      <c r="I26" s="3385"/>
      <c r="J26" s="3385">
        <f ca="1">[7]结果表!$G$19</f>
        <v>19538</v>
      </c>
      <c r="L26">
        <f ca="1">K3*I3+K8*I8+K13*I13+K18*I18+K23*I23</f>
        <v>95112802.200000003</v>
      </c>
    </row>
    <row r="27" spans="1:32">
      <c r="L27" s="3390">
        <f>I3+I8+I13+I18+I23</f>
        <v>28115.4</v>
      </c>
    </row>
    <row r="28" spans="1:32">
      <c r="L28" s="3362">
        <f ca="1">L26/L27</f>
        <v>3382.9432339571908</v>
      </c>
    </row>
    <row r="30" spans="1:32" s="3363" customFormat="1" ht="28.5" customHeight="1">
      <c r="A30" s="3588" t="s">
        <v>3473</v>
      </c>
      <c r="B30" s="3588" t="s">
        <v>3516</v>
      </c>
      <c r="C30" s="3588" t="s">
        <v>3474</v>
      </c>
      <c r="D30" s="3588" t="s">
        <v>3475</v>
      </c>
      <c r="E30" s="3588" t="s">
        <v>3476</v>
      </c>
      <c r="F30" s="3588" t="s">
        <v>3477</v>
      </c>
      <c r="G30" s="3588" t="s">
        <v>3478</v>
      </c>
      <c r="H30" s="3588" t="s">
        <v>3479</v>
      </c>
      <c r="I30" s="3588" t="s">
        <v>3480</v>
      </c>
      <c r="J30" s="3588" t="s">
        <v>3481</v>
      </c>
      <c r="K30" s="3588" t="s">
        <v>3524</v>
      </c>
      <c r="L30" s="3588" t="s">
        <v>3525</v>
      </c>
      <c r="M30" s="3588" t="s">
        <v>3482</v>
      </c>
      <c r="N30" s="3588" t="s">
        <v>3483</v>
      </c>
      <c r="O30" s="3588" t="s">
        <v>3484</v>
      </c>
      <c r="P30" s="3588" t="s">
        <v>3485</v>
      </c>
      <c r="Q30" s="3588" t="s">
        <v>3486</v>
      </c>
      <c r="R30" s="3590" t="s">
        <v>3487</v>
      </c>
      <c r="S30" s="3591"/>
      <c r="T30" s="3591"/>
      <c r="U30" s="3591"/>
      <c r="V30" s="3591"/>
      <c r="W30" s="3591"/>
      <c r="X30" s="3591"/>
      <c r="Y30" s="3591"/>
      <c r="Z30" s="3591"/>
      <c r="AA30" s="3591"/>
      <c r="AB30" s="3591"/>
      <c r="AC30" s="3592"/>
      <c r="AD30" s="3588" t="s">
        <v>3488</v>
      </c>
      <c r="AE30" s="3792" t="s">
        <v>3489</v>
      </c>
      <c r="AF30" s="3792" t="s">
        <v>3490</v>
      </c>
    </row>
    <row r="31" spans="1:32" s="3363" customFormat="1" ht="24">
      <c r="A31" s="3589"/>
      <c r="B31" s="3589"/>
      <c r="C31" s="3589"/>
      <c r="D31" s="3589"/>
      <c r="E31" s="3589"/>
      <c r="F31" s="3589"/>
      <c r="G31" s="3589"/>
      <c r="H31" s="3589"/>
      <c r="I31" s="3589"/>
      <c r="J31" s="3589"/>
      <c r="K31" s="3589"/>
      <c r="L31" s="3589"/>
      <c r="M31" s="3589"/>
      <c r="N31" s="3589"/>
      <c r="O31" s="3589"/>
      <c r="P31" s="3589"/>
      <c r="Q31" s="3589"/>
      <c r="R31" s="3409" t="s">
        <v>3491</v>
      </c>
      <c r="S31" s="3409" t="s">
        <v>3492</v>
      </c>
      <c r="T31" s="3409" t="s">
        <v>3493</v>
      </c>
      <c r="U31" s="3409" t="s">
        <v>3492</v>
      </c>
      <c r="V31" s="3409" t="s">
        <v>3494</v>
      </c>
      <c r="W31" s="3409" t="s">
        <v>3492</v>
      </c>
      <c r="X31" s="3409" t="s">
        <v>3495</v>
      </c>
      <c r="Y31" s="3409" t="s">
        <v>3492</v>
      </c>
      <c r="Z31" s="3409" t="s">
        <v>3496</v>
      </c>
      <c r="AA31" s="3409" t="s">
        <v>3492</v>
      </c>
      <c r="AB31" s="3409" t="s">
        <v>3497</v>
      </c>
      <c r="AC31" s="3409" t="s">
        <v>3492</v>
      </c>
      <c r="AD31" s="3589"/>
      <c r="AE31" s="3793"/>
      <c r="AF31" s="3793"/>
    </row>
    <row r="32" spans="1:32" s="3363" customFormat="1" ht="19.5" customHeight="1">
      <c r="A32" s="3397" t="s">
        <v>3511</v>
      </c>
      <c r="B32" s="3365">
        <v>123492</v>
      </c>
      <c r="C32" s="3365">
        <v>123492</v>
      </c>
      <c r="D32" s="3365">
        <v>229017</v>
      </c>
      <c r="E32" s="3365">
        <f>F32+H32</f>
        <v>224410</v>
      </c>
      <c r="F32" s="3365">
        <v>222092</v>
      </c>
      <c r="G32" s="3365">
        <v>0</v>
      </c>
      <c r="H32" s="3365">
        <v>2318</v>
      </c>
      <c r="I32" s="3365">
        <v>0</v>
      </c>
      <c r="J32" s="3365">
        <v>0</v>
      </c>
      <c r="K32" s="3365">
        <v>0</v>
      </c>
      <c r="L32" s="3365">
        <f>29.36*11</f>
        <v>322.95999999999998</v>
      </c>
      <c r="M32" s="3394">
        <f t="shared" ref="M32:M33" si="5">ROUND(E32/C32,2)</f>
        <v>1.82</v>
      </c>
      <c r="N32" s="3367">
        <f ca="1">J6</f>
        <v>20117</v>
      </c>
      <c r="O32" s="3367">
        <f ca="1">ROUND(N32*10000/B32,0)</f>
        <v>1629</v>
      </c>
      <c r="P32" s="3367">
        <f ca="1">ROUND(O32/15,0)</f>
        <v>109</v>
      </c>
      <c r="Q32" s="3368">
        <f ca="1">ROUND(N32*10000/E32,0)</f>
        <v>896</v>
      </c>
      <c r="R32" s="3369">
        <f ca="1">K2</f>
        <v>870</v>
      </c>
      <c r="S32" s="3369">
        <f ca="1">ROUND(F32*R32/10000,0)</f>
        <v>19322</v>
      </c>
      <c r="T32" s="3369" t="s">
        <v>943</v>
      </c>
      <c r="U32" s="3369">
        <v>0</v>
      </c>
      <c r="V32" s="3369">
        <f ca="1">K3</f>
        <v>3408</v>
      </c>
      <c r="W32" s="3369">
        <f ca="1">ROUND(H32*V32/10000,0)</f>
        <v>790</v>
      </c>
      <c r="X32" s="3367" t="s">
        <v>943</v>
      </c>
      <c r="Y32" s="3367">
        <v>0</v>
      </c>
      <c r="Z32" s="3367" t="s">
        <v>943</v>
      </c>
      <c r="AA32" s="3367">
        <v>0</v>
      </c>
      <c r="AB32" s="3367" t="s">
        <v>943</v>
      </c>
      <c r="AC32" s="3367">
        <v>0</v>
      </c>
      <c r="AD32" s="3600" t="s">
        <v>3498</v>
      </c>
      <c r="AE32" s="3396">
        <f ca="1">S32+U32+W32+Y32+AA32+AC32</f>
        <v>20112</v>
      </c>
      <c r="AF32" s="3396">
        <f ca="1">N32-AE32</f>
        <v>5</v>
      </c>
    </row>
    <row r="33" spans="1:32" s="3373" customFormat="1" ht="19.5" customHeight="1">
      <c r="A33" s="3371" t="s">
        <v>3512</v>
      </c>
      <c r="B33" s="3372">
        <v>172907</v>
      </c>
      <c r="C33" s="3372">
        <f>B33-1938</f>
        <v>170969</v>
      </c>
      <c r="D33" s="3372">
        <v>333875</v>
      </c>
      <c r="E33" s="3365">
        <f t="shared" ref="E33:E36" si="6">F33+H33</f>
        <v>328453</v>
      </c>
      <c r="F33" s="3372">
        <v>315530</v>
      </c>
      <c r="G33" s="3372">
        <v>0</v>
      </c>
      <c r="H33" s="3372">
        <v>12923</v>
      </c>
      <c r="I33" s="3372">
        <v>0</v>
      </c>
      <c r="J33" s="3372">
        <v>0</v>
      </c>
      <c r="K33" s="3372">
        <v>0</v>
      </c>
      <c r="L33" s="3372">
        <f>30.47*(21+45)</f>
        <v>2011.02</v>
      </c>
      <c r="M33" s="3394">
        <f t="shared" si="5"/>
        <v>1.92</v>
      </c>
      <c r="N33" s="3369">
        <f ca="1">J11</f>
        <v>31282</v>
      </c>
      <c r="O33" s="3367">
        <f t="shared" ref="O33:O36" ca="1" si="7">ROUND(N33*10000/B33,0)</f>
        <v>1809</v>
      </c>
      <c r="P33" s="3367">
        <f t="shared" ref="P33:P36" ca="1" si="8">ROUND(O33/15,0)</f>
        <v>121</v>
      </c>
      <c r="Q33" s="3368">
        <f t="shared" ref="Q33:Q36" ca="1" si="9">ROUND(N33*10000/E33,0)</f>
        <v>952</v>
      </c>
      <c r="R33" s="3369">
        <f ca="1">K7</f>
        <v>855</v>
      </c>
      <c r="S33" s="3369">
        <f ca="1">ROUND(F33*R33/10000,0)</f>
        <v>26978</v>
      </c>
      <c r="T33" s="3369" t="s">
        <v>943</v>
      </c>
      <c r="U33" s="3369">
        <v>0</v>
      </c>
      <c r="V33" s="3369">
        <f ca="1">K8</f>
        <v>3331</v>
      </c>
      <c r="W33" s="3369">
        <f ca="1">ROUND(H33*V33/10000,0)</f>
        <v>4305</v>
      </c>
      <c r="X33" s="3369" t="e">
        <f ca="1">K9</f>
        <v>#DIV/0!</v>
      </c>
      <c r="Y33" s="3369" t="e">
        <f ca="1">ROUND(I33*X33/10000,0)</f>
        <v>#DIV/0!</v>
      </c>
      <c r="Z33" s="3369" t="s">
        <v>943</v>
      </c>
      <c r="AA33" s="3369">
        <v>0</v>
      </c>
      <c r="AB33" s="3369" t="s">
        <v>943</v>
      </c>
      <c r="AC33" s="3369">
        <v>0</v>
      </c>
      <c r="AD33" s="3601"/>
      <c r="AE33" s="3396" t="e">
        <f t="shared" ref="AE33:AE36" ca="1" si="10">S33+U33+W33+Y33+AA33+AC33</f>
        <v>#DIV/0!</v>
      </c>
      <c r="AF33" s="3396" t="e">
        <f t="shared" ref="AF33:AF36" ca="1" si="11">N33-AE33</f>
        <v>#DIV/0!</v>
      </c>
    </row>
    <row r="34" spans="1:32" s="3363" customFormat="1" ht="19.5" customHeight="1">
      <c r="A34" s="3397" t="s">
        <v>3513</v>
      </c>
      <c r="B34" s="3374">
        <v>98307</v>
      </c>
      <c r="C34" s="3374">
        <f>B34</f>
        <v>98307</v>
      </c>
      <c r="D34" s="3374">
        <v>196602</v>
      </c>
      <c r="E34" s="3365">
        <f t="shared" si="6"/>
        <v>190768</v>
      </c>
      <c r="F34" s="3374">
        <f>'数据-基础表'!I13</f>
        <v>188593</v>
      </c>
      <c r="G34" s="3365">
        <v>0</v>
      </c>
      <c r="H34" s="3365">
        <f>'数据-基础表'!K13</f>
        <v>2175</v>
      </c>
      <c r="I34" s="3365">
        <v>0</v>
      </c>
      <c r="J34" s="3365">
        <v>0</v>
      </c>
      <c r="K34" s="3365">
        <v>0</v>
      </c>
      <c r="L34" s="3365">
        <f>32.46*12</f>
        <v>389.52</v>
      </c>
      <c r="M34" s="3394">
        <f>ROUND(E34/C34,2)</f>
        <v>1.94</v>
      </c>
      <c r="N34" s="3367">
        <f ca="1">J16</f>
        <v>17216</v>
      </c>
      <c r="O34" s="3367">
        <f t="shared" ca="1" si="7"/>
        <v>1751</v>
      </c>
      <c r="P34" s="3367">
        <f t="shared" ca="1" si="8"/>
        <v>117</v>
      </c>
      <c r="Q34" s="3368">
        <f t="shared" ca="1" si="9"/>
        <v>902</v>
      </c>
      <c r="R34" s="3375">
        <f ca="1">K12</f>
        <v>873</v>
      </c>
      <c r="S34" s="3369">
        <f ca="1">ROUND(F34*R34/10000,0)</f>
        <v>16464</v>
      </c>
      <c r="T34" s="3375" t="s">
        <v>943</v>
      </c>
      <c r="U34" s="3375">
        <v>0</v>
      </c>
      <c r="V34" s="3375">
        <f ca="1">K13</f>
        <v>3435</v>
      </c>
      <c r="W34" s="3369">
        <f ca="1">ROUND(H34*V34/10000,0)</f>
        <v>747</v>
      </c>
      <c r="X34" s="3375" t="s">
        <v>943</v>
      </c>
      <c r="Y34" s="3367">
        <v>0</v>
      </c>
      <c r="Z34" s="3375" t="s">
        <v>943</v>
      </c>
      <c r="AA34" s="3367">
        <v>0</v>
      </c>
      <c r="AB34" s="3375" t="e">
        <f ca="1">K14</f>
        <v>#DIV/0!</v>
      </c>
      <c r="AC34" s="3369" t="e">
        <f ca="1">ROUND(K34*AB34/10000,0)</f>
        <v>#DIV/0!</v>
      </c>
      <c r="AD34" s="3601"/>
      <c r="AE34" s="3396" t="e">
        <f t="shared" ca="1" si="10"/>
        <v>#DIV/0!</v>
      </c>
      <c r="AF34" s="3396" t="e">
        <f t="shared" ca="1" si="11"/>
        <v>#DIV/0!</v>
      </c>
    </row>
    <row r="35" spans="1:32" s="3363" customFormat="1" ht="19.5" customHeight="1">
      <c r="A35" s="3397" t="s">
        <v>3514</v>
      </c>
      <c r="B35" s="3374">
        <v>153466</v>
      </c>
      <c r="C35" s="3393">
        <f>B35-1938</f>
        <v>151528</v>
      </c>
      <c r="D35" s="3366">
        <v>293784</v>
      </c>
      <c r="E35" s="3365">
        <f t="shared" si="6"/>
        <v>286327</v>
      </c>
      <c r="F35" s="3366">
        <v>278821</v>
      </c>
      <c r="G35" s="3365">
        <v>0</v>
      </c>
      <c r="H35" s="3365">
        <v>7506</v>
      </c>
      <c r="I35" s="3365">
        <v>0</v>
      </c>
      <c r="J35" s="3365">
        <v>0</v>
      </c>
      <c r="K35" s="3365">
        <v>0</v>
      </c>
      <c r="L35" s="3365">
        <f>35*32</f>
        <v>1120</v>
      </c>
      <c r="M35" s="3394">
        <f t="shared" ref="M35:M36" si="12">ROUND(E35/C35,2)</f>
        <v>1.89</v>
      </c>
      <c r="N35" s="3367">
        <f ca="1">J21</f>
        <v>27073</v>
      </c>
      <c r="O35" s="3367">
        <f t="shared" ca="1" si="7"/>
        <v>1764</v>
      </c>
      <c r="P35" s="3367">
        <f t="shared" ca="1" si="8"/>
        <v>118</v>
      </c>
      <c r="Q35" s="3368">
        <f t="shared" ca="1" si="9"/>
        <v>946</v>
      </c>
      <c r="R35" s="3367">
        <f ca="1">K17</f>
        <v>879</v>
      </c>
      <c r="S35" s="3369">
        <f ca="1">ROUND(F35*R35/10000,0)</f>
        <v>24508</v>
      </c>
      <c r="T35" s="3367" t="s">
        <v>943</v>
      </c>
      <c r="U35" s="3367">
        <v>0</v>
      </c>
      <c r="V35" s="3367">
        <f ca="1">K18</f>
        <v>3424</v>
      </c>
      <c r="W35" s="3369">
        <f ca="1">ROUND(H35*V35/10000,0)</f>
        <v>2570</v>
      </c>
      <c r="X35" s="3367" t="s">
        <v>943</v>
      </c>
      <c r="Y35" s="3367">
        <v>0</v>
      </c>
      <c r="Z35" s="3367" t="s">
        <v>943</v>
      </c>
      <c r="AA35" s="3367">
        <v>0</v>
      </c>
      <c r="AB35" s="3367" t="s">
        <v>943</v>
      </c>
      <c r="AC35" s="3367">
        <v>0</v>
      </c>
      <c r="AD35" s="3601"/>
      <c r="AE35" s="3396">
        <f t="shared" ca="1" si="10"/>
        <v>27078</v>
      </c>
      <c r="AF35" s="3396">
        <f t="shared" ca="1" si="11"/>
        <v>-5</v>
      </c>
    </row>
    <row r="36" spans="1:32" s="3363" customFormat="1" ht="19.5" customHeight="1">
      <c r="A36" s="3397" t="s">
        <v>3515</v>
      </c>
      <c r="B36" s="3374">
        <v>116931</v>
      </c>
      <c r="C36" s="3393">
        <f>B36</f>
        <v>116931</v>
      </c>
      <c r="D36" s="3366">
        <v>225238</v>
      </c>
      <c r="E36" s="3365">
        <f t="shared" si="6"/>
        <v>212107.4</v>
      </c>
      <c r="F36" s="3366">
        <v>208914</v>
      </c>
      <c r="G36" s="3365">
        <v>0</v>
      </c>
      <c r="H36" s="3365">
        <v>3193.4</v>
      </c>
      <c r="I36" s="3365">
        <v>0</v>
      </c>
      <c r="J36" s="3365">
        <v>0</v>
      </c>
      <c r="K36" s="3365">
        <v>0</v>
      </c>
      <c r="L36" s="3365">
        <f>35*14</f>
        <v>490</v>
      </c>
      <c r="M36" s="3394">
        <f t="shared" si="12"/>
        <v>1.81</v>
      </c>
      <c r="N36" s="3367">
        <f ca="1">J26</f>
        <v>19538</v>
      </c>
      <c r="O36" s="3367">
        <f t="shared" ca="1" si="7"/>
        <v>1671</v>
      </c>
      <c r="P36" s="3367">
        <f t="shared" ca="1" si="8"/>
        <v>111</v>
      </c>
      <c r="Q36" s="3368">
        <f t="shared" ca="1" si="9"/>
        <v>921</v>
      </c>
      <c r="R36" s="3367">
        <f ca="1">K22</f>
        <v>883</v>
      </c>
      <c r="S36" s="3369">
        <f ca="1">ROUND(F36*R36/10000,0)</f>
        <v>18447</v>
      </c>
      <c r="T36" s="3367" t="s">
        <v>943</v>
      </c>
      <c r="U36" s="3367">
        <v>0</v>
      </c>
      <c r="V36" s="3367">
        <f ca="1">K23</f>
        <v>3443</v>
      </c>
      <c r="W36" s="3369">
        <f ca="1">ROUND(H36*V36/10000,0)</f>
        <v>1099</v>
      </c>
      <c r="X36" s="3367" t="s">
        <v>943</v>
      </c>
      <c r="Y36" s="3367">
        <v>0</v>
      </c>
      <c r="Z36" s="3367" t="s">
        <v>943</v>
      </c>
      <c r="AA36" s="3367">
        <v>0</v>
      </c>
      <c r="AB36" s="3367" t="s">
        <v>943</v>
      </c>
      <c r="AC36" s="3367">
        <v>0</v>
      </c>
      <c r="AD36" s="3602"/>
      <c r="AE36" s="3396">
        <f t="shared" ca="1" si="10"/>
        <v>19546</v>
      </c>
      <c r="AF36" s="3396">
        <f t="shared" ca="1" si="11"/>
        <v>-8</v>
      </c>
    </row>
    <row r="38" spans="1:32" s="3796" customFormat="1" ht="24" customHeight="1">
      <c r="A38" s="3794" t="s">
        <v>3532</v>
      </c>
      <c r="B38" s="3794"/>
      <c r="C38" s="3794"/>
      <c r="D38" s="3794"/>
      <c r="E38" s="3794"/>
      <c r="F38" s="3794"/>
      <c r="G38" s="3794"/>
      <c r="H38" s="3794"/>
      <c r="I38" s="3794"/>
      <c r="J38" s="3794"/>
      <c r="K38" s="3794"/>
      <c r="L38" s="3794"/>
      <c r="M38" s="3794"/>
      <c r="N38" s="3794"/>
      <c r="O38" s="3794"/>
      <c r="P38" s="3794"/>
      <c r="Q38" s="3794"/>
      <c r="R38" s="3794"/>
      <c r="S38" s="3794"/>
      <c r="T38" s="3794"/>
      <c r="U38" s="3794"/>
      <c r="V38" s="3794"/>
      <c r="W38" s="3794"/>
      <c r="X38" s="3794"/>
      <c r="Y38" s="3794"/>
      <c r="Z38" s="3795"/>
      <c r="AA38" s="3795"/>
    </row>
    <row r="39" spans="1:32" s="3363" customFormat="1" ht="29.25" customHeight="1">
      <c r="A39" s="3787" t="s">
        <v>3533</v>
      </c>
      <c r="B39" s="3788" t="s">
        <v>3534</v>
      </c>
      <c r="C39" s="3787" t="s">
        <v>3535</v>
      </c>
      <c r="D39" s="3788" t="s">
        <v>3536</v>
      </c>
      <c r="E39" s="3788" t="s">
        <v>3537</v>
      </c>
      <c r="F39" s="3788" t="s">
        <v>3538</v>
      </c>
      <c r="G39" s="3788" t="s">
        <v>3539</v>
      </c>
      <c r="H39" s="3788" t="s">
        <v>3540</v>
      </c>
      <c r="I39" s="3788" t="s">
        <v>3541</v>
      </c>
      <c r="J39" s="3788" t="s">
        <v>3542</v>
      </c>
      <c r="K39" s="3787" t="s">
        <v>3543</v>
      </c>
      <c r="L39" s="3787" t="s">
        <v>3544</v>
      </c>
      <c r="M39" s="3787" t="s">
        <v>3545</v>
      </c>
      <c r="N39" s="3787" t="s">
        <v>3546</v>
      </c>
      <c r="O39" s="3789" t="s">
        <v>3547</v>
      </c>
      <c r="P39" s="3790"/>
      <c r="Q39" s="3790"/>
      <c r="R39" s="3790"/>
      <c r="S39" s="3790"/>
      <c r="T39" s="3790"/>
      <c r="U39" s="3790"/>
      <c r="V39" s="3790"/>
      <c r="W39" s="3790"/>
      <c r="X39" s="3790"/>
      <c r="Y39" s="3787" t="s">
        <v>3548</v>
      </c>
      <c r="Z39" s="3787" t="s">
        <v>3549</v>
      </c>
      <c r="AA39" s="3787" t="s">
        <v>3550</v>
      </c>
    </row>
    <row r="40" spans="1:32" s="3363" customFormat="1" ht="24">
      <c r="A40" s="3787"/>
      <c r="B40" s="3791"/>
      <c r="C40" s="3787"/>
      <c r="D40" s="3791"/>
      <c r="E40" s="3791"/>
      <c r="F40" s="3791"/>
      <c r="G40" s="3791"/>
      <c r="H40" s="3791"/>
      <c r="I40" s="3791"/>
      <c r="J40" s="3791"/>
      <c r="K40" s="3787"/>
      <c r="L40" s="3787"/>
      <c r="M40" s="3787"/>
      <c r="N40" s="3787"/>
      <c r="O40" s="3371" t="s">
        <v>3551</v>
      </c>
      <c r="P40" s="3371" t="s">
        <v>3552</v>
      </c>
      <c r="Q40" s="3371" t="s">
        <v>3553</v>
      </c>
      <c r="R40" s="3371" t="s">
        <v>3552</v>
      </c>
      <c r="S40" s="3371" t="s">
        <v>3554</v>
      </c>
      <c r="T40" s="3371" t="s">
        <v>3552</v>
      </c>
      <c r="U40" s="3371" t="s">
        <v>3555</v>
      </c>
      <c r="V40" s="3371" t="s">
        <v>3552</v>
      </c>
      <c r="W40" s="3371" t="s">
        <v>3556</v>
      </c>
      <c r="X40" s="3371" t="s">
        <v>3557</v>
      </c>
      <c r="Y40" s="3787"/>
      <c r="Z40" s="3787"/>
      <c r="AA40" s="3787"/>
    </row>
    <row r="41" spans="1:32" s="3797" customFormat="1" ht="19.5" customHeight="1">
      <c r="A41" s="3780" t="s">
        <v>3558</v>
      </c>
      <c r="B41" s="3781">
        <v>123492</v>
      </c>
      <c r="C41" s="3781">
        <v>229017</v>
      </c>
      <c r="D41" s="3782">
        <f t="shared" ref="D41:D42" si="13">E41+G41</f>
        <v>224410</v>
      </c>
      <c r="E41" s="3782">
        <v>222092</v>
      </c>
      <c r="F41" s="3782">
        <v>0</v>
      </c>
      <c r="G41" s="3782">
        <v>2318</v>
      </c>
      <c r="H41" s="3782">
        <v>0</v>
      </c>
      <c r="I41" s="3782">
        <v>0</v>
      </c>
      <c r="J41" s="3782">
        <v>1.8</v>
      </c>
      <c r="K41" s="3782">
        <v>20091</v>
      </c>
      <c r="L41" s="3782">
        <f t="shared" ref="L41:L45" si="14">ROUND(K41*10000/B41,0)</f>
        <v>1627</v>
      </c>
      <c r="M41" s="3782">
        <f t="shared" ref="M41:M45" si="15">ROUND(L41*666.67/10000,0)</f>
        <v>108</v>
      </c>
      <c r="N41" s="3782">
        <f t="shared" ref="N41:N45" si="16">ROUND(K41*10000/D41,0)</f>
        <v>895</v>
      </c>
      <c r="O41" s="3782">
        <v>872</v>
      </c>
      <c r="P41" s="3782">
        <f t="shared" ref="P41:P45" si="17">ROUND(E41*O41/10000,0)</f>
        <v>19366</v>
      </c>
      <c r="Q41" s="3782" t="s">
        <v>943</v>
      </c>
      <c r="R41" s="3783">
        <v>0</v>
      </c>
      <c r="S41" s="3782">
        <v>3148</v>
      </c>
      <c r="T41" s="3782">
        <f t="shared" ref="T41:T45" si="18">ROUND(G41*S41/10000,0)</f>
        <v>730</v>
      </c>
      <c r="U41" s="3782" t="s">
        <v>943</v>
      </c>
      <c r="V41" s="3782">
        <v>0</v>
      </c>
      <c r="W41" s="3782" t="s">
        <v>943</v>
      </c>
      <c r="X41" s="3782">
        <v>0</v>
      </c>
      <c r="Y41" s="3784" t="s">
        <v>3559</v>
      </c>
      <c r="Z41" s="3780">
        <f>P41+R41+T41+V41+X41</f>
        <v>20096</v>
      </c>
      <c r="AA41" s="3780">
        <f t="shared" ref="AA41:AA45" si="19">K41-Z41</f>
        <v>-5</v>
      </c>
    </row>
    <row r="42" spans="1:32" s="3797" customFormat="1" ht="19.5" customHeight="1">
      <c r="A42" s="3780" t="s">
        <v>3528</v>
      </c>
      <c r="B42" s="3781">
        <v>172907</v>
      </c>
      <c r="C42" s="3781">
        <v>333875</v>
      </c>
      <c r="D42" s="3782">
        <f t="shared" si="13"/>
        <v>328453</v>
      </c>
      <c r="E42" s="3782">
        <v>315530</v>
      </c>
      <c r="F42" s="3782">
        <v>0</v>
      </c>
      <c r="G42" s="3782">
        <v>12923</v>
      </c>
      <c r="H42" s="3782">
        <v>0</v>
      </c>
      <c r="I42" s="3782">
        <v>0</v>
      </c>
      <c r="J42" s="3782">
        <v>1.9</v>
      </c>
      <c r="K42" s="3782">
        <v>31131</v>
      </c>
      <c r="L42" s="3782">
        <f t="shared" si="14"/>
        <v>1800</v>
      </c>
      <c r="M42" s="3782">
        <f t="shared" si="15"/>
        <v>120</v>
      </c>
      <c r="N42" s="3782">
        <f t="shared" si="16"/>
        <v>948</v>
      </c>
      <c r="O42" s="3782">
        <v>863</v>
      </c>
      <c r="P42" s="3782">
        <f t="shared" si="17"/>
        <v>27230</v>
      </c>
      <c r="Q42" s="3782" t="s">
        <v>943</v>
      </c>
      <c r="R42" s="3783">
        <v>0</v>
      </c>
      <c r="S42" s="3782">
        <v>3031</v>
      </c>
      <c r="T42" s="3782">
        <f t="shared" si="18"/>
        <v>3917</v>
      </c>
      <c r="U42" s="3782" t="s">
        <v>943</v>
      </c>
      <c r="V42" s="3782">
        <v>0</v>
      </c>
      <c r="W42" s="3782" t="s">
        <v>943</v>
      </c>
      <c r="X42" s="3782">
        <v>0</v>
      </c>
      <c r="Y42" s="3785"/>
      <c r="Z42" s="3780">
        <f t="shared" ref="Z42:Z45" si="20">P42+R42+T42+V42+X42</f>
        <v>31147</v>
      </c>
      <c r="AA42" s="3780">
        <f t="shared" si="19"/>
        <v>-16</v>
      </c>
    </row>
    <row r="43" spans="1:32" s="3797" customFormat="1" ht="19.5" customHeight="1">
      <c r="A43" s="3780" t="s">
        <v>3529</v>
      </c>
      <c r="B43" s="3781">
        <v>98307</v>
      </c>
      <c r="C43" s="3781">
        <v>196602</v>
      </c>
      <c r="D43" s="3782">
        <f>E43+G43</f>
        <v>190768</v>
      </c>
      <c r="E43" s="3782">
        <v>188593</v>
      </c>
      <c r="F43" s="3782">
        <v>0</v>
      </c>
      <c r="G43" s="3782">
        <v>2175</v>
      </c>
      <c r="H43" s="3782">
        <v>0</v>
      </c>
      <c r="I43" s="3782">
        <v>0</v>
      </c>
      <c r="J43" s="3782">
        <v>1.9</v>
      </c>
      <c r="K43" s="3782">
        <v>17171</v>
      </c>
      <c r="L43" s="3782">
        <f t="shared" si="14"/>
        <v>1747</v>
      </c>
      <c r="M43" s="3782">
        <f t="shared" si="15"/>
        <v>116</v>
      </c>
      <c r="N43" s="3782">
        <f t="shared" si="16"/>
        <v>900</v>
      </c>
      <c r="O43" s="3782">
        <v>875</v>
      </c>
      <c r="P43" s="3782">
        <f t="shared" si="17"/>
        <v>16502</v>
      </c>
      <c r="Q43" s="3782" t="s">
        <v>943</v>
      </c>
      <c r="R43" s="3783">
        <v>0</v>
      </c>
      <c r="S43" s="3782">
        <v>3064</v>
      </c>
      <c r="T43" s="3782">
        <f t="shared" si="18"/>
        <v>666</v>
      </c>
      <c r="U43" s="3782" t="s">
        <v>943</v>
      </c>
      <c r="V43" s="3782">
        <v>0</v>
      </c>
      <c r="W43" s="3782" t="s">
        <v>943</v>
      </c>
      <c r="X43" s="3782">
        <v>0</v>
      </c>
      <c r="Y43" s="3785"/>
      <c r="Z43" s="3780">
        <f t="shared" si="20"/>
        <v>17168</v>
      </c>
      <c r="AA43" s="3780">
        <f t="shared" si="19"/>
        <v>3</v>
      </c>
    </row>
    <row r="44" spans="1:32" s="3797" customFormat="1" ht="19.5" customHeight="1">
      <c r="A44" s="3780" t="s">
        <v>3530</v>
      </c>
      <c r="B44" s="3781">
        <v>153466</v>
      </c>
      <c r="C44" s="3781">
        <v>293784</v>
      </c>
      <c r="D44" s="3782">
        <f t="shared" ref="D44:D45" si="21">E44+G44</f>
        <v>286327</v>
      </c>
      <c r="E44" s="3782">
        <v>278821</v>
      </c>
      <c r="F44" s="3782">
        <v>0</v>
      </c>
      <c r="G44" s="3782">
        <v>7506</v>
      </c>
      <c r="H44" s="3782">
        <v>0</v>
      </c>
      <c r="I44" s="3782">
        <v>0</v>
      </c>
      <c r="J44" s="3782">
        <v>1.9</v>
      </c>
      <c r="K44" s="3782">
        <v>26951</v>
      </c>
      <c r="L44" s="3782">
        <f t="shared" si="14"/>
        <v>1756</v>
      </c>
      <c r="M44" s="3782">
        <f t="shared" si="15"/>
        <v>117</v>
      </c>
      <c r="N44" s="3782">
        <f t="shared" si="16"/>
        <v>941</v>
      </c>
      <c r="O44" s="3782">
        <v>882</v>
      </c>
      <c r="P44" s="3782">
        <f t="shared" si="17"/>
        <v>24592</v>
      </c>
      <c r="Q44" s="3782" t="s">
        <v>943</v>
      </c>
      <c r="R44" s="3783">
        <v>0</v>
      </c>
      <c r="S44" s="3782">
        <v>3134</v>
      </c>
      <c r="T44" s="3782">
        <f t="shared" si="18"/>
        <v>2352</v>
      </c>
      <c r="U44" s="3782" t="s">
        <v>943</v>
      </c>
      <c r="V44" s="3782">
        <v>0</v>
      </c>
      <c r="W44" s="3782" t="s">
        <v>943</v>
      </c>
      <c r="X44" s="3782">
        <v>0</v>
      </c>
      <c r="Y44" s="3785"/>
      <c r="Z44" s="3780">
        <f t="shared" si="20"/>
        <v>26944</v>
      </c>
      <c r="AA44" s="3780">
        <f t="shared" si="19"/>
        <v>7</v>
      </c>
    </row>
    <row r="45" spans="1:32" s="3797" customFormat="1" ht="19.5" customHeight="1">
      <c r="A45" s="3780" t="s">
        <v>3531</v>
      </c>
      <c r="B45" s="3781">
        <v>116931</v>
      </c>
      <c r="C45" s="3781">
        <v>225238</v>
      </c>
      <c r="D45" s="3782">
        <f t="shared" si="21"/>
        <v>212022</v>
      </c>
      <c r="E45" s="3782">
        <v>208829</v>
      </c>
      <c r="F45" s="3782">
        <v>0</v>
      </c>
      <c r="G45" s="3782">
        <v>3193</v>
      </c>
      <c r="H45" s="3782">
        <v>0</v>
      </c>
      <c r="I45" s="3782">
        <v>0</v>
      </c>
      <c r="J45" s="3782">
        <v>1.9</v>
      </c>
      <c r="K45" s="3782">
        <v>19497</v>
      </c>
      <c r="L45" s="3782">
        <f t="shared" si="14"/>
        <v>1667</v>
      </c>
      <c r="M45" s="3782">
        <f t="shared" si="15"/>
        <v>111</v>
      </c>
      <c r="N45" s="3782">
        <f t="shared" si="16"/>
        <v>920</v>
      </c>
      <c r="O45" s="3782">
        <v>885</v>
      </c>
      <c r="P45" s="3782">
        <f t="shared" si="17"/>
        <v>18481</v>
      </c>
      <c r="Q45" s="3782" t="s">
        <v>943</v>
      </c>
      <c r="R45" s="3783">
        <v>0</v>
      </c>
      <c r="S45" s="3782">
        <v>3151</v>
      </c>
      <c r="T45" s="3782">
        <f t="shared" si="18"/>
        <v>1006</v>
      </c>
      <c r="U45" s="3782" t="s">
        <v>943</v>
      </c>
      <c r="V45" s="3782">
        <v>0</v>
      </c>
      <c r="W45" s="3782" t="s">
        <v>943</v>
      </c>
      <c r="X45" s="3782">
        <v>0</v>
      </c>
      <c r="Y45" s="3786"/>
      <c r="Z45" s="3780">
        <f t="shared" si="20"/>
        <v>19487</v>
      </c>
      <c r="AA45" s="3780">
        <f t="shared" si="19"/>
        <v>10</v>
      </c>
    </row>
  </sheetData>
  <mergeCells count="59">
    <mergeCell ref="Y39:Y40"/>
    <mergeCell ref="Z39:Z40"/>
    <mergeCell ref="AA39:AA40"/>
    <mergeCell ref="Y41:Y45"/>
    <mergeCell ref="A38:Y38"/>
    <mergeCell ref="A39:A40"/>
    <mergeCell ref="B39:B40"/>
    <mergeCell ref="C39:C40"/>
    <mergeCell ref="D39:D40"/>
    <mergeCell ref="E39:E40"/>
    <mergeCell ref="F39:F40"/>
    <mergeCell ref="G39:G40"/>
    <mergeCell ref="H39:H40"/>
    <mergeCell ref="I39:I40"/>
    <mergeCell ref="J39:J40"/>
    <mergeCell ref="K39:K40"/>
    <mergeCell ref="L39:L40"/>
    <mergeCell ref="M39:M40"/>
    <mergeCell ref="N39:N40"/>
    <mergeCell ref="O39:X39"/>
    <mergeCell ref="A11:G11"/>
    <mergeCell ref="A2:A4"/>
    <mergeCell ref="A5:G5"/>
    <mergeCell ref="A6:G6"/>
    <mergeCell ref="A7:A9"/>
    <mergeCell ref="A10:G10"/>
    <mergeCell ref="A12:A14"/>
    <mergeCell ref="A15:G15"/>
    <mergeCell ref="A16:G16"/>
    <mergeCell ref="A17:A19"/>
    <mergeCell ref="P17:P20"/>
    <mergeCell ref="A20:G20"/>
    <mergeCell ref="A30:A31"/>
    <mergeCell ref="B30:B31"/>
    <mergeCell ref="C30:C31"/>
    <mergeCell ref="D30:D31"/>
    <mergeCell ref="E30:E31"/>
    <mergeCell ref="A21:G21"/>
    <mergeCell ref="A22:A24"/>
    <mergeCell ref="P22:P25"/>
    <mergeCell ref="A25:G25"/>
    <mergeCell ref="A26:G26"/>
    <mergeCell ref="Q30:Q31"/>
    <mergeCell ref="F30:F31"/>
    <mergeCell ref="G30:G31"/>
    <mergeCell ref="H30:H31"/>
    <mergeCell ref="I30:I31"/>
    <mergeCell ref="J30:J31"/>
    <mergeCell ref="K30:K31"/>
    <mergeCell ref="L30:L31"/>
    <mergeCell ref="M30:M31"/>
    <mergeCell ref="N30:N31"/>
    <mergeCell ref="O30:O31"/>
    <mergeCell ref="P30:P31"/>
    <mergeCell ref="R30:AC30"/>
    <mergeCell ref="AD30:AD31"/>
    <mergeCell ref="AE30:AE31"/>
    <mergeCell ref="AF30:AF31"/>
    <mergeCell ref="AD32:AD36"/>
  </mergeCells>
  <phoneticPr fontId="229" type="noConversion"/>
  <pageMargins left="0.7" right="0.7" top="0.75" bottom="0.75" header="0.3" footer="0.3"/>
  <pageSetup paperSize="0" orientation="portrait" horizontalDpi="0" verticalDpi="0" copies="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
  <sheetViews>
    <sheetView workbookViewId="0">
      <selection activeCell="C20" sqref="C20"/>
    </sheetView>
  </sheetViews>
  <sheetFormatPr defaultColWidth="8.875" defaultRowHeight="13.5"/>
  <cols>
    <col min="2" max="2" width="18.125" customWidth="1"/>
    <col min="3" max="3" width="18.5" customWidth="1"/>
    <col min="4" max="4" width="13.375" customWidth="1"/>
    <col min="5" max="5" width="13.625" customWidth="1"/>
    <col min="6" max="6" width="19.875" customWidth="1"/>
    <col min="8" max="8" width="21.625" customWidth="1"/>
  </cols>
  <sheetData>
    <row r="1" spans="2:6">
      <c r="B1" s="3604">
        <v>2020</v>
      </c>
      <c r="C1" s="3604"/>
      <c r="D1" s="3604"/>
      <c r="E1" s="3604"/>
      <c r="F1" s="3604"/>
    </row>
    <row r="2" spans="2:6" s="2" customFormat="1" ht="27.75">
      <c r="B2" s="3322" t="s">
        <v>3327</v>
      </c>
      <c r="C2" s="3322" t="s">
        <v>3328</v>
      </c>
      <c r="D2" s="3322" t="s">
        <v>3329</v>
      </c>
      <c r="E2" s="3322" t="s">
        <v>3353</v>
      </c>
      <c r="F2" s="3322" t="s">
        <v>3354</v>
      </c>
    </row>
    <row r="3" spans="2:6" ht="14.25">
      <c r="B3" s="3319" t="s">
        <v>3330</v>
      </c>
      <c r="C3" s="3319">
        <v>186744</v>
      </c>
      <c r="D3" s="3319">
        <v>4700</v>
      </c>
      <c r="E3" s="3319">
        <v>1.9</v>
      </c>
      <c r="F3" s="3324">
        <v>7339</v>
      </c>
    </row>
    <row r="4" spans="2:6" ht="14.25">
      <c r="B4" s="3319" t="s">
        <v>3331</v>
      </c>
      <c r="C4" s="3319">
        <v>13596</v>
      </c>
      <c r="D4" s="3319">
        <v>4000</v>
      </c>
      <c r="E4" s="3319">
        <v>2.2000000000000002</v>
      </c>
      <c r="F4" s="3319">
        <v>8993</v>
      </c>
    </row>
    <row r="5" spans="2:6" ht="14.25">
      <c r="B5" s="3319" t="s">
        <v>3332</v>
      </c>
      <c r="C5" s="3319">
        <v>22193</v>
      </c>
      <c r="D5" s="3319">
        <v>4000</v>
      </c>
      <c r="E5" s="3319">
        <v>1.8</v>
      </c>
      <c r="F5" s="3319">
        <v>7556</v>
      </c>
    </row>
    <row r="6" spans="2:6" ht="14.25">
      <c r="B6" s="3319" t="s">
        <v>3333</v>
      </c>
      <c r="C6" s="3319">
        <v>5798</v>
      </c>
      <c r="D6" s="3319">
        <v>4000</v>
      </c>
      <c r="E6" s="3319">
        <v>2.5</v>
      </c>
      <c r="F6" s="3319">
        <v>11985</v>
      </c>
    </row>
    <row r="7" spans="2:6" ht="14.25">
      <c r="B7" s="3319" t="s">
        <v>3334</v>
      </c>
      <c r="C7" s="3319">
        <v>0</v>
      </c>
      <c r="D7" s="3319">
        <v>4000</v>
      </c>
      <c r="E7" s="3319">
        <v>1.9</v>
      </c>
      <c r="F7" s="3319">
        <v>0</v>
      </c>
    </row>
    <row r="8" spans="2:6" ht="14.25">
      <c r="B8" s="3319" t="s">
        <v>3335</v>
      </c>
      <c r="C8" s="3319">
        <v>38888</v>
      </c>
      <c r="D8" s="3319">
        <v>3500</v>
      </c>
      <c r="E8" s="3319" t="s">
        <v>3352</v>
      </c>
      <c r="F8" s="3319" t="s">
        <v>3352</v>
      </c>
    </row>
    <row r="9" spans="2:6" ht="14.25">
      <c r="B9" s="3319" t="s">
        <v>3336</v>
      </c>
      <c r="C9" s="3319">
        <v>3899</v>
      </c>
      <c r="D9" s="3319">
        <v>3500</v>
      </c>
      <c r="E9" s="3319" t="s">
        <v>3352</v>
      </c>
      <c r="F9" s="3319" t="s">
        <v>3352</v>
      </c>
    </row>
    <row r="12" spans="2:6">
      <c r="B12" s="3605">
        <v>2021</v>
      </c>
      <c r="C12" s="3605"/>
      <c r="D12" s="3605"/>
      <c r="E12" s="3605"/>
      <c r="F12" s="3605"/>
    </row>
    <row r="13" spans="2:6" ht="27.75">
      <c r="B13" s="3322" t="s">
        <v>3429</v>
      </c>
      <c r="C13" s="3322" t="s">
        <v>3430</v>
      </c>
      <c r="D13" s="3322" t="s">
        <v>3431</v>
      </c>
      <c r="E13" s="3322" t="s">
        <v>3432</v>
      </c>
      <c r="F13" s="3322" t="s">
        <v>3433</v>
      </c>
    </row>
    <row r="14" spans="2:6" ht="14.25">
      <c r="B14" s="3319" t="s">
        <v>3434</v>
      </c>
      <c r="C14" s="3319">
        <f>地块指标20210118!F7</f>
        <v>188593</v>
      </c>
      <c r="D14" s="3319">
        <v>4650</v>
      </c>
      <c r="E14" s="3319">
        <f>'数据-取费表'!U6</f>
        <v>1.9</v>
      </c>
      <c r="F14" s="3324">
        <v>7339</v>
      </c>
    </row>
    <row r="15" spans="2:6" ht="14.25">
      <c r="B15" s="3319" t="s">
        <v>3435</v>
      </c>
      <c r="C15" s="3319">
        <f>地块指标20210118!G7+地块指标20210118!H7+地块指标20210118!I7+地块指标20210118!J7</f>
        <v>4004</v>
      </c>
      <c r="D15" s="3319">
        <f>'数据-取费表'!L7</f>
        <v>3700</v>
      </c>
      <c r="E15" s="3319">
        <f>'数据-取费表'!U7</f>
        <v>2.5</v>
      </c>
      <c r="F15" s="3319">
        <f ca="1">'不动产收益法-底商'!B3</f>
        <v>13333</v>
      </c>
    </row>
    <row r="16" spans="2:6" ht="14.25">
      <c r="B16" s="3319" t="s">
        <v>3436</v>
      </c>
      <c r="C16" s="3319">
        <f>地块指标20210118!K7</f>
        <v>0</v>
      </c>
      <c r="D16" s="3319">
        <f>'数据-取费表'!L8</f>
        <v>3500</v>
      </c>
      <c r="E16" s="3319">
        <f>'数据-取费表'!U8</f>
        <v>2.1</v>
      </c>
      <c r="F16" s="3319">
        <f ca="1">'不动产收益法-独商'!B3</f>
        <v>0</v>
      </c>
    </row>
    <row r="17" spans="2:6" ht="14.25">
      <c r="B17" s="3319" t="s">
        <v>3437</v>
      </c>
      <c r="C17" s="3319">
        <f>地块指标20210118!L7</f>
        <v>0</v>
      </c>
      <c r="D17" s="3319">
        <f>'数据-取费表'!L9</f>
        <v>4000</v>
      </c>
      <c r="E17" s="3319">
        <f>'数据-取费表'!U9</f>
        <v>2.5</v>
      </c>
      <c r="F17" s="3319">
        <f ca="1">'[2]不动产收益法-办公'!B3</f>
        <v>0</v>
      </c>
    </row>
    <row r="18" spans="2:6" ht="14.25">
      <c r="B18" s="3355" t="s">
        <v>3442</v>
      </c>
      <c r="C18" s="3319">
        <f>地块指标20210118!M7</f>
        <v>0</v>
      </c>
      <c r="D18" s="3319">
        <f>'数据-取费表'!L11</f>
        <v>5200</v>
      </c>
      <c r="E18" s="3319" t="e">
        <f>ROUND('数据-取费表'!U11,1)</f>
        <v>#DIV/0!</v>
      </c>
      <c r="F18" s="3319">
        <f ca="1">'不动产收益法-酒店'!B3</f>
        <v>0</v>
      </c>
    </row>
    <row r="19" spans="2:6" ht="14.25">
      <c r="B19" s="3319" t="s">
        <v>3438</v>
      </c>
      <c r="C19" s="3319">
        <f>地块指标20210118!N7</f>
        <v>0</v>
      </c>
      <c r="D19" s="3319">
        <f>'数据-取费表'!L10</f>
        <v>4000</v>
      </c>
      <c r="E19" s="3319">
        <f>'数据-取费表'!U10</f>
        <v>1.9</v>
      </c>
      <c r="F19" s="3319">
        <f ca="1">'[2]不动产收益法-公寓'!B3</f>
        <v>0</v>
      </c>
    </row>
    <row r="20" spans="2:6" ht="14.25">
      <c r="B20" s="3355" t="s">
        <v>3439</v>
      </c>
      <c r="C20" s="3319">
        <f>地块指标20210118!O7+地块指标20210118!P7+地块指标20210118!Q7+地块指标20210118!R7+地块指标20210118!S7</f>
        <v>4005</v>
      </c>
      <c r="D20" s="3319">
        <v>0</v>
      </c>
      <c r="E20" s="3319"/>
      <c r="F20" s="3319" t="s">
        <v>3440</v>
      </c>
    </row>
  </sheetData>
  <mergeCells count="2">
    <mergeCell ref="B1:F1"/>
    <mergeCell ref="B12:F12"/>
  </mergeCells>
  <phoneticPr fontId="281"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99"/>
  <sheetViews>
    <sheetView zoomScale="90" zoomScaleNormal="90" zoomScaleSheetLayoutView="100" workbookViewId="0">
      <pane xSplit="2" topLeftCell="C1" activePane="topRight" state="frozen"/>
      <selection pane="topRight" activeCell="A6" sqref="A6"/>
    </sheetView>
  </sheetViews>
  <sheetFormatPr defaultColWidth="8.75" defaultRowHeight="14.25"/>
  <cols>
    <col min="1" max="1" width="6.125" style="3341" customWidth="1"/>
    <col min="2" max="2" width="13" style="3341" customWidth="1"/>
    <col min="3" max="3" width="9.375" style="3341" customWidth="1"/>
    <col min="4" max="4" width="10.75" style="3341" hidden="1" customWidth="1"/>
    <col min="5" max="5" width="10.75" style="3341" customWidth="1"/>
    <col min="6" max="6" width="11.375" style="3341" customWidth="1"/>
    <col min="7" max="7" width="10.25" style="3341" customWidth="1"/>
    <col min="8" max="8" width="11.25" style="3341" customWidth="1"/>
    <col min="9" max="9" width="10.375" style="3341" customWidth="1"/>
    <col min="10" max="10" width="11.375" style="3341" customWidth="1"/>
    <col min="11" max="11" width="10.25" style="3341" customWidth="1"/>
    <col min="12" max="12" width="7.875" style="3341" customWidth="1"/>
    <col min="13" max="13" width="6.875" style="3341" customWidth="1"/>
    <col min="14" max="14" width="8.375" style="3341" customWidth="1"/>
    <col min="15" max="15" width="11.125" style="3341" customWidth="1"/>
    <col min="16" max="16" width="10.75" style="3341" customWidth="1"/>
    <col min="17" max="17" width="11.875" style="3341" customWidth="1"/>
    <col min="18" max="18" width="13.25" style="3341" customWidth="1"/>
    <col min="19" max="20" width="10.75" style="3341" customWidth="1"/>
    <col min="21" max="21" width="10.375" style="3341" customWidth="1"/>
    <col min="22" max="22" width="12.125" style="3341" customWidth="1"/>
    <col min="23" max="23" width="13.5" style="3341" customWidth="1"/>
    <col min="24" max="24" width="13.625" style="3341" customWidth="1"/>
    <col min="25" max="25" width="11.5" style="3341" customWidth="1"/>
    <col min="26" max="26" width="12.75" style="3341" customWidth="1"/>
    <col min="27" max="27" width="9.625" style="3341" customWidth="1"/>
    <col min="28" max="28" width="10" style="3341" customWidth="1"/>
    <col min="29" max="29" width="8" style="3341" hidden="1" customWidth="1"/>
    <col min="30" max="32" width="9.25" style="3341" hidden="1" customWidth="1"/>
    <col min="33" max="33" width="7.75" style="3341" hidden="1" customWidth="1"/>
    <col min="34" max="34" width="8.5" style="3341" hidden="1" customWidth="1"/>
    <col min="35" max="35" width="7.75" style="3341" hidden="1" customWidth="1"/>
    <col min="36" max="36" width="10.625" style="3341" hidden="1" customWidth="1"/>
    <col min="37" max="37" width="10.125" style="3341" hidden="1" customWidth="1"/>
    <col min="38" max="38" width="8.75" style="3341" hidden="1" customWidth="1"/>
    <col min="39" max="39" width="11.5" style="3341" hidden="1" customWidth="1"/>
    <col min="40" max="40" width="8.5" style="3341" customWidth="1"/>
    <col min="41" max="45" width="9.25" style="3341" customWidth="1"/>
    <col min="46" max="16384" width="8.75" style="3341"/>
  </cols>
  <sheetData>
    <row r="1" spans="1:45" ht="27.75" customHeight="1">
      <c r="A1" s="3606" t="s">
        <v>3372</v>
      </c>
      <c r="B1" s="3606" t="s">
        <v>3373</v>
      </c>
      <c r="C1" s="3606" t="s">
        <v>3374</v>
      </c>
      <c r="D1" s="3606" t="s">
        <v>3375</v>
      </c>
      <c r="E1" s="3619" t="s">
        <v>3376</v>
      </c>
      <c r="F1" s="3616" t="s">
        <v>3377</v>
      </c>
      <c r="G1" s="3617"/>
      <c r="H1" s="3617"/>
      <c r="I1" s="3617"/>
      <c r="J1" s="3617"/>
      <c r="K1" s="3617"/>
      <c r="L1" s="3617"/>
      <c r="M1" s="3617"/>
      <c r="N1" s="3617"/>
      <c r="O1" s="3617"/>
      <c r="P1" s="3617"/>
      <c r="Q1" s="3617"/>
      <c r="R1" s="3617"/>
      <c r="S1" s="3617"/>
      <c r="T1" s="3617"/>
      <c r="U1" s="3617"/>
      <c r="V1" s="3617"/>
      <c r="W1" s="3617"/>
      <c r="X1" s="3617"/>
      <c r="Y1" s="3617"/>
      <c r="Z1" s="3617"/>
      <c r="AA1" s="3617"/>
      <c r="AB1" s="3618"/>
      <c r="AC1" s="3609" t="s">
        <v>3378</v>
      </c>
      <c r="AD1" s="3609"/>
      <c r="AE1" s="3609"/>
      <c r="AF1" s="3609"/>
      <c r="AG1" s="3609"/>
      <c r="AH1" s="3609"/>
      <c r="AI1" s="3609"/>
      <c r="AJ1" s="3609"/>
      <c r="AK1" s="3609"/>
      <c r="AL1" s="3609"/>
      <c r="AM1" s="3609"/>
      <c r="AN1" s="3609" t="s">
        <v>3379</v>
      </c>
      <c r="AO1" s="3340"/>
      <c r="AP1" s="3340"/>
      <c r="AQ1" s="3340"/>
      <c r="AR1" s="3340"/>
      <c r="AS1" s="3340"/>
    </row>
    <row r="2" spans="1:45" ht="21.75" customHeight="1">
      <c r="A2" s="3606"/>
      <c r="B2" s="3606"/>
      <c r="C2" s="3606"/>
      <c r="D2" s="3606"/>
      <c r="E2" s="3607"/>
      <c r="F2" s="3606" t="s">
        <v>3380</v>
      </c>
      <c r="G2" s="3606"/>
      <c r="H2" s="3606"/>
      <c r="I2" s="3606"/>
      <c r="J2" s="3606"/>
      <c r="K2" s="3606"/>
      <c r="L2" s="3606"/>
      <c r="M2" s="3606"/>
      <c r="N2" s="3606"/>
      <c r="O2" s="3606"/>
      <c r="P2" s="3606"/>
      <c r="Q2" s="3606"/>
      <c r="R2" s="3606"/>
      <c r="S2" s="3606"/>
      <c r="T2" s="3342"/>
      <c r="U2" s="3609" t="s">
        <v>3381</v>
      </c>
      <c r="V2" s="3606" t="s">
        <v>3382</v>
      </c>
      <c r="W2" s="3606"/>
      <c r="X2" s="3606"/>
      <c r="Y2" s="3606"/>
      <c r="Z2" s="3606"/>
      <c r="AA2" s="3609" t="s">
        <v>3381</v>
      </c>
      <c r="AB2" s="3609" t="s">
        <v>3383</v>
      </c>
      <c r="AC2" s="3606" t="s">
        <v>3384</v>
      </c>
      <c r="AD2" s="3613"/>
      <c r="AE2" s="3610" t="s">
        <v>3385</v>
      </c>
      <c r="AF2" s="3610" t="s">
        <v>3386</v>
      </c>
      <c r="AG2" s="3606" t="s">
        <v>3387</v>
      </c>
      <c r="AH2" s="3606" t="s">
        <v>3388</v>
      </c>
      <c r="AI2" s="3606" t="s">
        <v>3389</v>
      </c>
      <c r="AJ2" s="3609" t="s">
        <v>3390</v>
      </c>
      <c r="AK2" s="3606" t="s">
        <v>3391</v>
      </c>
      <c r="AL2" s="3609" t="s">
        <v>3390</v>
      </c>
      <c r="AM2" s="3609" t="s">
        <v>3392</v>
      </c>
      <c r="AN2" s="3609"/>
      <c r="AO2" s="3340"/>
      <c r="AP2" s="3340"/>
      <c r="AQ2" s="3340"/>
      <c r="AR2" s="3340"/>
      <c r="AS2" s="3340"/>
    </row>
    <row r="3" spans="1:45">
      <c r="A3" s="3606"/>
      <c r="B3" s="3606"/>
      <c r="C3" s="3606"/>
      <c r="D3" s="3606"/>
      <c r="E3" s="3607"/>
      <c r="F3" s="3606" t="s">
        <v>3393</v>
      </c>
      <c r="G3" s="3606" t="s">
        <v>3394</v>
      </c>
      <c r="H3" s="3606"/>
      <c r="I3" s="3606"/>
      <c r="J3" s="3606"/>
      <c r="K3" s="3606" t="s">
        <v>3395</v>
      </c>
      <c r="L3" s="3606" t="s">
        <v>3396</v>
      </c>
      <c r="M3" s="3606" t="s">
        <v>3397</v>
      </c>
      <c r="N3" s="3606" t="s">
        <v>3398</v>
      </c>
      <c r="O3" s="3606" t="s">
        <v>3399</v>
      </c>
      <c r="P3" s="3606"/>
      <c r="Q3" s="3606"/>
      <c r="R3" s="3606"/>
      <c r="S3" s="3606"/>
      <c r="T3" s="3343"/>
      <c r="U3" s="3611"/>
      <c r="V3" s="3610" t="s">
        <v>3400</v>
      </c>
      <c r="W3" s="3610" t="s">
        <v>3401</v>
      </c>
      <c r="X3" s="3610" t="s">
        <v>3402</v>
      </c>
      <c r="Y3" s="3610" t="s">
        <v>3403</v>
      </c>
      <c r="Z3" s="3610" t="s">
        <v>3404</v>
      </c>
      <c r="AA3" s="3609"/>
      <c r="AB3" s="3611"/>
      <c r="AC3" s="3614"/>
      <c r="AD3" s="3615"/>
      <c r="AE3" s="3610"/>
      <c r="AF3" s="3610"/>
      <c r="AG3" s="3606"/>
      <c r="AH3" s="3607"/>
      <c r="AI3" s="3607"/>
      <c r="AJ3" s="3609"/>
      <c r="AK3" s="3606"/>
      <c r="AL3" s="3609"/>
      <c r="AM3" s="3611"/>
      <c r="AN3" s="3609"/>
      <c r="AO3" s="3340"/>
      <c r="AP3" s="3340"/>
      <c r="AQ3" s="3340"/>
      <c r="AR3" s="3340"/>
      <c r="AS3" s="3340"/>
    </row>
    <row r="4" spans="1:45" ht="58.9" customHeight="1">
      <c r="A4" s="3606"/>
      <c r="B4" s="3606"/>
      <c r="C4" s="3606"/>
      <c r="D4" s="3606"/>
      <c r="E4" s="3608"/>
      <c r="F4" s="3606"/>
      <c r="G4" s="3342" t="s">
        <v>3405</v>
      </c>
      <c r="H4" s="3342" t="s">
        <v>3406</v>
      </c>
      <c r="I4" s="3342" t="s">
        <v>3407</v>
      </c>
      <c r="J4" s="3342" t="s">
        <v>3408</v>
      </c>
      <c r="K4" s="3606"/>
      <c r="L4" s="3606"/>
      <c r="M4" s="3608"/>
      <c r="N4" s="3606"/>
      <c r="O4" s="3342" t="s">
        <v>3409</v>
      </c>
      <c r="P4" s="3342" t="s">
        <v>3410</v>
      </c>
      <c r="Q4" s="3342" t="s">
        <v>3411</v>
      </c>
      <c r="R4" s="3344" t="s">
        <v>3412</v>
      </c>
      <c r="S4" s="3342" t="s">
        <v>3413</v>
      </c>
      <c r="T4" s="3345"/>
      <c r="U4" s="3612"/>
      <c r="V4" s="3610"/>
      <c r="W4" s="3610"/>
      <c r="X4" s="3610"/>
      <c r="Y4" s="3610"/>
      <c r="Z4" s="3610"/>
      <c r="AA4" s="3609"/>
      <c r="AB4" s="3612"/>
      <c r="AC4" s="3346" t="s">
        <v>3414</v>
      </c>
      <c r="AD4" s="3346" t="s">
        <v>3415</v>
      </c>
      <c r="AE4" s="3610"/>
      <c r="AF4" s="3610"/>
      <c r="AG4" s="3606"/>
      <c r="AH4" s="3608"/>
      <c r="AI4" s="3608"/>
      <c r="AJ4" s="3609"/>
      <c r="AK4" s="3606"/>
      <c r="AL4" s="3609"/>
      <c r="AM4" s="3612"/>
      <c r="AN4" s="3609"/>
      <c r="AO4" s="3340"/>
      <c r="AP4" s="3340"/>
      <c r="AQ4" s="3340"/>
      <c r="AR4" s="3340"/>
      <c r="AS4" s="3340"/>
    </row>
    <row r="5" spans="1:45" s="3349" customFormat="1" ht="30" customHeight="1">
      <c r="A5" s="3347">
        <v>1</v>
      </c>
      <c r="B5" s="3347" t="s">
        <v>3416</v>
      </c>
      <c r="C5" s="3347">
        <v>123492</v>
      </c>
      <c r="D5" s="3347">
        <v>1.8499258999999999</v>
      </c>
      <c r="E5" s="3347">
        <f>U5/C5</f>
        <v>1.8545087131150195</v>
      </c>
      <c r="F5" s="3347">
        <v>222092</v>
      </c>
      <c r="G5" s="3347">
        <v>2318</v>
      </c>
      <c r="H5" s="3347">
        <v>0</v>
      </c>
      <c r="I5" s="3347">
        <v>0</v>
      </c>
      <c r="J5" s="3347">
        <v>0</v>
      </c>
      <c r="K5" s="3347">
        <v>0</v>
      </c>
      <c r="L5" s="3347">
        <v>0</v>
      </c>
      <c r="M5" s="3347">
        <v>0</v>
      </c>
      <c r="N5" s="3347">
        <v>0</v>
      </c>
      <c r="O5" s="3347">
        <f>229017-F5-G5</f>
        <v>4607</v>
      </c>
      <c r="P5" s="3347">
        <v>0</v>
      </c>
      <c r="Q5" s="3347">
        <v>0</v>
      </c>
      <c r="R5" s="3347">
        <v>0</v>
      </c>
      <c r="S5" s="3347">
        <v>0</v>
      </c>
      <c r="T5" s="3347">
        <f>S5+R5+Q5+P5+O5+N5+M5+L5+K5+J5+I5+H5+G5+F5</f>
        <v>229017</v>
      </c>
      <c r="U5" s="3347">
        <v>229016.99</v>
      </c>
      <c r="V5" s="3347">
        <v>605.89</v>
      </c>
      <c r="W5" s="3347">
        <v>861.05</v>
      </c>
      <c r="X5" s="3347">
        <v>331.18</v>
      </c>
      <c r="Y5" s="3347">
        <v>0</v>
      </c>
      <c r="Z5" s="3347">
        <v>4106.9799999999996</v>
      </c>
      <c r="AA5" s="3347">
        <v>5905.1</v>
      </c>
      <c r="AB5" s="3347">
        <v>234922.09</v>
      </c>
      <c r="AC5" s="3347">
        <v>1823</v>
      </c>
      <c r="AD5" s="3347">
        <v>59784.6</v>
      </c>
      <c r="AE5" s="3347">
        <v>0</v>
      </c>
      <c r="AF5" s="3347">
        <v>0</v>
      </c>
      <c r="AG5" s="3347">
        <v>40926.06</v>
      </c>
      <c r="AH5" s="3347">
        <v>6047.39</v>
      </c>
      <c r="AI5" s="3347">
        <v>2966.35</v>
      </c>
      <c r="AJ5" s="3347">
        <v>109724.4</v>
      </c>
      <c r="AK5" s="3347">
        <v>17051.32</v>
      </c>
      <c r="AL5" s="3347">
        <v>17051.32</v>
      </c>
      <c r="AM5" s="3347">
        <v>126775.72</v>
      </c>
      <c r="AN5" s="3347">
        <v>344646.49</v>
      </c>
      <c r="AO5" s="3348"/>
      <c r="AP5" s="3348"/>
      <c r="AQ5" s="3348"/>
      <c r="AR5" s="3348"/>
      <c r="AS5" s="3348"/>
    </row>
    <row r="6" spans="1:45" s="3352" customFormat="1" ht="27" customHeight="1">
      <c r="A6" s="3350">
        <v>2</v>
      </c>
      <c r="B6" s="3350" t="s">
        <v>3417</v>
      </c>
      <c r="C6" s="3350">
        <v>170969</v>
      </c>
      <c r="D6" s="3350">
        <v>1.87</v>
      </c>
      <c r="E6" s="3350">
        <f t="shared" ref="E6:E17" si="0">U6/C6</f>
        <v>2.0153017798548274</v>
      </c>
      <c r="F6" s="3350">
        <v>315530</v>
      </c>
      <c r="G6" s="3350">
        <v>12923</v>
      </c>
      <c r="H6" s="3350">
        <v>0</v>
      </c>
      <c r="I6" s="3350">
        <v>0</v>
      </c>
      <c r="J6" s="3350">
        <v>0</v>
      </c>
      <c r="K6" s="3350">
        <v>0</v>
      </c>
      <c r="L6" s="3350">
        <v>0</v>
      </c>
      <c r="M6" s="3350">
        <v>0</v>
      </c>
      <c r="N6" s="3350">
        <v>0</v>
      </c>
      <c r="O6" s="3350">
        <f>333875-F6-G6</f>
        <v>5422</v>
      </c>
      <c r="P6" s="3350">
        <v>0</v>
      </c>
      <c r="Q6" s="3350">
        <v>0</v>
      </c>
      <c r="R6" s="3350">
        <v>0</v>
      </c>
      <c r="S6" s="3350">
        <v>0</v>
      </c>
      <c r="T6" s="3350">
        <f t="shared" ref="T6:T17" si="1">S6+R6+Q6+P6+O6+N6+M6+L6+K6+J6+I6+H6+G6+F6</f>
        <v>333875</v>
      </c>
      <c r="U6" s="3350">
        <v>344554.13</v>
      </c>
      <c r="V6" s="3350">
        <v>2142.64</v>
      </c>
      <c r="W6" s="3350">
        <v>3437.01</v>
      </c>
      <c r="X6" s="3350">
        <v>391.61</v>
      </c>
      <c r="Y6" s="3350">
        <v>1096.92</v>
      </c>
      <c r="Z6" s="3350">
        <v>5762.43</v>
      </c>
      <c r="AA6" s="3350">
        <v>12830.61</v>
      </c>
      <c r="AB6" s="3350">
        <v>357384.74</v>
      </c>
      <c r="AC6" s="3350">
        <v>2472</v>
      </c>
      <c r="AD6" s="3350">
        <v>72210.559999999998</v>
      </c>
      <c r="AE6" s="3350">
        <v>280</v>
      </c>
      <c r="AF6" s="3350">
        <v>0</v>
      </c>
      <c r="AG6" s="3350">
        <v>53202.33</v>
      </c>
      <c r="AH6" s="3350">
        <v>26875.53</v>
      </c>
      <c r="AI6" s="3350">
        <v>0</v>
      </c>
      <c r="AJ6" s="3350">
        <v>152568.42000000001</v>
      </c>
      <c r="AK6" s="3350">
        <v>29318.52</v>
      </c>
      <c r="AL6" s="3350">
        <v>29318.52</v>
      </c>
      <c r="AM6" s="3350">
        <v>181886.94</v>
      </c>
      <c r="AN6" s="3350">
        <v>509953.16</v>
      </c>
      <c r="AO6" s="3351"/>
      <c r="AP6" s="3351"/>
      <c r="AQ6" s="3351"/>
      <c r="AR6" s="3351"/>
      <c r="AS6" s="3351"/>
    </row>
    <row r="7" spans="1:45" s="3349" customFormat="1" ht="24" customHeight="1">
      <c r="A7" s="3347">
        <v>3</v>
      </c>
      <c r="B7" s="3347" t="s">
        <v>3418</v>
      </c>
      <c r="C7" s="3347">
        <v>98307</v>
      </c>
      <c r="D7" s="3347">
        <v>1.8907717500000001</v>
      </c>
      <c r="E7" s="3347">
        <f t="shared" si="0"/>
        <v>2.2255087633637483</v>
      </c>
      <c r="F7" s="3347">
        <v>188593</v>
      </c>
      <c r="G7" s="3347">
        <v>4004</v>
      </c>
      <c r="H7" s="3347">
        <v>0</v>
      </c>
      <c r="I7" s="3347">
        <v>0</v>
      </c>
      <c r="J7" s="3347">
        <v>0</v>
      </c>
      <c r="K7" s="3347">
        <v>0</v>
      </c>
      <c r="L7" s="3347">
        <v>0</v>
      </c>
      <c r="M7" s="3347">
        <v>0</v>
      </c>
      <c r="N7" s="3347">
        <v>0</v>
      </c>
      <c r="O7" s="3347">
        <f>196602-F7-G7</f>
        <v>4005</v>
      </c>
      <c r="P7" s="3347">
        <v>0</v>
      </c>
      <c r="Q7" s="3347">
        <v>0</v>
      </c>
      <c r="R7" s="3347">
        <v>0</v>
      </c>
      <c r="S7" s="3347">
        <v>0</v>
      </c>
      <c r="T7" s="3347">
        <f t="shared" si="1"/>
        <v>196602</v>
      </c>
      <c r="U7" s="3347">
        <v>218783.09</v>
      </c>
      <c r="V7" s="3347">
        <v>1221.02</v>
      </c>
      <c r="W7" s="3347">
        <v>1928.26</v>
      </c>
      <c r="X7" s="3347">
        <v>400.72</v>
      </c>
      <c r="Y7" s="3347">
        <v>0</v>
      </c>
      <c r="Z7" s="3347">
        <v>3462.24</v>
      </c>
      <c r="AA7" s="3347">
        <v>7012.24</v>
      </c>
      <c r="AB7" s="3347">
        <v>225795.33</v>
      </c>
      <c r="AC7" s="3347">
        <v>1658</v>
      </c>
      <c r="AD7" s="3347">
        <v>63871.81</v>
      </c>
      <c r="AE7" s="3347">
        <v>0</v>
      </c>
      <c r="AF7" s="3347">
        <v>0</v>
      </c>
      <c r="AG7" s="3347">
        <v>34018.44</v>
      </c>
      <c r="AH7" s="3347">
        <v>4572</v>
      </c>
      <c r="AI7" s="3347">
        <v>1957.63</v>
      </c>
      <c r="AJ7" s="3347">
        <v>104419.88</v>
      </c>
      <c r="AK7" s="3347">
        <v>18099</v>
      </c>
      <c r="AL7" s="3347">
        <v>18099</v>
      </c>
      <c r="AM7" s="3347">
        <v>122518.88</v>
      </c>
      <c r="AN7" s="3347">
        <v>330215.21000000002</v>
      </c>
      <c r="AO7" s="3348"/>
      <c r="AP7" s="3348"/>
      <c r="AQ7" s="3348"/>
      <c r="AR7" s="3348"/>
      <c r="AS7" s="3348"/>
    </row>
    <row r="8" spans="1:45" s="3352" customFormat="1" ht="26.25" customHeight="1">
      <c r="A8" s="3350">
        <v>4</v>
      </c>
      <c r="B8" s="3350" t="s">
        <v>3419</v>
      </c>
      <c r="C8" s="3350">
        <v>151528</v>
      </c>
      <c r="D8" s="3350">
        <f>U8/C8</f>
        <v>1.9388099889129402</v>
      </c>
      <c r="E8" s="3350">
        <f t="shared" si="0"/>
        <v>1.9388099889129402</v>
      </c>
      <c r="F8" s="3350">
        <v>278821</v>
      </c>
      <c r="G8" s="3350">
        <v>7506</v>
      </c>
      <c r="H8" s="3350">
        <v>0</v>
      </c>
      <c r="I8" s="3350">
        <v>0</v>
      </c>
      <c r="J8" s="3350">
        <v>0</v>
      </c>
      <c r="K8" s="3350">
        <v>0</v>
      </c>
      <c r="L8" s="3350">
        <v>0</v>
      </c>
      <c r="M8" s="3350">
        <v>0</v>
      </c>
      <c r="N8" s="3350">
        <v>0</v>
      </c>
      <c r="O8" s="3350">
        <f>293784-F8-G8</f>
        <v>7457</v>
      </c>
      <c r="P8" s="3350">
        <v>0</v>
      </c>
      <c r="Q8" s="3350">
        <v>0</v>
      </c>
      <c r="R8" s="3350">
        <v>0</v>
      </c>
      <c r="S8" s="3350">
        <v>0</v>
      </c>
      <c r="T8" s="3350">
        <f t="shared" si="1"/>
        <v>293784</v>
      </c>
      <c r="U8" s="3350">
        <f t="shared" ref="U8:U17" si="2">SUM(F8:S8)</f>
        <v>293784</v>
      </c>
      <c r="V8" s="3350">
        <v>922.28</v>
      </c>
      <c r="W8" s="3350">
        <v>578.4</v>
      </c>
      <c r="X8" s="3350">
        <v>72.84</v>
      </c>
      <c r="Y8" s="3350">
        <v>5948.12</v>
      </c>
      <c r="Z8" s="3350">
        <v>2133.2399999999998</v>
      </c>
      <c r="AA8" s="3350">
        <f t="shared" ref="AA8:AA17" si="3">SUM(V8:Z8)</f>
        <v>9654.8799999999992</v>
      </c>
      <c r="AB8" s="3350">
        <f t="shared" ref="AB8:AB17" si="4">U8+AA8</f>
        <v>303438.88</v>
      </c>
      <c r="AC8" s="3350">
        <v>2818</v>
      </c>
      <c r="AD8" s="3350">
        <v>96714.13</v>
      </c>
      <c r="AE8" s="3350">
        <v>0</v>
      </c>
      <c r="AF8" s="3350">
        <v>0</v>
      </c>
      <c r="AG8" s="3350">
        <v>32211.5</v>
      </c>
      <c r="AH8" s="3350">
        <v>12509.5</v>
      </c>
      <c r="AI8" s="3350">
        <v>0</v>
      </c>
      <c r="AJ8" s="3350">
        <f t="shared" ref="AJ8:AJ15" si="5">SUM(AD8:AI8)</f>
        <v>141435.13</v>
      </c>
      <c r="AK8" s="3350">
        <v>24572.87</v>
      </c>
      <c r="AL8" s="3350">
        <f t="shared" ref="AL8:AL17" si="6">AK8</f>
        <v>24572.87</v>
      </c>
      <c r="AM8" s="3350">
        <f t="shared" ref="AM8:AM15" si="7">AJ8+AL8</f>
        <v>166008</v>
      </c>
      <c r="AN8" s="3350">
        <f t="shared" ref="AN8:AN17" si="8">AJ8+AB8</f>
        <v>444874.01</v>
      </c>
      <c r="AO8" s="3351"/>
      <c r="AP8" s="3351"/>
      <c r="AQ8" s="3351"/>
      <c r="AR8" s="3351"/>
      <c r="AS8" s="3351"/>
    </row>
    <row r="9" spans="1:45" s="3349" customFormat="1" ht="24.75" customHeight="1">
      <c r="A9" s="3347">
        <v>5</v>
      </c>
      <c r="B9" s="3347" t="s">
        <v>3420</v>
      </c>
      <c r="C9" s="3347">
        <v>116931</v>
      </c>
      <c r="D9" s="3347">
        <f>U9/C9</f>
        <v>1.9262471029923631</v>
      </c>
      <c r="E9" s="3347">
        <f t="shared" si="0"/>
        <v>1.9262471029923631</v>
      </c>
      <c r="F9" s="3347">
        <v>208914</v>
      </c>
      <c r="G9" s="3347">
        <v>3193.4</v>
      </c>
      <c r="H9" s="3347">
        <v>0</v>
      </c>
      <c r="I9" s="3347">
        <v>0</v>
      </c>
      <c r="J9" s="3347">
        <v>0</v>
      </c>
      <c r="K9" s="3347">
        <v>0</v>
      </c>
      <c r="L9" s="3347">
        <v>0</v>
      </c>
      <c r="M9" s="3347">
        <v>0</v>
      </c>
      <c r="N9" s="3347">
        <v>0</v>
      </c>
      <c r="O9" s="3347">
        <f>225238-F9-G9</f>
        <v>13130.6</v>
      </c>
      <c r="P9" s="3347">
        <v>0</v>
      </c>
      <c r="Q9" s="3347">
        <v>0</v>
      </c>
      <c r="R9" s="3347">
        <v>0</v>
      </c>
      <c r="S9" s="3347">
        <v>0</v>
      </c>
      <c r="T9" s="3347">
        <f t="shared" si="1"/>
        <v>225238</v>
      </c>
      <c r="U9" s="3347">
        <f t="shared" si="2"/>
        <v>225238</v>
      </c>
      <c r="V9" s="3347">
        <v>760.41</v>
      </c>
      <c r="W9" s="3347">
        <v>547.02</v>
      </c>
      <c r="X9" s="3347">
        <v>73.39</v>
      </c>
      <c r="Y9" s="3347">
        <v>4670.2700000000004</v>
      </c>
      <c r="Z9" s="3347">
        <v>1844.93</v>
      </c>
      <c r="AA9" s="3347">
        <f t="shared" si="3"/>
        <v>7896.02</v>
      </c>
      <c r="AB9" s="3347">
        <f t="shared" si="4"/>
        <v>233134.02</v>
      </c>
      <c r="AC9" s="3347">
        <v>2157</v>
      </c>
      <c r="AD9" s="3347">
        <v>53291.62</v>
      </c>
      <c r="AE9" s="3347">
        <v>0</v>
      </c>
      <c r="AF9" s="3347">
        <v>0</v>
      </c>
      <c r="AG9" s="3347">
        <v>41337.64</v>
      </c>
      <c r="AH9" s="3347">
        <v>16983</v>
      </c>
      <c r="AI9" s="3347">
        <v>0</v>
      </c>
      <c r="AJ9" s="3347">
        <f t="shared" si="5"/>
        <v>111612.26000000001</v>
      </c>
      <c r="AK9" s="3347">
        <v>19357.29</v>
      </c>
      <c r="AL9" s="3347">
        <f t="shared" si="6"/>
        <v>19357.29</v>
      </c>
      <c r="AM9" s="3347">
        <f t="shared" si="7"/>
        <v>130969.55000000002</v>
      </c>
      <c r="AN9" s="3347">
        <f t="shared" si="8"/>
        <v>344746.28</v>
      </c>
      <c r="AO9" s="3348"/>
      <c r="AP9" s="3348"/>
      <c r="AQ9" s="3348"/>
      <c r="AR9" s="3348"/>
      <c r="AS9" s="3348"/>
    </row>
    <row r="10" spans="1:45" ht="36.75" customHeight="1">
      <c r="A10" s="3342">
        <v>6</v>
      </c>
      <c r="B10" s="3342" t="s">
        <v>3421</v>
      </c>
      <c r="C10" s="3342">
        <v>125785</v>
      </c>
      <c r="D10" s="3342">
        <f>U10/C10</f>
        <v>2.0678162738005321</v>
      </c>
      <c r="E10" s="3342">
        <f t="shared" si="0"/>
        <v>2.0678162738005321</v>
      </c>
      <c r="F10" s="3342">
        <v>215746.05499999999</v>
      </c>
      <c r="G10" s="3342">
        <v>2927.3649999999998</v>
      </c>
      <c r="H10" s="3342">
        <v>8160.09</v>
      </c>
      <c r="I10" s="3342">
        <v>1617.38</v>
      </c>
      <c r="J10" s="3342">
        <v>1278.46</v>
      </c>
      <c r="K10" s="3342">
        <v>0</v>
      </c>
      <c r="L10" s="3342">
        <v>23888.26</v>
      </c>
      <c r="M10" s="3342">
        <v>0</v>
      </c>
      <c r="N10" s="3342">
        <v>0</v>
      </c>
      <c r="O10" s="3342">
        <v>2259.59</v>
      </c>
      <c r="P10" s="3342">
        <v>959.94</v>
      </c>
      <c r="Q10" s="3342">
        <v>0</v>
      </c>
      <c r="R10" s="3342">
        <v>2202.83</v>
      </c>
      <c r="S10" s="3342">
        <v>1060.3</v>
      </c>
      <c r="T10" s="3342">
        <f t="shared" si="1"/>
        <v>260100.27</v>
      </c>
      <c r="U10" s="3342">
        <f t="shared" si="2"/>
        <v>260100.26999999996</v>
      </c>
      <c r="V10" s="3342">
        <v>426.88</v>
      </c>
      <c r="W10" s="3342">
        <v>2114.42</v>
      </c>
      <c r="X10" s="3342">
        <v>398.03</v>
      </c>
      <c r="Y10" s="3342">
        <v>4060.7350000000001</v>
      </c>
      <c r="Z10" s="3342">
        <v>3600.2849999999999</v>
      </c>
      <c r="AA10" s="3342">
        <f t="shared" si="3"/>
        <v>10600.35</v>
      </c>
      <c r="AB10" s="3342">
        <f t="shared" si="4"/>
        <v>270700.61999999994</v>
      </c>
      <c r="AC10" s="3342">
        <v>2317</v>
      </c>
      <c r="AD10" s="3342">
        <v>63071.79</v>
      </c>
      <c r="AE10" s="3342">
        <v>0</v>
      </c>
      <c r="AF10" s="3342">
        <v>0</v>
      </c>
      <c r="AG10" s="3342">
        <v>44690.26</v>
      </c>
      <c r="AH10" s="3342">
        <v>1828.07</v>
      </c>
      <c r="AI10" s="3342">
        <v>4236.0600000000004</v>
      </c>
      <c r="AJ10" s="3342">
        <f t="shared" si="5"/>
        <v>113826.18000000001</v>
      </c>
      <c r="AK10" s="3342">
        <v>21711</v>
      </c>
      <c r="AL10" s="3342">
        <f t="shared" si="6"/>
        <v>21711</v>
      </c>
      <c r="AM10" s="3342">
        <f t="shared" si="7"/>
        <v>135537.18</v>
      </c>
      <c r="AN10" s="3342">
        <f t="shared" si="8"/>
        <v>384526.79999999993</v>
      </c>
      <c r="AO10" s="3340"/>
      <c r="AP10" s="3340"/>
      <c r="AQ10" s="3340"/>
      <c r="AR10" s="3340"/>
      <c r="AS10" s="3340"/>
    </row>
    <row r="11" spans="1:45" ht="24" customHeight="1">
      <c r="A11" s="3342">
        <v>7</v>
      </c>
      <c r="B11" s="3342" t="s">
        <v>3422</v>
      </c>
      <c r="C11" s="3342">
        <v>134105</v>
      </c>
      <c r="D11" s="3342">
        <v>1.71</v>
      </c>
      <c r="E11" s="3342">
        <f t="shared" si="0"/>
        <v>1.897239923940196</v>
      </c>
      <c r="F11" s="3342">
        <v>221395.18</v>
      </c>
      <c r="G11" s="3342">
        <v>6823.56</v>
      </c>
      <c r="H11" s="3342">
        <v>0</v>
      </c>
      <c r="I11" s="3342">
        <v>0</v>
      </c>
      <c r="J11" s="3342">
        <v>0</v>
      </c>
      <c r="K11" s="3342">
        <v>11378.48</v>
      </c>
      <c r="L11" s="3342">
        <v>0</v>
      </c>
      <c r="M11" s="3342">
        <v>0</v>
      </c>
      <c r="N11" s="3342">
        <v>0</v>
      </c>
      <c r="O11" s="3342">
        <v>3102.8</v>
      </c>
      <c r="P11" s="3342">
        <v>2414.6</v>
      </c>
      <c r="Q11" s="3342">
        <v>7151.94</v>
      </c>
      <c r="R11" s="3342">
        <v>0</v>
      </c>
      <c r="S11" s="3342">
        <v>2162.8000000000002</v>
      </c>
      <c r="T11" s="3342">
        <f t="shared" si="1"/>
        <v>254429.36</v>
      </c>
      <c r="U11" s="3342">
        <f t="shared" si="2"/>
        <v>254429.36</v>
      </c>
      <c r="V11" s="3342">
        <v>533.14</v>
      </c>
      <c r="W11" s="3342">
        <v>999.495</v>
      </c>
      <c r="X11" s="3342">
        <v>442.88</v>
      </c>
      <c r="Y11" s="3342">
        <v>3385.24</v>
      </c>
      <c r="Z11" s="3342">
        <v>1879.52</v>
      </c>
      <c r="AA11" s="3342">
        <f t="shared" si="3"/>
        <v>7240.2749999999996</v>
      </c>
      <c r="AB11" s="3342">
        <f t="shared" si="4"/>
        <v>261669.63499999998</v>
      </c>
      <c r="AC11" s="3342">
        <v>1905</v>
      </c>
      <c r="AD11" s="3342">
        <v>94140</v>
      </c>
      <c r="AE11" s="3342">
        <v>0</v>
      </c>
      <c r="AF11" s="3342">
        <v>0</v>
      </c>
      <c r="AG11" s="3342">
        <v>26394.47</v>
      </c>
      <c r="AH11" s="3342">
        <v>11959.28</v>
      </c>
      <c r="AI11" s="3342">
        <v>0</v>
      </c>
      <c r="AJ11" s="3342">
        <f t="shared" si="5"/>
        <v>132493.75</v>
      </c>
      <c r="AK11" s="3342">
        <v>23074.98</v>
      </c>
      <c r="AL11" s="3342">
        <f t="shared" si="6"/>
        <v>23074.98</v>
      </c>
      <c r="AM11" s="3342">
        <f t="shared" si="7"/>
        <v>155568.73000000001</v>
      </c>
      <c r="AN11" s="3342">
        <f t="shared" si="8"/>
        <v>394163.38500000001</v>
      </c>
      <c r="AO11" s="3340"/>
      <c r="AP11" s="3340"/>
      <c r="AQ11" s="3340"/>
      <c r="AR11" s="3340"/>
      <c r="AS11" s="3340"/>
    </row>
    <row r="12" spans="1:45" ht="23.25" customHeight="1">
      <c r="A12" s="3342">
        <v>8</v>
      </c>
      <c r="B12" s="3342" t="s">
        <v>3423</v>
      </c>
      <c r="C12" s="3342">
        <v>197616</v>
      </c>
      <c r="D12" s="3342">
        <f>U12/C12</f>
        <v>1.8887976176018137</v>
      </c>
      <c r="E12" s="3342">
        <f t="shared" si="0"/>
        <v>1.8887976176018137</v>
      </c>
      <c r="F12" s="3342">
        <f>353392.83</f>
        <v>353392.83</v>
      </c>
      <c r="G12" s="3342">
        <f>9697.46-I12</f>
        <v>5997.6299999999992</v>
      </c>
      <c r="H12" s="3342">
        <v>0</v>
      </c>
      <c r="I12" s="3342">
        <v>3699.83</v>
      </c>
      <c r="J12" s="3342">
        <v>0</v>
      </c>
      <c r="K12" s="3342">
        <v>0</v>
      </c>
      <c r="L12" s="3342">
        <v>0</v>
      </c>
      <c r="M12" s="3342">
        <v>0</v>
      </c>
      <c r="N12" s="3342">
        <v>0</v>
      </c>
      <c r="O12" s="3342">
        <v>954.98</v>
      </c>
      <c r="P12" s="3342">
        <v>7149.97</v>
      </c>
      <c r="Q12" s="3342">
        <v>0</v>
      </c>
      <c r="R12" s="3342">
        <v>650.34</v>
      </c>
      <c r="S12" s="3342">
        <v>1411.05</v>
      </c>
      <c r="T12" s="3342">
        <f t="shared" si="1"/>
        <v>373256.63</v>
      </c>
      <c r="U12" s="3342">
        <f t="shared" si="2"/>
        <v>373256.63</v>
      </c>
      <c r="V12" s="3342">
        <v>300</v>
      </c>
      <c r="W12" s="3342">
        <v>725</v>
      </c>
      <c r="X12" s="3342">
        <v>1935.94</v>
      </c>
      <c r="Y12" s="3342">
        <v>0</v>
      </c>
      <c r="Z12" s="3342">
        <v>7827.89</v>
      </c>
      <c r="AA12" s="3342">
        <f t="shared" si="3"/>
        <v>10788.83</v>
      </c>
      <c r="AB12" s="3342">
        <f t="shared" si="4"/>
        <v>384045.46</v>
      </c>
      <c r="AC12" s="3342">
        <v>2990</v>
      </c>
      <c r="AD12" s="3342">
        <f>124862.31-AK12</f>
        <v>93600.31</v>
      </c>
      <c r="AE12" s="3342">
        <v>0</v>
      </c>
      <c r="AF12" s="3342">
        <v>0</v>
      </c>
      <c r="AG12" s="3342">
        <v>69940.53</v>
      </c>
      <c r="AH12" s="3342">
        <v>19855</v>
      </c>
      <c r="AI12" s="3342">
        <v>0</v>
      </c>
      <c r="AJ12" s="3342">
        <f t="shared" si="5"/>
        <v>183395.84</v>
      </c>
      <c r="AK12" s="3342">
        <v>31262</v>
      </c>
      <c r="AL12" s="3342">
        <f t="shared" si="6"/>
        <v>31262</v>
      </c>
      <c r="AM12" s="3342">
        <f t="shared" si="7"/>
        <v>214657.84</v>
      </c>
      <c r="AN12" s="3342">
        <f t="shared" si="8"/>
        <v>567441.30000000005</v>
      </c>
      <c r="AO12" s="3340"/>
      <c r="AP12" s="3340"/>
      <c r="AQ12" s="3340"/>
      <c r="AR12" s="3340"/>
      <c r="AS12" s="3340"/>
    </row>
    <row r="13" spans="1:45" ht="24.75" customHeight="1">
      <c r="A13" s="3342">
        <v>9</v>
      </c>
      <c r="B13" s="3342" t="s">
        <v>3424</v>
      </c>
      <c r="C13" s="3342">
        <v>89942</v>
      </c>
      <c r="D13" s="3342">
        <f>U13/C13</f>
        <v>1.9296797936447934</v>
      </c>
      <c r="E13" s="3342">
        <f t="shared" si="0"/>
        <v>1.9296797936447934</v>
      </c>
      <c r="F13" s="3342">
        <v>161561.04</v>
      </c>
      <c r="G13" s="3342">
        <v>3230.81</v>
      </c>
      <c r="H13" s="3342">
        <v>0</v>
      </c>
      <c r="I13" s="3342">
        <v>0</v>
      </c>
      <c r="J13" s="3342">
        <v>0</v>
      </c>
      <c r="K13" s="3342">
        <v>0</v>
      </c>
      <c r="L13" s="3342">
        <v>4486.22</v>
      </c>
      <c r="M13" s="3342">
        <v>0</v>
      </c>
      <c r="N13" s="3342">
        <v>0</v>
      </c>
      <c r="O13" s="3342">
        <v>3787.28</v>
      </c>
      <c r="P13" s="3342">
        <v>0</v>
      </c>
      <c r="Q13" s="3342">
        <v>0</v>
      </c>
      <c r="R13" s="3342">
        <v>0</v>
      </c>
      <c r="S13" s="3342">
        <v>493.91</v>
      </c>
      <c r="T13" s="3342">
        <f t="shared" si="1"/>
        <v>173559.26</v>
      </c>
      <c r="U13" s="3342">
        <f t="shared" si="2"/>
        <v>173559.26</v>
      </c>
      <c r="V13" s="3342">
        <v>73.599999999999994</v>
      </c>
      <c r="W13" s="3342">
        <v>699.91</v>
      </c>
      <c r="X13" s="3342">
        <v>1827.59</v>
      </c>
      <c r="Y13" s="3342">
        <v>0</v>
      </c>
      <c r="Z13" s="3342">
        <v>4198.87</v>
      </c>
      <c r="AA13" s="3342">
        <f t="shared" si="3"/>
        <v>6799.9699999999993</v>
      </c>
      <c r="AB13" s="3342">
        <f t="shared" si="4"/>
        <v>180359.23</v>
      </c>
      <c r="AC13" s="3342">
        <v>1542</v>
      </c>
      <c r="AD13" s="3342">
        <v>38684.699999999997</v>
      </c>
      <c r="AE13" s="3342">
        <v>0</v>
      </c>
      <c r="AF13" s="3342">
        <v>0</v>
      </c>
      <c r="AG13" s="3342">
        <v>30066.98</v>
      </c>
      <c r="AH13" s="3342">
        <v>13424.68</v>
      </c>
      <c r="AI13" s="3342">
        <v>0</v>
      </c>
      <c r="AJ13" s="3342">
        <f t="shared" si="5"/>
        <v>82176.359999999986</v>
      </c>
      <c r="AK13" s="3342">
        <v>15014</v>
      </c>
      <c r="AL13" s="3342">
        <f t="shared" si="6"/>
        <v>15014</v>
      </c>
      <c r="AM13" s="3342">
        <f t="shared" si="7"/>
        <v>97190.359999999986</v>
      </c>
      <c r="AN13" s="3342">
        <f t="shared" si="8"/>
        <v>262535.58999999997</v>
      </c>
      <c r="AO13" s="3340"/>
      <c r="AP13" s="3340"/>
      <c r="AQ13" s="3340"/>
      <c r="AR13" s="3340"/>
      <c r="AS13" s="3340"/>
    </row>
    <row r="14" spans="1:45" ht="28.5" customHeight="1">
      <c r="A14" s="3342">
        <v>10</v>
      </c>
      <c r="B14" s="3342" t="s">
        <v>3425</v>
      </c>
      <c r="C14" s="3342">
        <v>186004</v>
      </c>
      <c r="D14" s="3342">
        <v>1.96</v>
      </c>
      <c r="E14" s="3342">
        <f t="shared" si="0"/>
        <v>1.9520311391152878</v>
      </c>
      <c r="F14" s="3342">
        <v>325282.48</v>
      </c>
      <c r="G14" s="3342">
        <v>4817.2299999999996</v>
      </c>
      <c r="H14" s="3342">
        <v>0</v>
      </c>
      <c r="I14" s="3342">
        <v>3303.77</v>
      </c>
      <c r="J14" s="3342">
        <v>0</v>
      </c>
      <c r="K14" s="3342">
        <v>0</v>
      </c>
      <c r="L14" s="3342">
        <v>13864</v>
      </c>
      <c r="M14" s="3342">
        <v>0</v>
      </c>
      <c r="N14" s="3342">
        <v>0</v>
      </c>
      <c r="O14" s="3342">
        <v>3081</v>
      </c>
      <c r="P14" s="3342">
        <v>10551.46</v>
      </c>
      <c r="Q14" s="3342">
        <v>0</v>
      </c>
      <c r="R14" s="3342">
        <v>708.92</v>
      </c>
      <c r="S14" s="3342">
        <v>1476.74</v>
      </c>
      <c r="T14" s="3342">
        <f t="shared" si="1"/>
        <v>363085.6</v>
      </c>
      <c r="U14" s="3342">
        <f t="shared" si="2"/>
        <v>363085.6</v>
      </c>
      <c r="V14" s="3342">
        <v>2540</v>
      </c>
      <c r="W14" s="3342">
        <v>706.02</v>
      </c>
      <c r="X14" s="3342">
        <v>289.48</v>
      </c>
      <c r="Y14" s="3342">
        <v>7284.15</v>
      </c>
      <c r="Z14" s="3342">
        <v>4045.98</v>
      </c>
      <c r="AA14" s="3342">
        <f t="shared" si="3"/>
        <v>14865.63</v>
      </c>
      <c r="AB14" s="3342">
        <f t="shared" si="4"/>
        <v>377951.23</v>
      </c>
      <c r="AC14" s="3342">
        <v>2696</v>
      </c>
      <c r="AD14" s="3342">
        <v>102347.79</v>
      </c>
      <c r="AE14" s="3342">
        <v>0</v>
      </c>
      <c r="AF14" s="3342">
        <v>0</v>
      </c>
      <c r="AG14" s="3342">
        <v>49983.98</v>
      </c>
      <c r="AH14" s="3342">
        <v>21819.02</v>
      </c>
      <c r="AI14" s="3342">
        <v>726.92</v>
      </c>
      <c r="AJ14" s="3342">
        <f t="shared" si="5"/>
        <v>174877.71</v>
      </c>
      <c r="AK14" s="3342">
        <v>28143.34</v>
      </c>
      <c r="AL14" s="3342">
        <f t="shared" si="6"/>
        <v>28143.34</v>
      </c>
      <c r="AM14" s="3342">
        <f t="shared" si="7"/>
        <v>203021.05</v>
      </c>
      <c r="AN14" s="3342">
        <f t="shared" si="8"/>
        <v>552828.93999999994</v>
      </c>
      <c r="AO14" s="3340"/>
      <c r="AP14" s="3340"/>
      <c r="AQ14" s="3340"/>
      <c r="AR14" s="3340"/>
      <c r="AS14" s="3340"/>
    </row>
    <row r="15" spans="1:45" ht="25.5" customHeight="1">
      <c r="A15" s="3342">
        <v>11</v>
      </c>
      <c r="B15" s="3342" t="s">
        <v>3426</v>
      </c>
      <c r="C15" s="3342">
        <v>139169</v>
      </c>
      <c r="D15" s="3342">
        <v>1.92</v>
      </c>
      <c r="E15" s="3342">
        <f t="shared" si="0"/>
        <v>1.9225995013257262</v>
      </c>
      <c r="F15" s="3342">
        <v>253394.93</v>
      </c>
      <c r="G15" s="3342">
        <v>0</v>
      </c>
      <c r="H15" s="3342">
        <v>1238.52</v>
      </c>
      <c r="I15" s="3342">
        <v>0</v>
      </c>
      <c r="J15" s="3342">
        <v>415.08</v>
      </c>
      <c r="K15" s="3342">
        <v>0</v>
      </c>
      <c r="L15" s="3342">
        <v>0</v>
      </c>
      <c r="M15" s="3342">
        <v>0</v>
      </c>
      <c r="N15" s="3342">
        <v>2668.73</v>
      </c>
      <c r="O15" s="3342">
        <v>1224.3800000000001</v>
      </c>
      <c r="P15" s="3342">
        <v>0</v>
      </c>
      <c r="Q15" s="3342">
        <v>5802.98</v>
      </c>
      <c r="R15" s="3342">
        <v>1139.73</v>
      </c>
      <c r="S15" s="3342">
        <v>1681.9</v>
      </c>
      <c r="T15" s="3342">
        <f t="shared" si="1"/>
        <v>267566.25</v>
      </c>
      <c r="U15" s="3342">
        <f t="shared" si="2"/>
        <v>267566.25</v>
      </c>
      <c r="V15" s="3342">
        <v>641.57000000000005</v>
      </c>
      <c r="W15" s="3342">
        <v>760.53</v>
      </c>
      <c r="X15" s="3342">
        <v>418.06</v>
      </c>
      <c r="Y15" s="3342">
        <v>3426.15</v>
      </c>
      <c r="Z15" s="3342">
        <v>3724.94</v>
      </c>
      <c r="AA15" s="3342">
        <f t="shared" si="3"/>
        <v>8971.25</v>
      </c>
      <c r="AB15" s="3342">
        <f t="shared" si="4"/>
        <v>276537.5</v>
      </c>
      <c r="AC15" s="3342">
        <v>2425</v>
      </c>
      <c r="AD15" s="3342">
        <v>93944.27</v>
      </c>
      <c r="AE15" s="3342"/>
      <c r="AF15" s="3342"/>
      <c r="AG15" s="3342">
        <v>56520.83</v>
      </c>
      <c r="AH15" s="3342">
        <v>6656.39</v>
      </c>
      <c r="AI15" s="3342">
        <v>0</v>
      </c>
      <c r="AJ15" s="3342">
        <f t="shared" si="5"/>
        <v>157121.49000000002</v>
      </c>
      <c r="AK15" s="3342">
        <v>17700.73</v>
      </c>
      <c r="AL15" s="3342">
        <f t="shared" si="6"/>
        <v>17700.73</v>
      </c>
      <c r="AM15" s="3342">
        <f t="shared" si="7"/>
        <v>174822.22000000003</v>
      </c>
      <c r="AN15" s="3342">
        <f t="shared" si="8"/>
        <v>433658.99</v>
      </c>
      <c r="AO15" s="3340"/>
      <c r="AP15" s="3340"/>
      <c r="AQ15" s="3340"/>
      <c r="AR15" s="3340"/>
      <c r="AS15" s="3340"/>
    </row>
    <row r="16" spans="1:45" ht="24" customHeight="1">
      <c r="A16" s="3342">
        <v>12</v>
      </c>
      <c r="B16" s="3342" t="s">
        <v>3427</v>
      </c>
      <c r="C16" s="3342">
        <v>152927</v>
      </c>
      <c r="D16" s="3342">
        <v>2</v>
      </c>
      <c r="E16" s="3342">
        <f t="shared" si="0"/>
        <v>2.0021815637526403</v>
      </c>
      <c r="F16" s="3342">
        <v>287498.28000000003</v>
      </c>
      <c r="G16" s="3342">
        <v>6852.12</v>
      </c>
      <c r="H16" s="3342">
        <v>0</v>
      </c>
      <c r="I16" s="3342">
        <v>3203.72</v>
      </c>
      <c r="J16" s="3342">
        <v>0</v>
      </c>
      <c r="K16" s="3342">
        <v>0</v>
      </c>
      <c r="L16" s="3342">
        <v>0</v>
      </c>
      <c r="M16" s="3342">
        <v>0</v>
      </c>
      <c r="N16" s="3342">
        <v>0</v>
      </c>
      <c r="O16" s="3342">
        <v>1640.36</v>
      </c>
      <c r="P16" s="3342">
        <v>6035.96</v>
      </c>
      <c r="Q16" s="3342">
        <v>0</v>
      </c>
      <c r="R16" s="3342">
        <v>0</v>
      </c>
      <c r="S16" s="3342">
        <v>957.18</v>
      </c>
      <c r="T16" s="3342">
        <f t="shared" si="1"/>
        <v>306187.62000000005</v>
      </c>
      <c r="U16" s="3342">
        <f t="shared" si="2"/>
        <v>306187.62</v>
      </c>
      <c r="V16" s="3342">
        <v>1000</v>
      </c>
      <c r="W16" s="3342">
        <v>1650</v>
      </c>
      <c r="X16" s="3342">
        <v>0</v>
      </c>
      <c r="Y16" s="3342">
        <v>1600</v>
      </c>
      <c r="Z16" s="3342">
        <v>3856.12</v>
      </c>
      <c r="AA16" s="3342">
        <f t="shared" si="3"/>
        <v>8106.12</v>
      </c>
      <c r="AB16" s="3342">
        <f t="shared" si="4"/>
        <v>314293.74</v>
      </c>
      <c r="AC16" s="3342">
        <v>3031</v>
      </c>
      <c r="AD16" s="3342">
        <v>101311.2</v>
      </c>
      <c r="AE16" s="3342">
        <v>0</v>
      </c>
      <c r="AF16" s="3342">
        <v>0</v>
      </c>
      <c r="AG16" s="3342">
        <v>56347.74</v>
      </c>
      <c r="AH16" s="3342">
        <v>1500</v>
      </c>
      <c r="AI16" s="3342">
        <v>2709.18</v>
      </c>
      <c r="AJ16" s="3342">
        <f>AD16+AG16+AH16+AI16</f>
        <v>161868.12</v>
      </c>
      <c r="AK16" s="3342">
        <v>25950</v>
      </c>
      <c r="AL16" s="3342">
        <f t="shared" si="6"/>
        <v>25950</v>
      </c>
      <c r="AM16" s="3342">
        <f>AL16+AJ16</f>
        <v>187818.12</v>
      </c>
      <c r="AN16" s="3342">
        <f t="shared" si="8"/>
        <v>476161.86</v>
      </c>
      <c r="AO16" s="3340"/>
      <c r="AP16" s="3340"/>
      <c r="AQ16" s="3340"/>
      <c r="AR16" s="3340"/>
      <c r="AS16" s="3340"/>
    </row>
    <row r="17" spans="1:45" ht="24.75" customHeight="1">
      <c r="A17" s="3342">
        <v>13</v>
      </c>
      <c r="B17" s="3342" t="s">
        <v>3428</v>
      </c>
      <c r="C17" s="3342">
        <v>83969</v>
      </c>
      <c r="D17" s="3342">
        <v>1.9</v>
      </c>
      <c r="E17" s="3342">
        <f t="shared" si="0"/>
        <v>1.8966251831032879</v>
      </c>
      <c r="F17" s="3342">
        <v>147259.97</v>
      </c>
      <c r="G17" s="3342">
        <v>3497.32</v>
      </c>
      <c r="H17" s="3342">
        <v>0</v>
      </c>
      <c r="I17" s="3342">
        <v>0</v>
      </c>
      <c r="J17" s="3342">
        <v>0</v>
      </c>
      <c r="K17" s="3342">
        <v>0</v>
      </c>
      <c r="L17" s="3342">
        <v>0</v>
      </c>
      <c r="M17" s="3342">
        <v>0</v>
      </c>
      <c r="N17" s="3342">
        <v>0</v>
      </c>
      <c r="O17" s="3342">
        <v>1339.55</v>
      </c>
      <c r="P17" s="3342">
        <v>6225.55</v>
      </c>
      <c r="Q17" s="3342">
        <v>0</v>
      </c>
      <c r="R17" s="3342">
        <v>0</v>
      </c>
      <c r="S17" s="3342">
        <v>935.33</v>
      </c>
      <c r="T17" s="3342">
        <f t="shared" si="1"/>
        <v>159257.72</v>
      </c>
      <c r="U17" s="3342">
        <f t="shared" si="2"/>
        <v>159257.71999999997</v>
      </c>
      <c r="V17" s="3342">
        <v>600</v>
      </c>
      <c r="W17" s="3342">
        <v>1050</v>
      </c>
      <c r="X17" s="3342">
        <v>200</v>
      </c>
      <c r="Y17" s="3342">
        <v>650</v>
      </c>
      <c r="Z17" s="3342">
        <v>3153.53</v>
      </c>
      <c r="AA17" s="3342">
        <f t="shared" si="3"/>
        <v>5653.5300000000007</v>
      </c>
      <c r="AB17" s="3342">
        <f t="shared" si="4"/>
        <v>164911.24999999997</v>
      </c>
      <c r="AC17" s="3342">
        <v>1655</v>
      </c>
      <c r="AD17" s="3342">
        <v>48031.64</v>
      </c>
      <c r="AE17" s="3342">
        <v>0</v>
      </c>
      <c r="AF17" s="3342">
        <v>0</v>
      </c>
      <c r="AG17" s="3342">
        <v>29888.26</v>
      </c>
      <c r="AH17" s="3342">
        <v>750</v>
      </c>
      <c r="AI17" s="3342">
        <v>1108.68</v>
      </c>
      <c r="AJ17" s="3342">
        <f>AD17+AG17+AH17+AI17</f>
        <v>79778.579999999987</v>
      </c>
      <c r="AK17" s="3342">
        <v>16449</v>
      </c>
      <c r="AL17" s="3342">
        <f t="shared" si="6"/>
        <v>16449</v>
      </c>
      <c r="AM17" s="3342">
        <f>AL17+AJ17</f>
        <v>96227.579999999987</v>
      </c>
      <c r="AN17" s="3342">
        <f t="shared" si="8"/>
        <v>244689.82999999996</v>
      </c>
      <c r="AO17" s="3340"/>
      <c r="AP17" s="3340"/>
      <c r="AQ17" s="3340"/>
      <c r="AR17" s="3340"/>
      <c r="AS17" s="3340"/>
    </row>
    <row r="18" spans="1:45">
      <c r="A18" s="3353" t="s">
        <v>3392</v>
      </c>
      <c r="B18" s="3353"/>
      <c r="C18" s="3353"/>
      <c r="D18" s="3353"/>
      <c r="E18" s="3353"/>
      <c r="F18" s="3353"/>
      <c r="G18" s="3353"/>
      <c r="H18" s="3353"/>
      <c r="I18" s="3353"/>
      <c r="J18" s="3353"/>
      <c r="K18" s="3353"/>
      <c r="L18" s="3353"/>
      <c r="M18" s="3353"/>
      <c r="N18" s="3353"/>
      <c r="O18" s="3353"/>
      <c r="P18" s="3353"/>
      <c r="Q18" s="3353"/>
      <c r="R18" s="3353"/>
      <c r="S18" s="3353"/>
      <c r="T18" s="3353"/>
      <c r="U18" s="3353">
        <f>SUM(U5:U17)</f>
        <v>3468818.92</v>
      </c>
      <c r="V18" s="3353"/>
      <c r="W18" s="3353"/>
      <c r="X18" s="3353"/>
      <c r="Y18" s="3353"/>
      <c r="Z18" s="3353"/>
      <c r="AA18" s="3353">
        <f>SUM(AA5:AA17)</f>
        <v>116324.80499999999</v>
      </c>
      <c r="AB18" s="3353">
        <f>SUM(AB5:AB17)</f>
        <v>3585143.7249999996</v>
      </c>
      <c r="AC18" s="3353"/>
      <c r="AD18" s="3353"/>
      <c r="AE18" s="3353"/>
      <c r="AF18" s="3353"/>
      <c r="AG18" s="3353"/>
      <c r="AH18" s="3353"/>
      <c r="AI18" s="3353"/>
      <c r="AJ18" s="3353"/>
      <c r="AK18" s="3353"/>
      <c r="AL18" s="3353"/>
      <c r="AM18" s="3353"/>
      <c r="AN18" s="3353"/>
      <c r="AO18" s="3340"/>
      <c r="AP18" s="3340"/>
      <c r="AQ18" s="3340"/>
      <c r="AR18" s="3340"/>
      <c r="AS18" s="3340"/>
    </row>
    <row r="19" spans="1:45">
      <c r="A19" s="3340"/>
      <c r="B19" s="3340"/>
      <c r="C19" s="3340"/>
      <c r="D19" s="3340"/>
      <c r="E19" s="3340"/>
      <c r="F19" s="3340"/>
      <c r="G19" s="3340"/>
      <c r="H19" s="3340"/>
      <c r="I19" s="3340"/>
      <c r="J19" s="3340"/>
      <c r="K19" s="3340"/>
      <c r="L19" s="3340"/>
      <c r="M19" s="3340"/>
      <c r="N19" s="3340"/>
      <c r="O19" s="3340"/>
      <c r="P19" s="3340"/>
      <c r="Q19" s="3340"/>
      <c r="R19" s="3340"/>
      <c r="S19" s="3340"/>
      <c r="T19" s="3340"/>
      <c r="U19" s="3340"/>
      <c r="V19" s="3340"/>
      <c r="W19" s="3340"/>
      <c r="X19" s="3340"/>
      <c r="Y19" s="3340"/>
      <c r="Z19" s="3340"/>
      <c r="AA19" s="3340"/>
      <c r="AB19" s="3340"/>
      <c r="AC19" s="3340"/>
      <c r="AD19" s="3340"/>
      <c r="AE19" s="3340"/>
      <c r="AF19" s="3340"/>
      <c r="AG19" s="3340"/>
      <c r="AH19" s="3340"/>
      <c r="AI19" s="3340"/>
      <c r="AJ19" s="3340"/>
      <c r="AK19" s="3340"/>
      <c r="AL19" s="3340"/>
      <c r="AM19" s="3340"/>
      <c r="AN19" s="3340"/>
      <c r="AO19" s="3340"/>
      <c r="AP19" s="3340"/>
      <c r="AQ19" s="3340"/>
      <c r="AR19" s="3340"/>
      <c r="AS19" s="3340"/>
    </row>
    <row r="20" spans="1:45">
      <c r="A20" s="3340"/>
      <c r="B20" s="3340"/>
      <c r="C20" s="3340"/>
      <c r="D20" s="3340"/>
      <c r="E20" s="3340"/>
      <c r="F20" s="3340"/>
      <c r="G20" s="3340"/>
      <c r="H20" s="3340"/>
      <c r="I20" s="3340"/>
      <c r="J20" s="3340"/>
      <c r="K20" s="3340"/>
      <c r="L20" s="3340"/>
      <c r="M20" s="3340"/>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c r="AL20" s="3340"/>
      <c r="AM20" s="3340"/>
      <c r="AN20" s="3340"/>
      <c r="AO20" s="3340"/>
      <c r="AP20" s="3340"/>
      <c r="AQ20" s="3340"/>
      <c r="AR20" s="3340"/>
      <c r="AS20" s="3340"/>
    </row>
    <row r="21" spans="1:45">
      <c r="A21" s="3340"/>
      <c r="B21" s="3340"/>
      <c r="C21" s="3340"/>
      <c r="D21" s="3340"/>
      <c r="E21" s="3340"/>
      <c r="F21" s="3340"/>
      <c r="G21" s="3340"/>
      <c r="H21" s="3340"/>
      <c r="I21" s="3340"/>
      <c r="J21" s="3340"/>
      <c r="K21" s="3340"/>
      <c r="L21" s="3340"/>
      <c r="M21" s="3340"/>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c r="AL21" s="3340"/>
      <c r="AM21" s="3340"/>
      <c r="AN21" s="3340"/>
      <c r="AO21" s="3340"/>
      <c r="AP21" s="3340"/>
      <c r="AQ21" s="3340"/>
      <c r="AR21" s="3340"/>
      <c r="AS21" s="3340"/>
    </row>
    <row r="22" spans="1:45">
      <c r="A22" s="3340"/>
      <c r="B22" s="3340"/>
      <c r="C22" s="3340"/>
      <c r="D22" s="3340"/>
      <c r="E22" s="3340"/>
      <c r="F22" s="3340"/>
      <c r="G22" s="3340"/>
      <c r="H22" s="3340"/>
      <c r="I22" s="3340"/>
      <c r="J22" s="3340"/>
      <c r="K22" s="3340"/>
      <c r="L22" s="3340"/>
      <c r="M22" s="3340"/>
      <c r="N22" s="3340"/>
      <c r="O22" s="3340"/>
      <c r="P22" s="3340"/>
      <c r="Q22" s="3340"/>
      <c r="R22" s="3340"/>
      <c r="S22" s="3340"/>
      <c r="T22" s="3340"/>
      <c r="U22" s="3340"/>
      <c r="V22" s="3340"/>
      <c r="W22" s="3340"/>
      <c r="X22" s="3340"/>
      <c r="Y22" s="3340"/>
      <c r="Z22" s="3340"/>
      <c r="AA22" s="3340"/>
      <c r="AB22" s="3340"/>
      <c r="AC22" s="3340"/>
      <c r="AD22" s="3340"/>
      <c r="AE22" s="3340"/>
      <c r="AF22" s="3340"/>
      <c r="AG22" s="3340"/>
      <c r="AH22" s="3340"/>
      <c r="AI22" s="3340"/>
      <c r="AJ22" s="3340"/>
      <c r="AK22" s="3340"/>
      <c r="AL22" s="3340"/>
      <c r="AM22" s="3340"/>
      <c r="AN22" s="3340"/>
      <c r="AO22" s="3340"/>
      <c r="AP22" s="3340"/>
      <c r="AQ22" s="3340"/>
      <c r="AR22" s="3340"/>
      <c r="AS22" s="3340"/>
    </row>
    <row r="23" spans="1:45">
      <c r="A23" s="3340"/>
      <c r="B23" s="3340"/>
      <c r="C23" s="3340"/>
      <c r="D23" s="3340"/>
      <c r="E23" s="3340"/>
      <c r="F23" s="3340"/>
      <c r="G23" s="3340"/>
      <c r="H23" s="3340"/>
      <c r="I23" s="3340"/>
      <c r="J23" s="3340"/>
      <c r="K23" s="3340"/>
      <c r="L23" s="3340"/>
      <c r="M23" s="3340"/>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c r="AL23" s="3340"/>
      <c r="AM23" s="3340"/>
      <c r="AN23" s="3340"/>
      <c r="AO23" s="3340"/>
      <c r="AP23" s="3340"/>
      <c r="AQ23" s="3340"/>
      <c r="AR23" s="3340"/>
      <c r="AS23" s="3340"/>
    </row>
    <row r="24" spans="1:45">
      <c r="A24" s="3340"/>
      <c r="B24" s="3340"/>
      <c r="C24" s="3340"/>
      <c r="D24" s="3340"/>
      <c r="E24" s="3340"/>
      <c r="F24" s="3340"/>
      <c r="G24" s="3340"/>
      <c r="H24" s="3340"/>
      <c r="I24" s="3340"/>
      <c r="J24" s="3340"/>
      <c r="K24" s="3340"/>
      <c r="L24" s="3340"/>
      <c r="M24" s="3340"/>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c r="AL24" s="3340"/>
      <c r="AM24" s="3340"/>
      <c r="AN24" s="3340"/>
      <c r="AO24" s="3340"/>
      <c r="AP24" s="3340"/>
      <c r="AQ24" s="3340"/>
      <c r="AR24" s="3340"/>
      <c r="AS24" s="3340"/>
    </row>
    <row r="25" spans="1:45">
      <c r="A25" s="3340"/>
      <c r="B25" s="3340"/>
      <c r="C25" s="3340"/>
      <c r="D25" s="3340"/>
      <c r="E25" s="3340"/>
      <c r="F25" s="3340"/>
      <c r="G25" s="3340"/>
      <c r="H25" s="3340"/>
      <c r="I25" s="3340"/>
      <c r="J25" s="3340"/>
      <c r="K25" s="3340"/>
      <c r="L25" s="3340"/>
      <c r="M25" s="3340"/>
      <c r="N25" s="3340"/>
      <c r="O25" s="3340"/>
      <c r="P25" s="3340"/>
      <c r="Q25" s="3340"/>
      <c r="R25" s="3340"/>
      <c r="S25" s="3340"/>
      <c r="T25" s="3340"/>
      <c r="U25" s="3340"/>
      <c r="V25" s="3340"/>
      <c r="W25" s="3340"/>
      <c r="X25" s="3340"/>
      <c r="Y25" s="3340"/>
      <c r="Z25" s="3340"/>
      <c r="AA25" s="3340"/>
      <c r="AB25" s="3340"/>
      <c r="AC25" s="3340"/>
      <c r="AD25" s="3340"/>
      <c r="AE25" s="3340"/>
      <c r="AF25" s="3340"/>
      <c r="AG25" s="3340"/>
      <c r="AH25" s="3340"/>
      <c r="AI25" s="3340"/>
      <c r="AJ25" s="3340"/>
      <c r="AK25" s="3340"/>
      <c r="AL25" s="3340"/>
      <c r="AM25" s="3340"/>
      <c r="AN25" s="3340"/>
      <c r="AO25" s="3340"/>
      <c r="AP25" s="3340"/>
      <c r="AQ25" s="3340"/>
      <c r="AR25" s="3340"/>
      <c r="AS25" s="3340"/>
    </row>
    <row r="26" spans="1:45">
      <c r="A26" s="3340"/>
      <c r="B26" s="3340"/>
      <c r="C26" s="3340"/>
      <c r="D26" s="3340"/>
      <c r="E26" s="3340"/>
      <c r="F26" s="3340"/>
      <c r="G26" s="3340"/>
      <c r="H26" s="3340"/>
      <c r="I26" s="3340"/>
      <c r="J26" s="3340"/>
      <c r="K26" s="3340"/>
      <c r="L26" s="3340"/>
      <c r="M26" s="3340"/>
      <c r="N26" s="3340"/>
      <c r="O26" s="3340"/>
      <c r="P26" s="3340"/>
      <c r="Q26" s="3340"/>
      <c r="R26" s="3340"/>
      <c r="S26" s="3340"/>
      <c r="T26" s="3340"/>
      <c r="U26" s="3340"/>
      <c r="V26" s="3340"/>
      <c r="W26" s="3340"/>
      <c r="X26" s="3340"/>
      <c r="Y26" s="3340"/>
      <c r="Z26" s="3340"/>
      <c r="AA26" s="3340"/>
      <c r="AB26" s="3340"/>
      <c r="AC26" s="3340"/>
      <c r="AD26" s="3340"/>
      <c r="AE26" s="3340"/>
      <c r="AF26" s="3340"/>
      <c r="AG26" s="3340"/>
      <c r="AH26" s="3340"/>
      <c r="AI26" s="3340"/>
      <c r="AJ26" s="3340"/>
      <c r="AK26" s="3340"/>
      <c r="AL26" s="3340"/>
      <c r="AM26" s="3340"/>
      <c r="AN26" s="3340"/>
      <c r="AO26" s="3340"/>
      <c r="AP26" s="3340"/>
      <c r="AQ26" s="3340"/>
      <c r="AR26" s="3340"/>
      <c r="AS26" s="3340"/>
    </row>
    <row r="27" spans="1:45">
      <c r="A27" s="3340"/>
      <c r="B27" s="3340"/>
      <c r="C27" s="3340"/>
      <c r="D27" s="3340"/>
      <c r="E27" s="3340"/>
      <c r="F27" s="3340"/>
      <c r="G27" s="3340"/>
      <c r="H27" s="3340"/>
      <c r="I27" s="3340"/>
      <c r="J27" s="3340"/>
      <c r="K27" s="3340"/>
      <c r="L27" s="3340"/>
      <c r="M27" s="3340"/>
      <c r="N27" s="3340"/>
      <c r="O27" s="3340"/>
      <c r="P27" s="3340"/>
      <c r="Q27" s="3340"/>
      <c r="R27" s="3340"/>
      <c r="S27" s="3340"/>
      <c r="T27" s="3340"/>
      <c r="U27" s="3340"/>
      <c r="V27" s="3340"/>
      <c r="W27" s="3340"/>
      <c r="X27" s="3340"/>
      <c r="Y27" s="3340"/>
      <c r="Z27" s="3340"/>
      <c r="AA27" s="3340"/>
      <c r="AB27" s="3340"/>
      <c r="AC27" s="3340"/>
      <c r="AD27" s="3340"/>
      <c r="AE27" s="3340"/>
      <c r="AF27" s="3340"/>
      <c r="AG27" s="3340"/>
      <c r="AH27" s="3340"/>
      <c r="AI27" s="3340"/>
      <c r="AJ27" s="3340"/>
      <c r="AK27" s="3340"/>
      <c r="AL27" s="3340"/>
      <c r="AM27" s="3340"/>
      <c r="AN27" s="3340"/>
      <c r="AO27" s="3340"/>
      <c r="AP27" s="3340"/>
      <c r="AQ27" s="3340"/>
      <c r="AR27" s="3340"/>
      <c r="AS27" s="3340"/>
    </row>
    <row r="28" spans="1:45">
      <c r="A28" s="3340"/>
      <c r="B28" s="3340"/>
      <c r="C28" s="3340"/>
      <c r="D28" s="3340"/>
      <c r="E28" s="3340"/>
      <c r="F28" s="3340"/>
      <c r="G28" s="3340"/>
      <c r="H28" s="3340"/>
      <c r="I28" s="3340"/>
      <c r="J28" s="3340"/>
      <c r="K28" s="3340"/>
      <c r="L28" s="3340"/>
      <c r="M28" s="3340"/>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c r="AL28" s="3340"/>
      <c r="AM28" s="3340"/>
      <c r="AN28" s="3340"/>
      <c r="AO28" s="3340"/>
      <c r="AP28" s="3340"/>
      <c r="AQ28" s="3340"/>
      <c r="AR28" s="3340"/>
      <c r="AS28" s="3340"/>
    </row>
    <row r="29" spans="1:45">
      <c r="A29" s="3340"/>
      <c r="B29" s="3340"/>
      <c r="C29" s="3340"/>
      <c r="D29" s="3340"/>
      <c r="E29" s="3340"/>
      <c r="F29" s="3340"/>
      <c r="G29" s="3340"/>
      <c r="H29" s="3340"/>
      <c r="I29" s="3340"/>
      <c r="J29" s="3340"/>
      <c r="K29" s="3340"/>
      <c r="L29" s="3340"/>
      <c r="M29" s="3340"/>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c r="AL29" s="3340"/>
      <c r="AM29" s="3340"/>
      <c r="AN29" s="3340"/>
      <c r="AO29" s="3340"/>
      <c r="AP29" s="3340"/>
      <c r="AQ29" s="3340"/>
      <c r="AR29" s="3340"/>
      <c r="AS29" s="3340"/>
    </row>
    <row r="30" spans="1:45">
      <c r="A30" s="3340"/>
      <c r="B30" s="3340"/>
      <c r="C30" s="3340"/>
      <c r="D30" s="3340"/>
      <c r="E30" s="3340"/>
      <c r="F30" s="3340"/>
      <c r="G30" s="3340"/>
      <c r="H30" s="3340"/>
      <c r="I30" s="3340"/>
      <c r="J30" s="3340"/>
      <c r="K30" s="3340"/>
      <c r="L30" s="3340"/>
      <c r="M30" s="3340"/>
      <c r="N30" s="3340"/>
      <c r="O30" s="3340"/>
      <c r="P30" s="3340"/>
      <c r="Q30" s="3340"/>
      <c r="R30" s="3340"/>
      <c r="S30" s="3340"/>
      <c r="T30" s="3340"/>
      <c r="U30" s="3340"/>
      <c r="V30" s="3340"/>
      <c r="W30" s="3340"/>
      <c r="X30" s="3340"/>
      <c r="Y30" s="3340"/>
      <c r="Z30" s="3340"/>
      <c r="AA30" s="3340"/>
      <c r="AB30" s="3340"/>
      <c r="AC30" s="3340"/>
      <c r="AD30" s="3340"/>
      <c r="AE30" s="3340"/>
      <c r="AF30" s="3340"/>
      <c r="AG30" s="3340"/>
      <c r="AH30" s="3340"/>
      <c r="AI30" s="3340"/>
      <c r="AJ30" s="3340"/>
      <c r="AK30" s="3340"/>
      <c r="AL30" s="3340"/>
      <c r="AM30" s="3340"/>
      <c r="AN30" s="3340"/>
      <c r="AO30" s="3340"/>
      <c r="AP30" s="3340"/>
      <c r="AQ30" s="3340"/>
      <c r="AR30" s="3340"/>
      <c r="AS30" s="3340"/>
    </row>
    <row r="31" spans="1:45">
      <c r="A31" s="3340"/>
      <c r="B31" s="3340"/>
      <c r="C31" s="3340"/>
      <c r="D31" s="3340"/>
      <c r="E31" s="3340"/>
      <c r="F31" s="3340"/>
      <c r="G31" s="3340"/>
      <c r="H31" s="3340"/>
      <c r="I31" s="3340"/>
      <c r="J31" s="3340"/>
      <c r="K31" s="3340"/>
      <c r="L31" s="3340"/>
      <c r="M31" s="3340"/>
      <c r="N31" s="3340"/>
      <c r="O31" s="3340"/>
      <c r="P31" s="3340"/>
      <c r="Q31" s="3340"/>
      <c r="R31" s="3340"/>
      <c r="S31" s="3340"/>
      <c r="T31" s="3340"/>
      <c r="U31" s="3340"/>
      <c r="V31" s="3340"/>
      <c r="W31" s="3340"/>
      <c r="X31" s="3340"/>
      <c r="Y31" s="3340"/>
      <c r="Z31" s="3340"/>
      <c r="AA31" s="3340"/>
      <c r="AB31" s="3340"/>
      <c r="AC31" s="3340"/>
      <c r="AD31" s="3340"/>
      <c r="AE31" s="3340"/>
      <c r="AF31" s="3340"/>
      <c r="AG31" s="3340"/>
      <c r="AH31" s="3340"/>
      <c r="AI31" s="3340"/>
      <c r="AJ31" s="3340"/>
      <c r="AK31" s="3340"/>
      <c r="AL31" s="3340"/>
      <c r="AM31" s="3340"/>
      <c r="AN31" s="3340"/>
      <c r="AO31" s="3340"/>
      <c r="AP31" s="3340"/>
      <c r="AQ31" s="3340"/>
      <c r="AR31" s="3340"/>
      <c r="AS31" s="3340"/>
    </row>
    <row r="32" spans="1:45">
      <c r="A32" s="3340"/>
      <c r="B32" s="3340"/>
      <c r="C32" s="3340"/>
      <c r="D32" s="3340"/>
      <c r="E32" s="3340"/>
      <c r="F32" s="3340"/>
      <c r="G32" s="3340"/>
      <c r="H32" s="3340"/>
      <c r="I32" s="3340"/>
      <c r="J32" s="3340"/>
      <c r="K32" s="3340"/>
      <c r="L32" s="3340"/>
      <c r="M32" s="3340"/>
      <c r="N32" s="3340"/>
      <c r="O32" s="3340"/>
      <c r="P32" s="3340"/>
      <c r="Q32" s="3340"/>
      <c r="R32" s="3340"/>
      <c r="S32" s="3340"/>
      <c r="T32" s="3340"/>
      <c r="U32" s="3340"/>
      <c r="V32" s="3340"/>
      <c r="W32" s="3340"/>
      <c r="X32" s="3340"/>
      <c r="Y32" s="3340"/>
      <c r="Z32" s="3340"/>
      <c r="AA32" s="3340"/>
      <c r="AB32" s="3340"/>
      <c r="AC32" s="3340"/>
      <c r="AD32" s="3340"/>
      <c r="AE32" s="3340"/>
      <c r="AF32" s="3340"/>
      <c r="AG32" s="3340"/>
      <c r="AH32" s="3340"/>
      <c r="AI32" s="3340"/>
      <c r="AJ32" s="3340"/>
      <c r="AK32" s="3340"/>
      <c r="AL32" s="3340"/>
      <c r="AM32" s="3340"/>
      <c r="AN32" s="3340"/>
      <c r="AO32" s="3340"/>
      <c r="AP32" s="3340"/>
      <c r="AQ32" s="3340"/>
      <c r="AR32" s="3340"/>
      <c r="AS32" s="3340"/>
    </row>
    <row r="33" spans="1:45">
      <c r="A33" s="3340"/>
      <c r="B33" s="3340"/>
      <c r="C33" s="3340"/>
      <c r="D33" s="3340"/>
      <c r="E33" s="3340"/>
      <c r="F33" s="3340"/>
      <c r="G33" s="3340"/>
      <c r="H33" s="3340"/>
      <c r="I33" s="3340"/>
      <c r="J33" s="3340"/>
      <c r="K33" s="3340"/>
      <c r="L33" s="3340"/>
      <c r="M33" s="3340"/>
      <c r="N33" s="3340"/>
      <c r="O33" s="3340"/>
      <c r="P33" s="3340"/>
      <c r="Q33" s="3340"/>
      <c r="R33" s="3340"/>
      <c r="S33" s="3340"/>
      <c r="T33" s="3340"/>
      <c r="U33" s="3340"/>
      <c r="V33" s="3340"/>
      <c r="W33" s="3340"/>
      <c r="X33" s="3340"/>
      <c r="Y33" s="3340"/>
      <c r="Z33" s="3340"/>
      <c r="AA33" s="3340"/>
      <c r="AB33" s="3340"/>
      <c r="AC33" s="3340"/>
      <c r="AD33" s="3340"/>
      <c r="AE33" s="3340"/>
      <c r="AF33" s="3340"/>
      <c r="AG33" s="3340"/>
      <c r="AH33" s="3340"/>
      <c r="AI33" s="3340"/>
      <c r="AJ33" s="3340"/>
      <c r="AK33" s="3340"/>
      <c r="AL33" s="3340"/>
      <c r="AM33" s="3340"/>
      <c r="AN33" s="3340"/>
      <c r="AO33" s="3340"/>
      <c r="AP33" s="3340"/>
      <c r="AQ33" s="3340"/>
      <c r="AR33" s="3340"/>
      <c r="AS33" s="3340"/>
    </row>
    <row r="34" spans="1:45">
      <c r="A34" s="3340"/>
      <c r="B34" s="3340"/>
      <c r="C34" s="3340"/>
      <c r="D34" s="3340"/>
      <c r="E34" s="3340"/>
      <c r="F34" s="3340"/>
      <c r="G34" s="3340"/>
      <c r="H34" s="3340"/>
      <c r="I34" s="3340"/>
      <c r="J34" s="3340"/>
      <c r="K34" s="3340"/>
      <c r="L34" s="3340"/>
      <c r="M34" s="3340"/>
      <c r="N34" s="3340"/>
      <c r="O34" s="3340"/>
      <c r="P34" s="3340"/>
      <c r="Q34" s="3340"/>
      <c r="R34" s="3340"/>
      <c r="S34" s="3340"/>
      <c r="T34" s="3340"/>
      <c r="U34" s="3340"/>
      <c r="V34" s="3340"/>
      <c r="W34" s="3340"/>
      <c r="X34" s="3340"/>
      <c r="Y34" s="3340"/>
      <c r="Z34" s="3340"/>
      <c r="AA34" s="3340"/>
      <c r="AB34" s="3340"/>
      <c r="AC34" s="3340"/>
      <c r="AD34" s="3340"/>
      <c r="AE34" s="3340"/>
      <c r="AF34" s="3340"/>
      <c r="AG34" s="3340"/>
      <c r="AH34" s="3340"/>
      <c r="AI34" s="3340"/>
      <c r="AJ34" s="3340"/>
      <c r="AK34" s="3340"/>
      <c r="AL34" s="3340"/>
      <c r="AM34" s="3340"/>
      <c r="AN34" s="3340"/>
      <c r="AO34" s="3340"/>
      <c r="AP34" s="3340"/>
      <c r="AQ34" s="3340"/>
      <c r="AR34" s="3340"/>
      <c r="AS34" s="3340"/>
    </row>
    <row r="35" spans="1:45">
      <c r="A35" s="3340"/>
      <c r="B35" s="3340"/>
      <c r="C35" s="3340"/>
      <c r="D35" s="3340"/>
      <c r="E35" s="3340"/>
      <c r="F35" s="3340"/>
      <c r="G35" s="3340"/>
      <c r="H35" s="3340"/>
      <c r="I35" s="3340"/>
      <c r="J35" s="3340"/>
      <c r="K35" s="3340"/>
      <c r="L35" s="3340"/>
      <c r="M35" s="3340"/>
      <c r="N35" s="3340"/>
      <c r="O35" s="3340"/>
      <c r="P35" s="3340"/>
      <c r="Q35" s="3340"/>
      <c r="R35" s="3340"/>
      <c r="S35" s="3340"/>
      <c r="T35" s="3340"/>
      <c r="U35" s="3340"/>
      <c r="V35" s="3340"/>
      <c r="W35" s="3340"/>
      <c r="X35" s="3340"/>
      <c r="Y35" s="3340"/>
      <c r="Z35" s="3340"/>
      <c r="AA35" s="3340"/>
      <c r="AB35" s="3340"/>
      <c r="AC35" s="3340"/>
      <c r="AD35" s="3340"/>
      <c r="AE35" s="3340"/>
      <c r="AF35" s="3340"/>
      <c r="AG35" s="3340"/>
      <c r="AH35" s="3340"/>
      <c r="AI35" s="3340"/>
      <c r="AJ35" s="3340"/>
      <c r="AK35" s="3340"/>
      <c r="AL35" s="3340"/>
      <c r="AM35" s="3340"/>
      <c r="AN35" s="3340"/>
      <c r="AO35" s="3340"/>
      <c r="AP35" s="3340"/>
      <c r="AQ35" s="3340"/>
      <c r="AR35" s="3340"/>
      <c r="AS35" s="3340"/>
    </row>
    <row r="36" spans="1:45">
      <c r="A36" s="3340"/>
      <c r="B36" s="3340"/>
      <c r="C36" s="3340"/>
      <c r="D36" s="3340"/>
      <c r="E36" s="3340"/>
      <c r="F36" s="3340"/>
      <c r="G36" s="3340"/>
      <c r="H36" s="3340"/>
      <c r="I36" s="3340"/>
      <c r="J36" s="3340"/>
      <c r="K36" s="3340"/>
      <c r="L36" s="3340"/>
      <c r="M36" s="3340"/>
      <c r="N36" s="3340"/>
      <c r="O36" s="3340"/>
      <c r="P36" s="3340"/>
      <c r="Q36" s="3340"/>
      <c r="R36" s="3340"/>
      <c r="S36" s="3340"/>
      <c r="T36" s="3340"/>
      <c r="U36" s="3340"/>
      <c r="V36" s="3340"/>
      <c r="W36" s="3340"/>
      <c r="X36" s="3340"/>
      <c r="Y36" s="3340"/>
      <c r="Z36" s="3340"/>
      <c r="AA36" s="3340"/>
      <c r="AB36" s="3340"/>
      <c r="AC36" s="3340"/>
      <c r="AD36" s="3340"/>
      <c r="AE36" s="3340"/>
      <c r="AF36" s="3340"/>
      <c r="AG36" s="3340"/>
      <c r="AH36" s="3340"/>
      <c r="AI36" s="3340"/>
      <c r="AJ36" s="3340"/>
      <c r="AK36" s="3340"/>
      <c r="AL36" s="3340"/>
      <c r="AM36" s="3340"/>
      <c r="AN36" s="3340"/>
      <c r="AO36" s="3340"/>
      <c r="AP36" s="3340"/>
      <c r="AQ36" s="3340"/>
      <c r="AR36" s="3340"/>
      <c r="AS36" s="3340"/>
    </row>
    <row r="37" spans="1:45">
      <c r="A37" s="3340"/>
      <c r="B37" s="3340"/>
      <c r="C37" s="3340"/>
      <c r="D37" s="3340"/>
      <c r="E37" s="3340"/>
      <c r="F37" s="3340"/>
      <c r="G37" s="3340"/>
      <c r="H37" s="3340"/>
      <c r="I37" s="3340"/>
      <c r="J37" s="3340"/>
      <c r="K37" s="3340"/>
      <c r="L37" s="3340"/>
      <c r="M37" s="3340"/>
      <c r="N37" s="3340"/>
      <c r="O37" s="3340"/>
      <c r="P37" s="3340"/>
      <c r="Q37" s="3340"/>
      <c r="R37" s="3340"/>
      <c r="S37" s="3340"/>
      <c r="T37" s="3340"/>
      <c r="U37" s="3340"/>
      <c r="V37" s="3340"/>
      <c r="W37" s="3340"/>
      <c r="X37" s="3340"/>
      <c r="Y37" s="3340"/>
      <c r="Z37" s="3340"/>
      <c r="AA37" s="3340"/>
      <c r="AB37" s="3340"/>
      <c r="AC37" s="3340"/>
      <c r="AD37" s="3340"/>
      <c r="AE37" s="3340"/>
      <c r="AF37" s="3340"/>
      <c r="AG37" s="3340"/>
      <c r="AH37" s="3340"/>
      <c r="AI37" s="3340"/>
      <c r="AJ37" s="3340"/>
      <c r="AK37" s="3340"/>
      <c r="AL37" s="3340"/>
      <c r="AM37" s="3340"/>
      <c r="AN37" s="3340"/>
      <c r="AO37" s="3340"/>
      <c r="AP37" s="3340"/>
      <c r="AQ37" s="3340"/>
      <c r="AR37" s="3340"/>
      <c r="AS37" s="3340"/>
    </row>
    <row r="38" spans="1:45">
      <c r="A38" s="3340"/>
      <c r="B38" s="3340"/>
      <c r="C38" s="3340"/>
      <c r="D38" s="3340"/>
      <c r="E38" s="3340"/>
      <c r="F38" s="3340"/>
      <c r="G38" s="3340"/>
      <c r="H38" s="3340"/>
      <c r="I38" s="3340"/>
      <c r="J38" s="3340"/>
      <c r="K38" s="3340"/>
      <c r="L38" s="3340"/>
      <c r="M38" s="3340"/>
      <c r="N38" s="3340"/>
      <c r="O38" s="3340"/>
      <c r="P38" s="3340"/>
      <c r="Q38" s="3340"/>
      <c r="R38" s="3340"/>
      <c r="S38" s="3340"/>
      <c r="T38" s="3340"/>
      <c r="U38" s="3340"/>
      <c r="V38" s="3340"/>
      <c r="W38" s="3340"/>
      <c r="X38" s="3340"/>
      <c r="Y38" s="3340"/>
      <c r="Z38" s="3340"/>
      <c r="AA38" s="3340"/>
      <c r="AB38" s="3340"/>
      <c r="AC38" s="3340"/>
      <c r="AD38" s="3340"/>
      <c r="AE38" s="3340"/>
      <c r="AF38" s="3340"/>
      <c r="AG38" s="3340"/>
      <c r="AH38" s="3340"/>
      <c r="AI38" s="3340"/>
      <c r="AJ38" s="3340"/>
      <c r="AK38" s="3340"/>
      <c r="AL38" s="3340"/>
      <c r="AM38" s="3340"/>
      <c r="AN38" s="3340"/>
      <c r="AO38" s="3340"/>
      <c r="AP38" s="3340"/>
      <c r="AQ38" s="3340"/>
      <c r="AR38" s="3340"/>
      <c r="AS38" s="3340"/>
    </row>
    <row r="39" spans="1:45">
      <c r="A39" s="3340"/>
      <c r="B39" s="3340"/>
      <c r="C39" s="3340"/>
      <c r="D39" s="3340"/>
      <c r="E39" s="3340"/>
      <c r="F39" s="3340"/>
      <c r="G39" s="3340"/>
      <c r="H39" s="3340"/>
      <c r="I39" s="3340"/>
      <c r="J39" s="3340"/>
      <c r="K39" s="3340"/>
      <c r="L39" s="3340"/>
      <c r="M39" s="3340"/>
      <c r="N39" s="3340"/>
      <c r="O39" s="3340"/>
      <c r="P39" s="3340"/>
      <c r="Q39" s="3340"/>
      <c r="R39" s="3340"/>
      <c r="S39" s="3340"/>
      <c r="T39" s="3340"/>
      <c r="U39" s="3340"/>
      <c r="V39" s="3340"/>
      <c r="W39" s="3340"/>
      <c r="X39" s="3340"/>
      <c r="Y39" s="3340"/>
      <c r="Z39" s="3340"/>
      <c r="AA39" s="3340"/>
      <c r="AB39" s="3340"/>
      <c r="AC39" s="3340"/>
      <c r="AD39" s="3340"/>
      <c r="AE39" s="3340"/>
      <c r="AF39" s="3340"/>
      <c r="AG39" s="3340"/>
      <c r="AH39" s="3340"/>
      <c r="AI39" s="3340"/>
      <c r="AJ39" s="3340"/>
      <c r="AK39" s="3340"/>
      <c r="AL39" s="3340"/>
      <c r="AM39" s="3340"/>
      <c r="AN39" s="3340"/>
      <c r="AO39" s="3340"/>
      <c r="AP39" s="3340"/>
      <c r="AQ39" s="3340"/>
      <c r="AR39" s="3340"/>
      <c r="AS39" s="3340"/>
    </row>
    <row r="40" spans="1:45">
      <c r="A40" s="3340"/>
      <c r="B40" s="3340"/>
      <c r="C40" s="3340"/>
      <c r="D40" s="3340"/>
      <c r="E40" s="3340"/>
      <c r="F40" s="3340"/>
      <c r="G40" s="3340"/>
      <c r="H40" s="3340"/>
      <c r="I40" s="3340"/>
      <c r="J40" s="3340"/>
      <c r="K40" s="3340"/>
      <c r="L40" s="3340"/>
      <c r="M40" s="3340"/>
      <c r="N40" s="3340"/>
      <c r="O40" s="3340"/>
      <c r="P40" s="3340"/>
      <c r="Q40" s="3340"/>
      <c r="R40" s="3340"/>
      <c r="S40" s="3340"/>
      <c r="T40" s="3340"/>
      <c r="U40" s="3340"/>
      <c r="V40" s="3340"/>
      <c r="W40" s="3340"/>
      <c r="X40" s="3340"/>
      <c r="Y40" s="3340"/>
      <c r="Z40" s="3340"/>
      <c r="AA40" s="3340"/>
      <c r="AB40" s="3340"/>
      <c r="AC40" s="3340"/>
      <c r="AD40" s="3340"/>
      <c r="AE40" s="3340"/>
      <c r="AF40" s="3340"/>
      <c r="AG40" s="3340"/>
      <c r="AH40" s="3340"/>
      <c r="AI40" s="3340"/>
      <c r="AJ40" s="3340"/>
      <c r="AK40" s="3340"/>
      <c r="AL40" s="3340"/>
      <c r="AM40" s="3340"/>
      <c r="AN40" s="3340"/>
      <c r="AO40" s="3340"/>
      <c r="AP40" s="3340"/>
      <c r="AQ40" s="3340"/>
      <c r="AR40" s="3340"/>
      <c r="AS40" s="3340"/>
    </row>
    <row r="41" spans="1:45">
      <c r="A41" s="3340"/>
      <c r="B41" s="3340"/>
      <c r="C41" s="3340"/>
      <c r="D41" s="3340"/>
      <c r="E41" s="3340"/>
      <c r="F41" s="3340"/>
      <c r="G41" s="3340"/>
      <c r="H41" s="3340"/>
      <c r="I41" s="3340"/>
      <c r="J41" s="3340"/>
      <c r="K41" s="3340"/>
      <c r="L41" s="3340"/>
      <c r="M41" s="3340"/>
      <c r="N41" s="3340"/>
      <c r="O41" s="3340"/>
      <c r="P41" s="3340"/>
      <c r="Q41" s="3340"/>
      <c r="R41" s="3340"/>
      <c r="S41" s="3340"/>
      <c r="T41" s="3340"/>
      <c r="U41" s="3340"/>
      <c r="V41" s="3340"/>
      <c r="W41" s="3340"/>
      <c r="X41" s="3340"/>
      <c r="Y41" s="3340"/>
      <c r="Z41" s="3340"/>
      <c r="AA41" s="3340"/>
      <c r="AB41" s="3340"/>
      <c r="AC41" s="3340"/>
      <c r="AD41" s="3340"/>
      <c r="AE41" s="3340"/>
      <c r="AF41" s="3340"/>
      <c r="AG41" s="3340"/>
      <c r="AH41" s="3340"/>
      <c r="AI41" s="3340"/>
      <c r="AJ41" s="3340"/>
      <c r="AK41" s="3340"/>
      <c r="AL41" s="3340"/>
      <c r="AM41" s="3340"/>
      <c r="AN41" s="3340"/>
      <c r="AO41" s="3340"/>
      <c r="AP41" s="3340"/>
      <c r="AQ41" s="3340"/>
      <c r="AR41" s="3340"/>
      <c r="AS41" s="3340"/>
    </row>
    <row r="42" spans="1:45">
      <c r="A42" s="3340"/>
      <c r="B42" s="3340"/>
      <c r="C42" s="3340"/>
      <c r="D42" s="3340"/>
      <c r="E42" s="3340"/>
      <c r="F42" s="3340"/>
      <c r="G42" s="3340"/>
      <c r="H42" s="3340"/>
      <c r="I42" s="3340"/>
      <c r="J42" s="3340"/>
      <c r="K42" s="3340"/>
      <c r="L42" s="3340"/>
      <c r="M42" s="3340"/>
      <c r="N42" s="3340"/>
      <c r="O42" s="3340"/>
      <c r="P42" s="3340"/>
      <c r="Q42" s="3340"/>
      <c r="R42" s="3340"/>
      <c r="S42" s="3340"/>
      <c r="T42" s="3340"/>
      <c r="U42" s="3340"/>
      <c r="V42" s="3340"/>
      <c r="W42" s="3340"/>
      <c r="X42" s="3340"/>
      <c r="Y42" s="3340"/>
      <c r="Z42" s="3340"/>
      <c r="AA42" s="3340"/>
      <c r="AB42" s="3340"/>
      <c r="AC42" s="3340"/>
      <c r="AD42" s="3340"/>
      <c r="AE42" s="3340"/>
      <c r="AF42" s="3340"/>
      <c r="AG42" s="3340"/>
      <c r="AH42" s="3340"/>
      <c r="AI42" s="3340"/>
      <c r="AJ42" s="3340"/>
      <c r="AK42" s="3340"/>
      <c r="AL42" s="3340"/>
      <c r="AM42" s="3340"/>
      <c r="AN42" s="3340"/>
      <c r="AO42" s="3340"/>
      <c r="AP42" s="3340"/>
      <c r="AQ42" s="3340"/>
      <c r="AR42" s="3340"/>
      <c r="AS42" s="3340"/>
    </row>
    <row r="43" spans="1:45">
      <c r="A43" s="3340"/>
      <c r="B43" s="3340"/>
      <c r="C43" s="3340"/>
      <c r="D43" s="3340"/>
      <c r="E43" s="3340"/>
      <c r="F43" s="3340"/>
      <c r="G43" s="3340"/>
      <c r="H43" s="3340"/>
      <c r="I43" s="3340"/>
      <c r="J43" s="3340"/>
      <c r="K43" s="3340"/>
      <c r="L43" s="3340"/>
      <c r="M43" s="3340"/>
      <c r="N43" s="3340"/>
      <c r="O43" s="3340"/>
      <c r="P43" s="3340"/>
      <c r="Q43" s="3340"/>
      <c r="R43" s="3340"/>
      <c r="S43" s="3340"/>
      <c r="T43" s="3340"/>
      <c r="U43" s="3340"/>
      <c r="V43" s="3340"/>
      <c r="W43" s="3340"/>
      <c r="X43" s="3340"/>
      <c r="Y43" s="3340"/>
      <c r="Z43" s="3340"/>
      <c r="AA43" s="3340"/>
      <c r="AB43" s="3340"/>
      <c r="AC43" s="3340"/>
      <c r="AD43" s="3340"/>
      <c r="AE43" s="3340"/>
      <c r="AF43" s="3340"/>
      <c r="AG43" s="3340"/>
      <c r="AH43" s="3340"/>
      <c r="AI43" s="3340"/>
      <c r="AJ43" s="3340"/>
      <c r="AK43" s="3340"/>
      <c r="AL43" s="3340"/>
      <c r="AM43" s="3340"/>
      <c r="AN43" s="3340"/>
      <c r="AO43" s="3340"/>
      <c r="AP43" s="3340"/>
      <c r="AQ43" s="3340"/>
      <c r="AR43" s="3340"/>
      <c r="AS43" s="3340"/>
    </row>
    <row r="44" spans="1:45">
      <c r="A44" s="3340"/>
      <c r="B44" s="3340"/>
      <c r="C44" s="3340"/>
      <c r="D44" s="3340"/>
      <c r="E44" s="3340"/>
      <c r="F44" s="3340"/>
      <c r="G44" s="3340"/>
      <c r="H44" s="3340"/>
      <c r="I44" s="3340"/>
      <c r="J44" s="3340"/>
      <c r="K44" s="3340"/>
      <c r="L44" s="3340"/>
      <c r="M44" s="3340"/>
      <c r="N44" s="3340"/>
      <c r="O44" s="3340"/>
      <c r="P44" s="3340"/>
      <c r="Q44" s="3340"/>
      <c r="R44" s="3340"/>
      <c r="S44" s="3340"/>
      <c r="T44" s="3340"/>
      <c r="U44" s="3340"/>
      <c r="V44" s="3340"/>
      <c r="W44" s="3340"/>
      <c r="X44" s="3340"/>
      <c r="Y44" s="3340"/>
      <c r="Z44" s="3340"/>
      <c r="AA44" s="3340"/>
      <c r="AB44" s="3340"/>
      <c r="AC44" s="3340"/>
      <c r="AD44" s="3340"/>
      <c r="AE44" s="3340"/>
      <c r="AF44" s="3340"/>
      <c r="AG44" s="3340"/>
      <c r="AH44" s="3340"/>
      <c r="AI44" s="3340"/>
      <c r="AJ44" s="3340"/>
      <c r="AK44" s="3340"/>
      <c r="AL44" s="3340"/>
      <c r="AM44" s="3340"/>
      <c r="AN44" s="3340"/>
      <c r="AO44" s="3340"/>
      <c r="AP44" s="3340"/>
      <c r="AQ44" s="3340"/>
      <c r="AR44" s="3340"/>
      <c r="AS44" s="3340"/>
    </row>
    <row r="45" spans="1:45">
      <c r="A45" s="3340"/>
      <c r="B45" s="3340"/>
      <c r="C45" s="3340"/>
      <c r="D45" s="3340"/>
      <c r="E45" s="3340"/>
      <c r="F45" s="3340"/>
      <c r="G45" s="3340"/>
      <c r="H45" s="3340"/>
      <c r="I45" s="3340"/>
      <c r="J45" s="3340"/>
      <c r="K45" s="3340"/>
      <c r="L45" s="3340"/>
      <c r="M45" s="3340"/>
      <c r="N45" s="3340"/>
      <c r="O45" s="3340"/>
      <c r="P45" s="3340"/>
      <c r="Q45" s="3340"/>
      <c r="R45" s="3340"/>
      <c r="S45" s="3340"/>
      <c r="T45" s="3340"/>
      <c r="U45" s="3340"/>
      <c r="V45" s="3340"/>
      <c r="W45" s="3340"/>
      <c r="X45" s="3340"/>
      <c r="Y45" s="3340"/>
      <c r="Z45" s="3340"/>
      <c r="AA45" s="3340"/>
      <c r="AB45" s="3340"/>
      <c r="AC45" s="3340"/>
      <c r="AD45" s="3340"/>
      <c r="AE45" s="3340"/>
      <c r="AF45" s="3340"/>
      <c r="AG45" s="3340"/>
      <c r="AH45" s="3340"/>
      <c r="AI45" s="3340"/>
      <c r="AJ45" s="3340"/>
      <c r="AK45" s="3340"/>
      <c r="AL45" s="3340"/>
      <c r="AM45" s="3340"/>
      <c r="AN45" s="3340"/>
      <c r="AO45" s="3340"/>
      <c r="AP45" s="3340"/>
      <c r="AQ45" s="3340"/>
      <c r="AR45" s="3340"/>
      <c r="AS45" s="3340"/>
    </row>
    <row r="46" spans="1:45">
      <c r="A46" s="3340"/>
      <c r="B46" s="3340"/>
      <c r="C46" s="3340"/>
      <c r="D46" s="3340"/>
      <c r="E46" s="3340"/>
      <c r="F46" s="3340"/>
      <c r="G46" s="3340"/>
      <c r="H46" s="3340"/>
      <c r="I46" s="3340"/>
      <c r="J46" s="3340"/>
      <c r="K46" s="3340"/>
      <c r="L46" s="3340"/>
      <c r="M46" s="3340"/>
      <c r="N46" s="3340"/>
      <c r="O46" s="3340"/>
      <c r="P46" s="3340"/>
      <c r="Q46" s="3340"/>
      <c r="R46" s="3340"/>
      <c r="S46" s="3340"/>
      <c r="T46" s="3340"/>
      <c r="U46" s="3340"/>
      <c r="V46" s="3340"/>
      <c r="W46" s="3340"/>
      <c r="X46" s="3340"/>
      <c r="Y46" s="3340"/>
      <c r="Z46" s="3340"/>
      <c r="AA46" s="3340"/>
      <c r="AB46" s="3340"/>
      <c r="AC46" s="3340"/>
      <c r="AD46" s="3340"/>
      <c r="AE46" s="3340"/>
      <c r="AF46" s="3340"/>
      <c r="AG46" s="3340"/>
      <c r="AH46" s="3340"/>
      <c r="AI46" s="3340"/>
      <c r="AJ46" s="3340"/>
      <c r="AK46" s="3340"/>
      <c r="AL46" s="3340"/>
      <c r="AM46" s="3340"/>
      <c r="AN46" s="3340"/>
      <c r="AO46" s="3340"/>
      <c r="AP46" s="3340"/>
      <c r="AQ46" s="3340"/>
      <c r="AR46" s="3340"/>
      <c r="AS46" s="3340"/>
    </row>
    <row r="47" spans="1:45">
      <c r="A47" s="3340"/>
      <c r="B47" s="3340"/>
      <c r="C47" s="3340"/>
      <c r="D47" s="3340"/>
      <c r="E47" s="3340"/>
      <c r="F47" s="3340"/>
      <c r="G47" s="3340"/>
      <c r="H47" s="3340"/>
      <c r="I47" s="3340"/>
      <c r="J47" s="3340"/>
      <c r="K47" s="3340"/>
      <c r="L47" s="3340"/>
      <c r="M47" s="3340"/>
      <c r="N47" s="3340"/>
      <c r="O47" s="3340"/>
      <c r="P47" s="3340"/>
      <c r="Q47" s="3340"/>
      <c r="R47" s="3340"/>
      <c r="S47" s="3340"/>
      <c r="T47" s="3340"/>
      <c r="U47" s="3340"/>
      <c r="V47" s="3340"/>
      <c r="W47" s="3340"/>
      <c r="X47" s="3340"/>
      <c r="Y47" s="3340"/>
      <c r="Z47" s="3340"/>
      <c r="AA47" s="3340"/>
      <c r="AB47" s="3340"/>
      <c r="AC47" s="3340"/>
      <c r="AD47" s="3340"/>
      <c r="AE47" s="3340"/>
      <c r="AF47" s="3340"/>
      <c r="AG47" s="3340"/>
      <c r="AH47" s="3340"/>
      <c r="AI47" s="3340"/>
      <c r="AJ47" s="3340"/>
      <c r="AK47" s="3340"/>
      <c r="AL47" s="3340"/>
      <c r="AM47" s="3340"/>
      <c r="AN47" s="3340"/>
      <c r="AO47" s="3340"/>
      <c r="AP47" s="3340"/>
      <c r="AQ47" s="3340"/>
      <c r="AR47" s="3340"/>
      <c r="AS47" s="3340"/>
    </row>
    <row r="48" spans="1:45">
      <c r="A48" s="3340"/>
      <c r="B48" s="3340"/>
      <c r="C48" s="3340"/>
      <c r="D48" s="3340"/>
      <c r="E48" s="3340"/>
      <c r="F48" s="3340"/>
      <c r="G48" s="3340"/>
      <c r="H48" s="3340"/>
      <c r="I48" s="3340"/>
      <c r="J48" s="3340"/>
      <c r="K48" s="3340"/>
      <c r="L48" s="3340"/>
      <c r="M48" s="3340"/>
      <c r="N48" s="3340"/>
      <c r="O48" s="3340"/>
      <c r="P48" s="3340"/>
      <c r="Q48" s="3340"/>
      <c r="R48" s="3340"/>
      <c r="S48" s="3340"/>
      <c r="T48" s="3340"/>
      <c r="U48" s="3340"/>
      <c r="V48" s="3340"/>
      <c r="W48" s="3340"/>
      <c r="X48" s="3340"/>
      <c r="Y48" s="3340"/>
      <c r="Z48" s="3340"/>
      <c r="AA48" s="3340"/>
      <c r="AB48" s="3340"/>
      <c r="AC48" s="3340"/>
      <c r="AD48" s="3340"/>
      <c r="AE48" s="3340"/>
      <c r="AF48" s="3340"/>
      <c r="AG48" s="3340"/>
      <c r="AH48" s="3340"/>
      <c r="AI48" s="3340"/>
      <c r="AJ48" s="3340"/>
      <c r="AK48" s="3340"/>
      <c r="AL48" s="3340"/>
      <c r="AM48" s="3340"/>
      <c r="AN48" s="3340"/>
      <c r="AO48" s="3340"/>
      <c r="AP48" s="3340"/>
      <c r="AQ48" s="3340"/>
      <c r="AR48" s="3340"/>
      <c r="AS48" s="3340"/>
    </row>
    <row r="49" spans="1:45">
      <c r="A49" s="3340"/>
      <c r="B49" s="3340"/>
      <c r="C49" s="3340"/>
      <c r="D49" s="3340"/>
      <c r="E49" s="3340"/>
      <c r="F49" s="3340"/>
      <c r="G49" s="3340"/>
      <c r="H49" s="3340"/>
      <c r="I49" s="3340"/>
      <c r="J49" s="3340"/>
      <c r="K49" s="3340"/>
      <c r="L49" s="3340"/>
      <c r="M49" s="3340"/>
      <c r="N49" s="3340"/>
      <c r="O49" s="3340"/>
      <c r="P49" s="3340"/>
      <c r="Q49" s="3340"/>
      <c r="R49" s="3340"/>
      <c r="S49" s="3340"/>
      <c r="T49" s="3340"/>
      <c r="U49" s="3340"/>
      <c r="V49" s="3340"/>
      <c r="W49" s="3340"/>
      <c r="X49" s="3340"/>
      <c r="Y49" s="3340"/>
      <c r="Z49" s="3340"/>
      <c r="AA49" s="3340"/>
      <c r="AB49" s="3340"/>
      <c r="AC49" s="3340"/>
      <c r="AD49" s="3340"/>
      <c r="AE49" s="3340"/>
      <c r="AF49" s="3340"/>
      <c r="AG49" s="3340"/>
      <c r="AH49" s="3340"/>
      <c r="AI49" s="3340"/>
      <c r="AJ49" s="3340"/>
      <c r="AK49" s="3340"/>
      <c r="AL49" s="3340"/>
      <c r="AM49" s="3340"/>
      <c r="AN49" s="3340"/>
      <c r="AO49" s="3340"/>
      <c r="AP49" s="3340"/>
      <c r="AQ49" s="3340"/>
      <c r="AR49" s="3340"/>
      <c r="AS49" s="3340"/>
    </row>
    <row r="50" spans="1:45">
      <c r="A50" s="3340"/>
      <c r="B50" s="3340"/>
      <c r="C50" s="3340"/>
      <c r="D50" s="3340"/>
      <c r="E50" s="3340"/>
      <c r="F50" s="3340"/>
      <c r="G50" s="3340"/>
      <c r="H50" s="3340"/>
      <c r="I50" s="3340"/>
      <c r="J50" s="3340"/>
      <c r="K50" s="3340"/>
      <c r="L50" s="3340"/>
      <c r="M50" s="3340"/>
      <c r="N50" s="3340"/>
      <c r="O50" s="3340"/>
      <c r="P50" s="3340"/>
      <c r="Q50" s="3340"/>
      <c r="R50" s="3340"/>
      <c r="S50" s="3340"/>
      <c r="T50" s="3340"/>
      <c r="U50" s="3340"/>
      <c r="V50" s="3340"/>
      <c r="W50" s="3340"/>
      <c r="X50" s="3340"/>
      <c r="Y50" s="3340"/>
      <c r="Z50" s="3340"/>
      <c r="AA50" s="3340"/>
      <c r="AB50" s="3340"/>
      <c r="AC50" s="3340"/>
      <c r="AD50" s="3340"/>
      <c r="AE50" s="3340"/>
      <c r="AF50" s="3340"/>
      <c r="AG50" s="3340"/>
      <c r="AH50" s="3340"/>
      <c r="AI50" s="3340"/>
      <c r="AJ50" s="3340"/>
      <c r="AK50" s="3340"/>
      <c r="AL50" s="3340"/>
      <c r="AM50" s="3340"/>
      <c r="AN50" s="3340"/>
      <c r="AO50" s="3340"/>
      <c r="AP50" s="3340"/>
      <c r="AQ50" s="3340"/>
      <c r="AR50" s="3340"/>
      <c r="AS50" s="3340"/>
    </row>
    <row r="51" spans="1:45">
      <c r="A51" s="3340"/>
      <c r="B51" s="3340"/>
      <c r="C51" s="3340"/>
      <c r="D51" s="3340"/>
      <c r="E51" s="3340"/>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3340"/>
      <c r="AB51" s="3340"/>
      <c r="AC51" s="3340"/>
      <c r="AD51" s="3340"/>
      <c r="AE51" s="3340"/>
      <c r="AF51" s="3340"/>
      <c r="AG51" s="3340"/>
      <c r="AH51" s="3340"/>
      <c r="AI51" s="3340"/>
      <c r="AJ51" s="3340"/>
      <c r="AK51" s="3340"/>
      <c r="AL51" s="3340"/>
      <c r="AM51" s="3340"/>
      <c r="AN51" s="3340"/>
      <c r="AO51" s="3340"/>
      <c r="AP51" s="3340"/>
      <c r="AQ51" s="3340"/>
      <c r="AR51" s="3340"/>
      <c r="AS51" s="3340"/>
    </row>
    <row r="52" spans="1:45">
      <c r="A52" s="3340"/>
      <c r="B52" s="3340"/>
      <c r="C52" s="3340"/>
      <c r="D52" s="3340"/>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3340"/>
      <c r="AB52" s="3340"/>
      <c r="AC52" s="3340"/>
      <c r="AD52" s="3340"/>
      <c r="AE52" s="3340"/>
      <c r="AF52" s="3340"/>
      <c r="AG52" s="3340"/>
      <c r="AH52" s="3340"/>
      <c r="AI52" s="3340"/>
      <c r="AJ52" s="3340"/>
      <c r="AK52" s="3340"/>
      <c r="AL52" s="3340"/>
      <c r="AM52" s="3340"/>
      <c r="AN52" s="3340"/>
      <c r="AO52" s="3340"/>
      <c r="AP52" s="3340"/>
      <c r="AQ52" s="3340"/>
      <c r="AR52" s="3340"/>
      <c r="AS52" s="3340"/>
    </row>
    <row r="53" spans="1:45">
      <c r="A53" s="3340"/>
      <c r="B53" s="3340"/>
      <c r="C53" s="3340"/>
      <c r="D53" s="3340"/>
      <c r="E53" s="3340"/>
      <c r="F53" s="3340"/>
      <c r="G53" s="3340"/>
      <c r="H53" s="3340"/>
      <c r="I53" s="3340"/>
      <c r="J53" s="3340"/>
      <c r="K53" s="3340"/>
      <c r="L53" s="3340"/>
      <c r="M53" s="3340"/>
      <c r="N53" s="3340"/>
      <c r="O53" s="3340"/>
      <c r="P53" s="3340"/>
      <c r="Q53" s="3340"/>
      <c r="R53" s="3340"/>
      <c r="S53" s="3340"/>
      <c r="T53" s="3340"/>
      <c r="U53" s="3340"/>
      <c r="V53" s="3340"/>
      <c r="W53" s="3340"/>
      <c r="X53" s="3340"/>
      <c r="Y53" s="3340"/>
      <c r="Z53" s="3340"/>
      <c r="AA53" s="3340"/>
      <c r="AB53" s="3340"/>
      <c r="AC53" s="3340"/>
      <c r="AD53" s="3340"/>
      <c r="AE53" s="3340"/>
      <c r="AF53" s="3340"/>
      <c r="AG53" s="3340"/>
      <c r="AH53" s="3340"/>
      <c r="AI53" s="3340"/>
      <c r="AJ53" s="3340"/>
      <c r="AK53" s="3340"/>
      <c r="AL53" s="3340"/>
      <c r="AM53" s="3340"/>
      <c r="AN53" s="3340"/>
      <c r="AO53" s="3340"/>
      <c r="AP53" s="3340"/>
      <c r="AQ53" s="3340"/>
      <c r="AR53" s="3340"/>
      <c r="AS53" s="3340"/>
    </row>
    <row r="54" spans="1:45">
      <c r="A54" s="3340"/>
      <c r="B54" s="3340"/>
      <c r="C54" s="3340"/>
      <c r="D54" s="3340"/>
      <c r="E54" s="3340"/>
      <c r="F54" s="3340"/>
      <c r="G54" s="3340"/>
      <c r="H54" s="3340"/>
      <c r="I54" s="3340"/>
      <c r="J54" s="3340"/>
      <c r="K54" s="3340"/>
      <c r="L54" s="3340"/>
      <c r="M54" s="3340"/>
      <c r="N54" s="3340"/>
      <c r="O54" s="3340"/>
      <c r="P54" s="3340"/>
      <c r="Q54" s="3340"/>
      <c r="R54" s="3340"/>
      <c r="S54" s="3340"/>
      <c r="T54" s="3340"/>
      <c r="U54" s="3340"/>
      <c r="V54" s="3340"/>
      <c r="W54" s="3340"/>
      <c r="X54" s="3340"/>
      <c r="Y54" s="3340"/>
      <c r="Z54" s="3340"/>
      <c r="AA54" s="3340"/>
      <c r="AB54" s="3340"/>
      <c r="AC54" s="3340"/>
      <c r="AD54" s="3340"/>
      <c r="AE54" s="3340"/>
      <c r="AF54" s="3340"/>
      <c r="AG54" s="3340"/>
      <c r="AH54" s="3340"/>
      <c r="AI54" s="3340"/>
      <c r="AJ54" s="3340"/>
      <c r="AK54" s="3340"/>
      <c r="AL54" s="3340"/>
      <c r="AM54" s="3340"/>
      <c r="AN54" s="3340"/>
      <c r="AO54" s="3340"/>
      <c r="AP54" s="3340"/>
      <c r="AQ54" s="3340"/>
      <c r="AR54" s="3340"/>
      <c r="AS54" s="3340"/>
    </row>
    <row r="55" spans="1:45">
      <c r="A55" s="3340"/>
      <c r="B55" s="3340"/>
      <c r="C55" s="3340"/>
      <c r="D55" s="3340"/>
      <c r="E55" s="3340"/>
      <c r="F55" s="3340"/>
      <c r="G55" s="3340"/>
      <c r="H55" s="3340"/>
      <c r="I55" s="3340"/>
      <c r="J55" s="3340"/>
      <c r="K55" s="3340"/>
      <c r="L55" s="3340"/>
      <c r="M55" s="3340"/>
      <c r="N55" s="3340"/>
      <c r="O55" s="3340"/>
      <c r="P55" s="3340"/>
      <c r="Q55" s="3340"/>
      <c r="R55" s="3340"/>
      <c r="S55" s="3340"/>
      <c r="T55" s="3340"/>
      <c r="U55" s="3340"/>
      <c r="V55" s="3340"/>
      <c r="W55" s="3340"/>
      <c r="X55" s="3340"/>
      <c r="Y55" s="3340"/>
      <c r="Z55" s="3340"/>
      <c r="AA55" s="3340"/>
      <c r="AB55" s="3340"/>
      <c r="AC55" s="3340"/>
      <c r="AD55" s="3340"/>
      <c r="AE55" s="3340"/>
      <c r="AF55" s="3340"/>
      <c r="AG55" s="3340"/>
      <c r="AH55" s="3340"/>
      <c r="AI55" s="3340"/>
      <c r="AJ55" s="3340"/>
      <c r="AK55" s="3340"/>
      <c r="AL55" s="3340"/>
      <c r="AM55" s="3340"/>
      <c r="AN55" s="3340"/>
      <c r="AO55" s="3340"/>
      <c r="AP55" s="3340"/>
      <c r="AQ55" s="3340"/>
      <c r="AR55" s="3340"/>
      <c r="AS55" s="3340"/>
    </row>
    <row r="56" spans="1:45">
      <c r="A56" s="3340"/>
      <c r="B56" s="3340"/>
      <c r="C56" s="3340"/>
      <c r="D56" s="3340"/>
      <c r="E56" s="3340"/>
      <c r="F56" s="3340"/>
      <c r="G56" s="3340"/>
      <c r="H56" s="3340"/>
      <c r="I56" s="3340"/>
      <c r="J56" s="3340"/>
      <c r="K56" s="3340"/>
      <c r="L56" s="3340"/>
      <c r="M56" s="3340"/>
      <c r="N56" s="3340"/>
      <c r="O56" s="3340"/>
      <c r="P56" s="3340"/>
      <c r="Q56" s="3340"/>
      <c r="R56" s="3340"/>
      <c r="S56" s="3340"/>
      <c r="T56" s="3340"/>
      <c r="U56" s="3340"/>
      <c r="V56" s="3340"/>
      <c r="W56" s="3340"/>
      <c r="X56" s="3340"/>
      <c r="Y56" s="3340"/>
      <c r="Z56" s="3340"/>
      <c r="AA56" s="3340"/>
      <c r="AB56" s="3340"/>
      <c r="AC56" s="3340"/>
      <c r="AD56" s="3340"/>
      <c r="AE56" s="3340"/>
      <c r="AF56" s="3340"/>
      <c r="AG56" s="3340"/>
      <c r="AH56" s="3340"/>
      <c r="AI56" s="3340"/>
      <c r="AJ56" s="3340"/>
      <c r="AK56" s="3340"/>
      <c r="AL56" s="3340"/>
      <c r="AM56" s="3340"/>
      <c r="AN56" s="3340"/>
      <c r="AO56" s="3340"/>
      <c r="AP56" s="3340"/>
      <c r="AQ56" s="3340"/>
      <c r="AR56" s="3340"/>
      <c r="AS56" s="3340"/>
    </row>
    <row r="57" spans="1:45">
      <c r="A57" s="3340"/>
      <c r="B57" s="3340"/>
      <c r="C57" s="3340"/>
      <c r="D57" s="3340"/>
      <c r="E57" s="3340"/>
      <c r="F57" s="3340"/>
      <c r="G57" s="3340"/>
      <c r="H57" s="3340"/>
      <c r="I57" s="3340"/>
      <c r="J57" s="3340"/>
      <c r="K57" s="3340"/>
      <c r="L57" s="3340"/>
      <c r="M57" s="3340"/>
      <c r="N57" s="3340"/>
      <c r="O57" s="3340"/>
      <c r="P57" s="3340"/>
      <c r="Q57" s="3340"/>
      <c r="R57" s="3340"/>
      <c r="S57" s="3340"/>
      <c r="T57" s="3340"/>
      <c r="U57" s="3340"/>
      <c r="V57" s="3340"/>
      <c r="W57" s="3340"/>
      <c r="X57" s="3340"/>
      <c r="Y57" s="3340"/>
      <c r="Z57" s="3340"/>
      <c r="AA57" s="3340"/>
      <c r="AB57" s="3340"/>
      <c r="AC57" s="3340"/>
      <c r="AD57" s="3340"/>
      <c r="AE57" s="3340"/>
      <c r="AF57" s="3340"/>
      <c r="AG57" s="3340"/>
      <c r="AH57" s="3340"/>
      <c r="AI57" s="3340"/>
      <c r="AJ57" s="3340"/>
      <c r="AK57" s="3340"/>
      <c r="AL57" s="3340"/>
      <c r="AM57" s="3340"/>
      <c r="AN57" s="3340"/>
      <c r="AO57" s="3340"/>
      <c r="AP57" s="3340"/>
      <c r="AQ57" s="3340"/>
      <c r="AR57" s="3340"/>
      <c r="AS57" s="3340"/>
    </row>
    <row r="58" spans="1:45">
      <c r="A58" s="3340"/>
      <c r="B58" s="3340"/>
      <c r="C58" s="3340"/>
      <c r="D58" s="3340"/>
      <c r="E58" s="3340"/>
      <c r="F58" s="3340"/>
      <c r="G58" s="3340"/>
      <c r="H58" s="3340"/>
      <c r="I58" s="3340"/>
      <c r="J58" s="3340"/>
      <c r="K58" s="3340"/>
      <c r="L58" s="3340"/>
      <c r="M58" s="3340"/>
      <c r="N58" s="3340"/>
      <c r="O58" s="3340"/>
      <c r="P58" s="3340"/>
      <c r="Q58" s="3340"/>
      <c r="R58" s="3340"/>
      <c r="S58" s="3340"/>
      <c r="T58" s="3340"/>
      <c r="U58" s="3340"/>
      <c r="V58" s="3340"/>
      <c r="W58" s="3340"/>
      <c r="X58" s="3340"/>
      <c r="Y58" s="3340"/>
      <c r="Z58" s="3340"/>
      <c r="AA58" s="3340"/>
      <c r="AB58" s="3340"/>
      <c r="AC58" s="3340"/>
      <c r="AD58" s="3340"/>
      <c r="AE58" s="3340"/>
      <c r="AF58" s="3340"/>
      <c r="AG58" s="3340"/>
      <c r="AH58" s="3340"/>
      <c r="AI58" s="3340"/>
      <c r="AJ58" s="3340"/>
      <c r="AK58" s="3340"/>
      <c r="AL58" s="3340"/>
      <c r="AM58" s="3340"/>
      <c r="AN58" s="3340"/>
      <c r="AO58" s="3340"/>
      <c r="AP58" s="3340"/>
      <c r="AQ58" s="3340"/>
      <c r="AR58" s="3340"/>
      <c r="AS58" s="3340"/>
    </row>
    <row r="59" spans="1:45">
      <c r="A59" s="3340"/>
      <c r="B59" s="3340"/>
      <c r="C59" s="3340"/>
      <c r="D59" s="3340"/>
      <c r="E59" s="3340"/>
      <c r="F59" s="3340"/>
      <c r="G59" s="3340"/>
      <c r="H59" s="3340"/>
      <c r="I59" s="3340"/>
      <c r="J59" s="3340"/>
      <c r="K59" s="3340"/>
      <c r="L59" s="3340"/>
      <c r="M59" s="3340"/>
      <c r="N59" s="3340"/>
      <c r="O59" s="3340"/>
      <c r="P59" s="3340"/>
      <c r="Q59" s="3340"/>
      <c r="R59" s="3340"/>
      <c r="S59" s="3340"/>
      <c r="T59" s="3340"/>
      <c r="U59" s="3340"/>
      <c r="V59" s="3340"/>
      <c r="W59" s="3340"/>
      <c r="X59" s="3340"/>
      <c r="Y59" s="3340"/>
      <c r="Z59" s="3340"/>
      <c r="AA59" s="3340"/>
      <c r="AB59" s="3340"/>
      <c r="AC59" s="3340"/>
      <c r="AD59" s="3340"/>
      <c r="AE59" s="3340"/>
      <c r="AF59" s="3340"/>
      <c r="AG59" s="3340"/>
      <c r="AH59" s="3340"/>
      <c r="AI59" s="3340"/>
      <c r="AJ59" s="3340"/>
      <c r="AK59" s="3340"/>
      <c r="AL59" s="3340"/>
      <c r="AM59" s="3340"/>
      <c r="AN59" s="3340"/>
      <c r="AO59" s="3340"/>
      <c r="AP59" s="3340"/>
      <c r="AQ59" s="3340"/>
      <c r="AR59" s="3340"/>
      <c r="AS59" s="3340"/>
    </row>
    <row r="60" spans="1:45">
      <c r="A60" s="3340"/>
      <c r="B60" s="3340"/>
      <c r="C60" s="3340"/>
      <c r="D60" s="3340"/>
      <c r="E60" s="3340"/>
      <c r="F60" s="3340"/>
      <c r="G60" s="3340"/>
      <c r="H60" s="3340"/>
      <c r="I60" s="3340"/>
      <c r="J60" s="3340"/>
      <c r="K60" s="3340"/>
      <c r="L60" s="3340"/>
      <c r="M60" s="3340"/>
      <c r="N60" s="3340"/>
      <c r="O60" s="3340"/>
      <c r="P60" s="3340"/>
      <c r="Q60" s="3340"/>
      <c r="R60" s="3340"/>
      <c r="S60" s="3340"/>
      <c r="T60" s="3340"/>
      <c r="U60" s="3340"/>
      <c r="V60" s="3340"/>
      <c r="W60" s="3340"/>
      <c r="X60" s="3340"/>
      <c r="Y60" s="3340"/>
      <c r="Z60" s="3340"/>
      <c r="AA60" s="3340"/>
      <c r="AB60" s="3340"/>
      <c r="AC60" s="3340"/>
      <c r="AD60" s="3340"/>
      <c r="AE60" s="3340"/>
      <c r="AF60" s="3340"/>
      <c r="AG60" s="3340"/>
      <c r="AH60" s="3340"/>
      <c r="AI60" s="3340"/>
      <c r="AJ60" s="3340"/>
      <c r="AK60" s="3340"/>
      <c r="AL60" s="3340"/>
      <c r="AM60" s="3340"/>
      <c r="AN60" s="3340"/>
      <c r="AO60" s="3340"/>
      <c r="AP60" s="3340"/>
      <c r="AQ60" s="3340"/>
      <c r="AR60" s="3340"/>
      <c r="AS60" s="3340"/>
    </row>
    <row r="61" spans="1:45">
      <c r="A61" s="3340"/>
      <c r="B61" s="3340"/>
      <c r="C61" s="3340"/>
      <c r="D61" s="3340"/>
      <c r="E61" s="3340"/>
      <c r="F61" s="3340"/>
      <c r="G61" s="3340"/>
      <c r="H61" s="3340"/>
      <c r="I61" s="3340"/>
      <c r="J61" s="3340"/>
      <c r="K61" s="3340"/>
      <c r="L61" s="3340"/>
      <c r="M61" s="3340"/>
      <c r="N61" s="3340"/>
      <c r="O61" s="3340"/>
      <c r="P61" s="3340"/>
      <c r="Q61" s="3340"/>
      <c r="R61" s="3340"/>
      <c r="S61" s="3340"/>
      <c r="T61" s="3340"/>
      <c r="U61" s="3340"/>
      <c r="V61" s="3340"/>
      <c r="W61" s="3340"/>
      <c r="X61" s="3340"/>
      <c r="Y61" s="3340"/>
      <c r="Z61" s="3340"/>
      <c r="AA61" s="3340"/>
      <c r="AB61" s="3340"/>
      <c r="AC61" s="3340"/>
      <c r="AD61" s="3340"/>
      <c r="AE61" s="3340"/>
      <c r="AF61" s="3340"/>
      <c r="AG61" s="3340"/>
      <c r="AH61" s="3340"/>
      <c r="AI61" s="3340"/>
      <c r="AJ61" s="3340"/>
      <c r="AK61" s="3340"/>
      <c r="AL61" s="3340"/>
      <c r="AM61" s="3340"/>
      <c r="AN61" s="3340"/>
      <c r="AO61" s="3340"/>
      <c r="AP61" s="3340"/>
      <c r="AQ61" s="3340"/>
      <c r="AR61" s="3340"/>
      <c r="AS61" s="3340"/>
    </row>
    <row r="62" spans="1:45">
      <c r="A62" s="3340"/>
      <c r="B62" s="3340"/>
      <c r="C62" s="3340"/>
      <c r="D62" s="3340"/>
      <c r="E62" s="3340"/>
      <c r="F62" s="3340"/>
      <c r="G62" s="3340"/>
      <c r="H62" s="3340"/>
      <c r="I62" s="3340"/>
      <c r="J62" s="3340"/>
      <c r="K62" s="3340"/>
      <c r="L62" s="3340"/>
      <c r="M62" s="3340"/>
      <c r="N62" s="3340"/>
      <c r="O62" s="3340"/>
      <c r="P62" s="3340"/>
      <c r="Q62" s="3340"/>
      <c r="R62" s="3340"/>
      <c r="S62" s="3340"/>
      <c r="T62" s="3340"/>
      <c r="U62" s="3340"/>
      <c r="V62" s="3340"/>
      <c r="W62" s="3340"/>
      <c r="X62" s="3340"/>
      <c r="Y62" s="3340"/>
      <c r="Z62" s="3340"/>
      <c r="AA62" s="3340"/>
      <c r="AB62" s="3340"/>
      <c r="AC62" s="3340"/>
      <c r="AD62" s="3340"/>
      <c r="AE62" s="3340"/>
      <c r="AF62" s="3340"/>
      <c r="AG62" s="3340"/>
      <c r="AH62" s="3340"/>
      <c r="AI62" s="3340"/>
      <c r="AJ62" s="3340"/>
      <c r="AK62" s="3340"/>
      <c r="AL62" s="3340"/>
      <c r="AM62" s="3340"/>
      <c r="AN62" s="3340"/>
      <c r="AO62" s="3340"/>
      <c r="AP62" s="3340"/>
      <c r="AQ62" s="3340"/>
      <c r="AR62" s="3340"/>
      <c r="AS62" s="3340"/>
    </row>
    <row r="63" spans="1:45">
      <c r="A63" s="3340"/>
      <c r="B63" s="3340"/>
      <c r="C63" s="3340"/>
      <c r="D63" s="3340"/>
      <c r="E63" s="3340"/>
      <c r="F63" s="3340"/>
      <c r="G63" s="3340"/>
      <c r="H63" s="3340"/>
      <c r="I63" s="3340"/>
      <c r="J63" s="3340"/>
      <c r="K63" s="3340"/>
      <c r="L63" s="3340"/>
      <c r="M63" s="3340"/>
      <c r="N63" s="3340"/>
      <c r="O63" s="3340"/>
      <c r="P63" s="3340"/>
      <c r="Q63" s="3340"/>
      <c r="R63" s="3340"/>
      <c r="S63" s="3340"/>
      <c r="T63" s="3340"/>
      <c r="U63" s="3340"/>
      <c r="V63" s="3340"/>
      <c r="W63" s="3340"/>
      <c r="X63" s="3340"/>
      <c r="Y63" s="3340"/>
      <c r="Z63" s="3340"/>
      <c r="AA63" s="3340"/>
      <c r="AB63" s="3340"/>
      <c r="AC63" s="3340"/>
      <c r="AD63" s="3340"/>
      <c r="AE63" s="3340"/>
      <c r="AF63" s="3340"/>
      <c r="AG63" s="3340"/>
      <c r="AH63" s="3340"/>
      <c r="AI63" s="3340"/>
      <c r="AJ63" s="3340"/>
      <c r="AK63" s="3340"/>
      <c r="AL63" s="3340"/>
      <c r="AM63" s="3340"/>
      <c r="AN63" s="3340"/>
      <c r="AO63" s="3340"/>
      <c r="AP63" s="3340"/>
      <c r="AQ63" s="3340"/>
      <c r="AR63" s="3340"/>
      <c r="AS63" s="3340"/>
    </row>
    <row r="64" spans="1:45">
      <c r="A64" s="3340"/>
      <c r="B64" s="3340"/>
      <c r="C64" s="3340"/>
      <c r="D64" s="3340"/>
      <c r="E64" s="3340"/>
      <c r="F64" s="3340"/>
      <c r="G64" s="3340"/>
      <c r="H64" s="3340"/>
      <c r="I64" s="3340"/>
      <c r="J64" s="3340"/>
      <c r="K64" s="3340"/>
      <c r="L64" s="3340"/>
      <c r="M64" s="3340"/>
      <c r="N64" s="3340"/>
      <c r="O64" s="3340"/>
      <c r="P64" s="3340"/>
      <c r="Q64" s="3340"/>
      <c r="R64" s="3340"/>
      <c r="S64" s="3340"/>
      <c r="T64" s="3340"/>
      <c r="U64" s="3340"/>
      <c r="V64" s="3340"/>
      <c r="W64" s="3340"/>
      <c r="X64" s="3340"/>
      <c r="Y64" s="3340"/>
      <c r="Z64" s="3340"/>
      <c r="AA64" s="3340"/>
      <c r="AB64" s="3340"/>
      <c r="AC64" s="3340"/>
      <c r="AD64" s="3340"/>
      <c r="AE64" s="3340"/>
      <c r="AF64" s="3340"/>
      <c r="AG64" s="3340"/>
      <c r="AH64" s="3340"/>
      <c r="AI64" s="3340"/>
      <c r="AJ64" s="3340"/>
      <c r="AK64" s="3340"/>
      <c r="AL64" s="3340"/>
      <c r="AM64" s="3340"/>
      <c r="AN64" s="3340"/>
      <c r="AO64" s="3340"/>
      <c r="AP64" s="3340"/>
      <c r="AQ64" s="3340"/>
      <c r="AR64" s="3340"/>
      <c r="AS64" s="3340"/>
    </row>
    <row r="65" spans="1:45">
      <c r="A65" s="3340"/>
      <c r="B65" s="3340"/>
      <c r="C65" s="3340"/>
      <c r="D65" s="3340"/>
      <c r="E65" s="3340"/>
      <c r="F65" s="3340"/>
      <c r="G65" s="3340"/>
      <c r="H65" s="3340"/>
      <c r="I65" s="3340"/>
      <c r="J65" s="3340"/>
      <c r="K65" s="3340"/>
      <c r="L65" s="3340"/>
      <c r="M65" s="3340"/>
      <c r="N65" s="3340"/>
      <c r="O65" s="3340"/>
      <c r="P65" s="3340"/>
      <c r="Q65" s="3340"/>
      <c r="R65" s="3340"/>
      <c r="S65" s="3340"/>
      <c r="T65" s="3340"/>
      <c r="U65" s="3340"/>
      <c r="V65" s="3340"/>
      <c r="W65" s="3340"/>
      <c r="X65" s="3340"/>
      <c r="Y65" s="3340"/>
      <c r="Z65" s="3340"/>
      <c r="AA65" s="3340"/>
      <c r="AB65" s="3340"/>
      <c r="AC65" s="3340"/>
      <c r="AD65" s="3340"/>
      <c r="AE65" s="3340"/>
      <c r="AF65" s="3340"/>
      <c r="AG65" s="3340"/>
      <c r="AH65" s="3340"/>
      <c r="AI65" s="3340"/>
      <c r="AJ65" s="3340"/>
      <c r="AK65" s="3340"/>
      <c r="AL65" s="3340"/>
      <c r="AM65" s="3340"/>
      <c r="AN65" s="3340"/>
      <c r="AO65" s="3340"/>
      <c r="AP65" s="3340"/>
      <c r="AQ65" s="3340"/>
      <c r="AR65" s="3340"/>
      <c r="AS65" s="3340"/>
    </row>
    <row r="66" spans="1:45">
      <c r="A66" s="3340"/>
      <c r="B66" s="3340"/>
      <c r="C66" s="3340"/>
      <c r="D66" s="3340"/>
      <c r="E66" s="3340"/>
      <c r="F66" s="3340"/>
      <c r="G66" s="3340"/>
      <c r="H66" s="3340"/>
      <c r="I66" s="3340"/>
      <c r="J66" s="3340"/>
      <c r="K66" s="3340"/>
      <c r="L66" s="3340"/>
      <c r="M66" s="3340"/>
      <c r="N66" s="3340"/>
      <c r="O66" s="3340"/>
      <c r="P66" s="3340"/>
      <c r="Q66" s="3340"/>
      <c r="R66" s="3340"/>
      <c r="S66" s="3340"/>
      <c r="T66" s="3340"/>
      <c r="U66" s="3340"/>
      <c r="V66" s="3340"/>
      <c r="W66" s="3340"/>
      <c r="X66" s="3340"/>
      <c r="Y66" s="3340"/>
      <c r="Z66" s="3340"/>
      <c r="AA66" s="3340"/>
      <c r="AB66" s="3340"/>
      <c r="AC66" s="3340"/>
      <c r="AD66" s="3340"/>
      <c r="AE66" s="3340"/>
      <c r="AF66" s="3340"/>
      <c r="AG66" s="3340"/>
      <c r="AH66" s="3340"/>
      <c r="AI66" s="3340"/>
      <c r="AJ66" s="3340"/>
      <c r="AK66" s="3340"/>
      <c r="AL66" s="3340"/>
      <c r="AM66" s="3340"/>
      <c r="AN66" s="3340"/>
      <c r="AO66" s="3340"/>
      <c r="AP66" s="3340"/>
      <c r="AQ66" s="3340"/>
      <c r="AR66" s="3340"/>
      <c r="AS66" s="3340"/>
    </row>
    <row r="67" spans="1:45">
      <c r="A67" s="3340"/>
      <c r="B67" s="3340"/>
      <c r="C67" s="3340"/>
      <c r="D67" s="3340"/>
      <c r="E67" s="3340"/>
      <c r="F67" s="3340"/>
      <c r="G67" s="3340"/>
      <c r="H67" s="3340"/>
      <c r="I67" s="3340"/>
      <c r="J67" s="3340"/>
      <c r="K67" s="3340"/>
      <c r="L67" s="3340"/>
      <c r="M67" s="3340"/>
      <c r="N67" s="3340"/>
      <c r="O67" s="3340"/>
      <c r="P67" s="3340"/>
      <c r="Q67" s="3340"/>
      <c r="R67" s="3340"/>
      <c r="S67" s="3340"/>
      <c r="T67" s="3340"/>
      <c r="U67" s="3340"/>
      <c r="V67" s="3340"/>
      <c r="W67" s="3340"/>
      <c r="X67" s="3340"/>
      <c r="Y67" s="3340"/>
      <c r="Z67" s="3340"/>
      <c r="AA67" s="3340"/>
      <c r="AB67" s="3340"/>
      <c r="AC67" s="3340"/>
      <c r="AD67" s="3340"/>
      <c r="AE67" s="3340"/>
      <c r="AF67" s="3340"/>
      <c r="AG67" s="3340"/>
      <c r="AH67" s="3340"/>
      <c r="AI67" s="3340"/>
      <c r="AJ67" s="3340"/>
      <c r="AK67" s="3340"/>
      <c r="AL67" s="3340"/>
      <c r="AM67" s="3340"/>
      <c r="AN67" s="3340"/>
      <c r="AO67" s="3340"/>
      <c r="AP67" s="3340"/>
      <c r="AQ67" s="3340"/>
      <c r="AR67" s="3340"/>
      <c r="AS67" s="3340"/>
    </row>
    <row r="68" spans="1:45">
      <c r="A68" s="3340"/>
      <c r="B68" s="3340"/>
      <c r="C68" s="3340"/>
      <c r="D68" s="3340"/>
      <c r="E68" s="3340"/>
      <c r="F68" s="3340"/>
      <c r="G68" s="3340"/>
      <c r="H68" s="3340"/>
      <c r="I68" s="3340"/>
      <c r="J68" s="3340"/>
      <c r="K68" s="3340"/>
      <c r="L68" s="3340"/>
      <c r="M68" s="3340"/>
      <c r="N68" s="3340"/>
      <c r="O68" s="3340"/>
      <c r="P68" s="3340"/>
      <c r="Q68" s="3340"/>
      <c r="R68" s="3340"/>
      <c r="S68" s="3340"/>
      <c r="T68" s="3340"/>
      <c r="U68" s="3340"/>
      <c r="V68" s="3340"/>
      <c r="W68" s="3340"/>
      <c r="X68" s="3340"/>
      <c r="Y68" s="3340"/>
      <c r="Z68" s="3340"/>
      <c r="AA68" s="3340"/>
      <c r="AB68" s="3340"/>
      <c r="AC68" s="3340"/>
      <c r="AD68" s="3340"/>
      <c r="AE68" s="3340"/>
      <c r="AF68" s="3340"/>
      <c r="AG68" s="3340"/>
      <c r="AH68" s="3340"/>
      <c r="AI68" s="3340"/>
      <c r="AJ68" s="3340"/>
      <c r="AK68" s="3340"/>
      <c r="AL68" s="3340"/>
      <c r="AM68" s="3340"/>
      <c r="AN68" s="3340"/>
      <c r="AO68" s="3340"/>
      <c r="AP68" s="3340"/>
      <c r="AQ68" s="3340"/>
      <c r="AR68" s="3340"/>
      <c r="AS68" s="3340"/>
    </row>
    <row r="69" spans="1:45">
      <c r="A69" s="3340"/>
      <c r="B69" s="3340"/>
      <c r="C69" s="3340"/>
      <c r="D69" s="3340"/>
      <c r="E69" s="3340"/>
      <c r="F69" s="3340"/>
      <c r="G69" s="3340"/>
      <c r="H69" s="3340"/>
      <c r="I69" s="3340"/>
      <c r="J69" s="3340"/>
      <c r="K69" s="3340"/>
      <c r="L69" s="3340"/>
      <c r="M69" s="3340"/>
      <c r="N69" s="3340"/>
      <c r="O69" s="3340"/>
      <c r="P69" s="3340"/>
      <c r="Q69" s="3340"/>
      <c r="R69" s="3340"/>
      <c r="S69" s="3340"/>
      <c r="T69" s="3340"/>
      <c r="U69" s="3340"/>
      <c r="V69" s="3340"/>
      <c r="W69" s="3340"/>
      <c r="X69" s="3340"/>
      <c r="Y69" s="3340"/>
      <c r="Z69" s="3340"/>
      <c r="AA69" s="3340"/>
      <c r="AB69" s="3340"/>
      <c r="AC69" s="3340"/>
      <c r="AD69" s="3340"/>
      <c r="AE69" s="3340"/>
      <c r="AF69" s="3340"/>
      <c r="AG69" s="3340"/>
      <c r="AH69" s="3340"/>
      <c r="AI69" s="3340"/>
      <c r="AJ69" s="3340"/>
      <c r="AK69" s="3340"/>
      <c r="AL69" s="3340"/>
      <c r="AM69" s="3340"/>
      <c r="AN69" s="3340"/>
      <c r="AO69" s="3340"/>
      <c r="AP69" s="3340"/>
      <c r="AQ69" s="3340"/>
      <c r="AR69" s="3340"/>
      <c r="AS69" s="3340"/>
    </row>
    <row r="70" spans="1:45">
      <c r="A70" s="3340"/>
      <c r="B70" s="3340"/>
      <c r="C70" s="3340"/>
      <c r="D70" s="3340"/>
      <c r="E70" s="3340"/>
      <c r="F70" s="3340"/>
      <c r="G70" s="3340"/>
      <c r="H70" s="3340"/>
      <c r="I70" s="3340"/>
      <c r="J70" s="3340"/>
      <c r="K70" s="3340"/>
      <c r="L70" s="3340"/>
      <c r="M70" s="3340"/>
      <c r="N70" s="3340"/>
      <c r="O70" s="3340"/>
      <c r="P70" s="3340"/>
      <c r="Q70" s="3340"/>
      <c r="R70" s="3340"/>
      <c r="S70" s="3340"/>
      <c r="T70" s="3340"/>
      <c r="U70" s="3340"/>
      <c r="V70" s="3340"/>
      <c r="W70" s="3340"/>
      <c r="X70" s="3340"/>
      <c r="Y70" s="3340"/>
      <c r="Z70" s="3340"/>
      <c r="AA70" s="3340"/>
      <c r="AB70" s="3340"/>
      <c r="AC70" s="3340"/>
      <c r="AD70" s="3340"/>
      <c r="AE70" s="3340"/>
      <c r="AF70" s="3340"/>
      <c r="AG70" s="3340"/>
      <c r="AH70" s="3340"/>
      <c r="AI70" s="3340"/>
      <c r="AJ70" s="3340"/>
      <c r="AK70" s="3340"/>
      <c r="AL70" s="3340"/>
      <c r="AM70" s="3340"/>
      <c r="AN70" s="3340"/>
      <c r="AO70" s="3340"/>
      <c r="AP70" s="3340"/>
      <c r="AQ70" s="3340"/>
      <c r="AR70" s="3340"/>
      <c r="AS70" s="3340"/>
    </row>
    <row r="71" spans="1:45">
      <c r="A71" s="3340"/>
      <c r="B71" s="3340"/>
      <c r="C71" s="3340"/>
      <c r="D71" s="3340"/>
      <c r="E71" s="3340"/>
      <c r="F71" s="3340"/>
      <c r="G71" s="3340"/>
      <c r="H71" s="3340"/>
      <c r="I71" s="3340"/>
      <c r="J71" s="3340"/>
      <c r="K71" s="3340"/>
      <c r="L71" s="3340"/>
      <c r="M71" s="3340"/>
      <c r="N71" s="3340"/>
      <c r="O71" s="3340"/>
      <c r="P71" s="3340"/>
      <c r="Q71" s="3340"/>
      <c r="R71" s="3340"/>
      <c r="S71" s="3340"/>
      <c r="T71" s="3340"/>
      <c r="U71" s="3340"/>
      <c r="V71" s="3340"/>
      <c r="W71" s="3340"/>
      <c r="X71" s="3340"/>
      <c r="Y71" s="3340"/>
      <c r="Z71" s="3340"/>
      <c r="AA71" s="3340"/>
      <c r="AB71" s="3340"/>
      <c r="AC71" s="3340"/>
      <c r="AD71" s="3340"/>
      <c r="AE71" s="3340"/>
      <c r="AF71" s="3340"/>
      <c r="AG71" s="3340"/>
      <c r="AH71" s="3340"/>
      <c r="AI71" s="3340"/>
      <c r="AJ71" s="3340"/>
      <c r="AK71" s="3340"/>
      <c r="AL71" s="3340"/>
      <c r="AM71" s="3340"/>
      <c r="AN71" s="3340"/>
      <c r="AO71" s="3340"/>
      <c r="AP71" s="3340"/>
      <c r="AQ71" s="3340"/>
      <c r="AR71" s="3340"/>
      <c r="AS71" s="3340"/>
    </row>
    <row r="72" spans="1:45">
      <c r="A72" s="3340"/>
      <c r="B72" s="3340"/>
      <c r="C72" s="3340"/>
      <c r="D72" s="3340"/>
      <c r="E72" s="3340"/>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3340"/>
      <c r="AC72" s="3340"/>
      <c r="AD72" s="3340"/>
      <c r="AE72" s="3340"/>
      <c r="AF72" s="3340"/>
      <c r="AG72" s="3340"/>
      <c r="AH72" s="3340"/>
      <c r="AI72" s="3340"/>
      <c r="AJ72" s="3340"/>
      <c r="AK72" s="3340"/>
      <c r="AL72" s="3340"/>
      <c r="AM72" s="3340"/>
      <c r="AN72" s="3340"/>
      <c r="AO72" s="3340"/>
      <c r="AP72" s="3340"/>
      <c r="AQ72" s="3340"/>
      <c r="AR72" s="3340"/>
      <c r="AS72" s="3340"/>
    </row>
    <row r="73" spans="1:45">
      <c r="A73" s="3340"/>
      <c r="B73" s="3340"/>
      <c r="C73" s="3340"/>
      <c r="D73" s="3340"/>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3340"/>
      <c r="AC73" s="3340"/>
      <c r="AD73" s="3340"/>
      <c r="AE73" s="3340"/>
      <c r="AF73" s="3340"/>
      <c r="AG73" s="3340"/>
      <c r="AH73" s="3340"/>
      <c r="AI73" s="3340"/>
      <c r="AJ73" s="3340"/>
      <c r="AK73" s="3340"/>
      <c r="AL73" s="3340"/>
      <c r="AM73" s="3340"/>
      <c r="AN73" s="3340"/>
      <c r="AO73" s="3340"/>
      <c r="AP73" s="3340"/>
      <c r="AQ73" s="3340"/>
      <c r="AR73" s="3340"/>
      <c r="AS73" s="3340"/>
    </row>
    <row r="74" spans="1:45">
      <c r="A74" s="3340"/>
      <c r="B74" s="3340"/>
      <c r="C74" s="3340"/>
      <c r="D74" s="3340"/>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3340"/>
      <c r="AC74" s="3340"/>
      <c r="AD74" s="3340"/>
      <c r="AE74" s="3340"/>
      <c r="AF74" s="3340"/>
      <c r="AG74" s="3340"/>
      <c r="AH74" s="3340"/>
      <c r="AI74" s="3340"/>
      <c r="AJ74" s="3340"/>
      <c r="AK74" s="3340"/>
      <c r="AL74" s="3340"/>
      <c r="AM74" s="3340"/>
      <c r="AN74" s="3340"/>
      <c r="AO74" s="3340"/>
      <c r="AP74" s="3340"/>
      <c r="AQ74" s="3340"/>
      <c r="AR74" s="3340"/>
      <c r="AS74" s="3340"/>
    </row>
    <row r="75" spans="1:45">
      <c r="A75" s="3340"/>
      <c r="B75" s="3340"/>
      <c r="C75" s="3340"/>
      <c r="D75" s="3340"/>
      <c r="E75" s="3340"/>
      <c r="F75" s="3340"/>
      <c r="G75" s="3340"/>
      <c r="H75" s="3340"/>
      <c r="I75" s="3340"/>
      <c r="J75" s="3340"/>
      <c r="K75" s="3340"/>
      <c r="L75" s="3340"/>
      <c r="M75" s="3340"/>
      <c r="N75" s="3340"/>
      <c r="O75" s="3340"/>
      <c r="P75" s="3340"/>
      <c r="Q75" s="3340"/>
      <c r="R75" s="3340"/>
      <c r="S75" s="3340"/>
      <c r="T75" s="3340"/>
      <c r="U75" s="3340"/>
      <c r="V75" s="3340"/>
      <c r="W75" s="3340"/>
      <c r="X75" s="3340"/>
      <c r="Y75" s="3340"/>
      <c r="Z75" s="3340"/>
      <c r="AA75" s="3340"/>
      <c r="AB75" s="3340"/>
      <c r="AC75" s="3340"/>
      <c r="AD75" s="3340"/>
      <c r="AE75" s="3340"/>
      <c r="AF75" s="3340"/>
      <c r="AG75" s="3340"/>
      <c r="AH75" s="3340"/>
      <c r="AI75" s="3340"/>
      <c r="AJ75" s="3340"/>
      <c r="AK75" s="3340"/>
      <c r="AL75" s="3340"/>
      <c r="AM75" s="3340"/>
      <c r="AN75" s="3340"/>
      <c r="AO75" s="3340"/>
      <c r="AP75" s="3340"/>
      <c r="AQ75" s="3340"/>
      <c r="AR75" s="3340"/>
      <c r="AS75" s="3340"/>
    </row>
    <row r="76" spans="1:45">
      <c r="A76" s="3340"/>
      <c r="B76" s="3340"/>
      <c r="C76" s="3340"/>
      <c r="D76" s="3340"/>
      <c r="E76" s="3340"/>
      <c r="F76" s="3340"/>
      <c r="G76" s="3340"/>
      <c r="H76" s="3340"/>
      <c r="I76" s="3340"/>
      <c r="J76" s="3340"/>
      <c r="K76" s="3340"/>
      <c r="L76" s="3340"/>
      <c r="M76" s="3340"/>
      <c r="N76" s="3340"/>
      <c r="O76" s="3340"/>
      <c r="P76" s="3340"/>
      <c r="Q76" s="3340"/>
      <c r="R76" s="3340"/>
      <c r="S76" s="3340"/>
      <c r="T76" s="3340"/>
      <c r="U76" s="3340"/>
      <c r="V76" s="3340"/>
      <c r="W76" s="3340"/>
      <c r="X76" s="3340"/>
      <c r="Y76" s="3340"/>
      <c r="Z76" s="3340"/>
      <c r="AA76" s="3340"/>
      <c r="AB76" s="3340"/>
      <c r="AC76" s="3340"/>
      <c r="AD76" s="3340"/>
      <c r="AE76" s="3340"/>
      <c r="AF76" s="3340"/>
      <c r="AG76" s="3340"/>
      <c r="AH76" s="3340"/>
      <c r="AI76" s="3340"/>
      <c r="AJ76" s="3340"/>
      <c r="AK76" s="3340"/>
      <c r="AL76" s="3340"/>
      <c r="AM76" s="3340"/>
      <c r="AN76" s="3340"/>
      <c r="AO76" s="3340"/>
      <c r="AP76" s="3340"/>
      <c r="AQ76" s="3340"/>
      <c r="AR76" s="3340"/>
      <c r="AS76" s="3340"/>
    </row>
    <row r="77" spans="1:45">
      <c r="A77" s="3340"/>
      <c r="B77" s="3340"/>
      <c r="C77" s="3340"/>
      <c r="D77" s="3340"/>
      <c r="E77" s="3340"/>
      <c r="F77" s="3340"/>
      <c r="G77" s="3340"/>
      <c r="H77" s="3340"/>
      <c r="I77" s="3340"/>
      <c r="J77" s="3340"/>
      <c r="K77" s="3340"/>
      <c r="L77" s="3340"/>
      <c r="M77" s="3340"/>
      <c r="N77" s="3340"/>
      <c r="O77" s="3340"/>
      <c r="P77" s="3340"/>
      <c r="Q77" s="3340"/>
      <c r="R77" s="3340"/>
      <c r="S77" s="3340"/>
      <c r="T77" s="3340"/>
      <c r="U77" s="3340"/>
      <c r="V77" s="3340"/>
      <c r="W77" s="3340"/>
      <c r="X77" s="3340"/>
      <c r="Y77" s="3340"/>
      <c r="Z77" s="3340"/>
      <c r="AA77" s="3340"/>
      <c r="AB77" s="3340"/>
      <c r="AC77" s="3340"/>
      <c r="AD77" s="3340"/>
      <c r="AE77" s="3340"/>
      <c r="AF77" s="3340"/>
      <c r="AG77" s="3340"/>
      <c r="AH77" s="3340"/>
      <c r="AI77" s="3340"/>
      <c r="AJ77" s="3340"/>
      <c r="AK77" s="3340"/>
      <c r="AL77" s="3340"/>
      <c r="AM77" s="3340"/>
      <c r="AN77" s="3340"/>
      <c r="AO77" s="3340"/>
      <c r="AP77" s="3340"/>
      <c r="AQ77" s="3340"/>
      <c r="AR77" s="3340"/>
      <c r="AS77" s="3340"/>
    </row>
    <row r="78" spans="1:45">
      <c r="A78" s="3340"/>
      <c r="B78" s="3340"/>
      <c r="C78" s="3340"/>
      <c r="D78" s="3340"/>
      <c r="E78" s="3340"/>
      <c r="F78" s="3340"/>
      <c r="G78" s="3340"/>
      <c r="H78" s="3340"/>
      <c r="I78" s="3340"/>
      <c r="J78" s="3340"/>
      <c r="K78" s="3340"/>
      <c r="L78" s="3340"/>
      <c r="M78" s="3340"/>
      <c r="N78" s="3340"/>
      <c r="O78" s="3340"/>
      <c r="P78" s="3340"/>
      <c r="Q78" s="3340"/>
      <c r="R78" s="3340"/>
      <c r="S78" s="3340"/>
      <c r="T78" s="3340"/>
      <c r="U78" s="3340"/>
      <c r="V78" s="3340"/>
      <c r="W78" s="3340"/>
      <c r="X78" s="3340"/>
      <c r="Y78" s="3340"/>
      <c r="Z78" s="3340"/>
      <c r="AA78" s="3340"/>
      <c r="AB78" s="3340"/>
      <c r="AC78" s="3340"/>
      <c r="AD78" s="3340"/>
      <c r="AE78" s="3340"/>
      <c r="AF78" s="3340"/>
      <c r="AG78" s="3340"/>
      <c r="AH78" s="3340"/>
      <c r="AI78" s="3340"/>
      <c r="AJ78" s="3340"/>
      <c r="AK78" s="3340"/>
      <c r="AL78" s="3340"/>
      <c r="AM78" s="3340"/>
      <c r="AN78" s="3340"/>
      <c r="AO78" s="3340"/>
      <c r="AP78" s="3340"/>
      <c r="AQ78" s="3340"/>
      <c r="AR78" s="3340"/>
      <c r="AS78" s="3340"/>
    </row>
    <row r="79" spans="1:45">
      <c r="A79" s="3340"/>
      <c r="B79" s="3340"/>
      <c r="C79" s="3340"/>
      <c r="D79" s="3340"/>
      <c r="E79" s="3340"/>
      <c r="F79" s="3340"/>
      <c r="G79" s="3340"/>
      <c r="H79" s="3340"/>
      <c r="I79" s="3340"/>
      <c r="J79" s="3340"/>
      <c r="K79" s="3340"/>
      <c r="L79" s="3340"/>
      <c r="M79" s="3340"/>
      <c r="N79" s="3340"/>
      <c r="O79" s="3340"/>
      <c r="P79" s="3340"/>
      <c r="Q79" s="3340"/>
      <c r="R79" s="3340"/>
      <c r="S79" s="3340"/>
      <c r="T79" s="3340"/>
      <c r="U79" s="3340"/>
      <c r="V79" s="3340"/>
      <c r="W79" s="3340"/>
      <c r="X79" s="3340"/>
      <c r="Y79" s="3340"/>
      <c r="Z79" s="3340"/>
      <c r="AA79" s="3340"/>
      <c r="AB79" s="3340"/>
      <c r="AC79" s="3340"/>
      <c r="AD79" s="3340"/>
      <c r="AE79" s="3340"/>
      <c r="AF79" s="3340"/>
      <c r="AG79" s="3340"/>
      <c r="AH79" s="3340"/>
      <c r="AI79" s="3340"/>
      <c r="AJ79" s="3340"/>
      <c r="AK79" s="3340"/>
      <c r="AL79" s="3340"/>
      <c r="AM79" s="3340"/>
      <c r="AN79" s="3340"/>
      <c r="AO79" s="3340"/>
      <c r="AP79" s="3340"/>
      <c r="AQ79" s="3340"/>
      <c r="AR79" s="3340"/>
      <c r="AS79" s="3340"/>
    </row>
    <row r="80" spans="1:45">
      <c r="A80" s="3340"/>
      <c r="B80" s="3340"/>
      <c r="C80" s="3340"/>
      <c r="D80" s="3340"/>
      <c r="E80" s="3340"/>
      <c r="F80" s="3340"/>
      <c r="G80" s="3340"/>
      <c r="H80" s="3340"/>
      <c r="I80" s="3340"/>
      <c r="J80" s="3340"/>
      <c r="K80" s="3340"/>
      <c r="L80" s="3340"/>
      <c r="M80" s="3340"/>
      <c r="N80" s="3340"/>
      <c r="O80" s="3340"/>
      <c r="P80" s="3340"/>
      <c r="Q80" s="3340"/>
      <c r="R80" s="3340"/>
      <c r="S80" s="3340"/>
      <c r="T80" s="3340"/>
      <c r="U80" s="3340"/>
      <c r="V80" s="3340"/>
      <c r="W80" s="3340"/>
      <c r="X80" s="3340"/>
      <c r="Y80" s="3340"/>
      <c r="Z80" s="3340"/>
      <c r="AA80" s="3340"/>
      <c r="AB80" s="3340"/>
      <c r="AC80" s="3340"/>
      <c r="AD80" s="3340"/>
      <c r="AE80" s="3340"/>
      <c r="AF80" s="3340"/>
      <c r="AG80" s="3340"/>
      <c r="AH80" s="3340"/>
      <c r="AI80" s="3340"/>
      <c r="AJ80" s="3340"/>
      <c r="AK80" s="3340"/>
      <c r="AL80" s="3340"/>
      <c r="AM80" s="3340"/>
      <c r="AN80" s="3340"/>
      <c r="AO80" s="3340"/>
      <c r="AP80" s="3340"/>
      <c r="AQ80" s="3340"/>
      <c r="AR80" s="3340"/>
      <c r="AS80" s="3340"/>
    </row>
    <row r="81" spans="1:45">
      <c r="A81" s="3340"/>
      <c r="B81" s="3340"/>
      <c r="C81" s="3340"/>
      <c r="D81" s="3340"/>
      <c r="E81" s="3340"/>
      <c r="F81" s="3340"/>
      <c r="G81" s="3340"/>
      <c r="H81" s="3340"/>
      <c r="I81" s="3340"/>
      <c r="J81" s="3340"/>
      <c r="K81" s="3340"/>
      <c r="L81" s="3340"/>
      <c r="M81" s="3340"/>
      <c r="N81" s="3340"/>
      <c r="O81" s="3340"/>
      <c r="P81" s="3340"/>
      <c r="Q81" s="3340"/>
      <c r="R81" s="3340"/>
      <c r="S81" s="3340"/>
      <c r="T81" s="3340"/>
      <c r="U81" s="3340"/>
      <c r="V81" s="3340"/>
      <c r="W81" s="3340"/>
      <c r="X81" s="3340"/>
      <c r="Y81" s="3340"/>
      <c r="Z81" s="3340"/>
      <c r="AA81" s="3340"/>
      <c r="AB81" s="3340"/>
      <c r="AC81" s="3340"/>
      <c r="AD81" s="3340"/>
      <c r="AE81" s="3340"/>
      <c r="AF81" s="3340"/>
      <c r="AG81" s="3340"/>
      <c r="AH81" s="3340"/>
      <c r="AI81" s="3340"/>
      <c r="AJ81" s="3340"/>
      <c r="AK81" s="3340"/>
      <c r="AL81" s="3340"/>
      <c r="AM81" s="3340"/>
      <c r="AN81" s="3340"/>
      <c r="AO81" s="3340"/>
      <c r="AP81" s="3340"/>
      <c r="AQ81" s="3340"/>
      <c r="AR81" s="3340"/>
      <c r="AS81" s="3340"/>
    </row>
    <row r="82" spans="1:45">
      <c r="A82" s="3340"/>
      <c r="B82" s="3340"/>
      <c r="C82" s="3340"/>
      <c r="D82" s="3340"/>
      <c r="E82" s="3340"/>
      <c r="F82" s="3340"/>
      <c r="G82" s="3340"/>
      <c r="H82" s="3340"/>
      <c r="I82" s="3340"/>
      <c r="J82" s="3340"/>
      <c r="K82" s="3340"/>
      <c r="L82" s="3340"/>
      <c r="M82" s="3340"/>
      <c r="N82" s="3340"/>
      <c r="O82" s="3340"/>
      <c r="P82" s="3340"/>
      <c r="Q82" s="3340"/>
      <c r="R82" s="3340"/>
      <c r="S82" s="3340"/>
      <c r="T82" s="3340"/>
      <c r="U82" s="3340"/>
      <c r="V82" s="3340"/>
      <c r="W82" s="3340"/>
      <c r="X82" s="3340"/>
      <c r="Y82" s="3340"/>
      <c r="Z82" s="3340"/>
      <c r="AA82" s="3340"/>
      <c r="AB82" s="3340"/>
      <c r="AC82" s="3340"/>
      <c r="AD82" s="3340"/>
      <c r="AE82" s="3340"/>
      <c r="AF82" s="3340"/>
      <c r="AG82" s="3340"/>
      <c r="AH82" s="3340"/>
      <c r="AI82" s="3340"/>
      <c r="AJ82" s="3340"/>
      <c r="AK82" s="3340"/>
      <c r="AL82" s="3340"/>
      <c r="AM82" s="3340"/>
      <c r="AN82" s="3340"/>
      <c r="AO82" s="3340"/>
      <c r="AP82" s="3340"/>
      <c r="AQ82" s="3340"/>
      <c r="AR82" s="3340"/>
      <c r="AS82" s="3340"/>
    </row>
    <row r="83" spans="1:45">
      <c r="A83" s="3340"/>
      <c r="B83" s="3340"/>
      <c r="C83" s="3340"/>
      <c r="D83" s="3340"/>
      <c r="E83" s="3340"/>
      <c r="F83" s="3340"/>
      <c r="G83" s="3340"/>
      <c r="H83" s="3340"/>
      <c r="I83" s="3340"/>
      <c r="J83" s="3340"/>
      <c r="K83" s="3340"/>
      <c r="L83" s="3340"/>
      <c r="M83" s="3340"/>
      <c r="N83" s="3340"/>
      <c r="O83" s="3340"/>
      <c r="P83" s="3340"/>
      <c r="Q83" s="3340"/>
      <c r="R83" s="3340"/>
      <c r="S83" s="3340"/>
      <c r="T83" s="3340"/>
      <c r="U83" s="3340"/>
      <c r="V83" s="3340"/>
      <c r="W83" s="3340"/>
      <c r="X83" s="3340"/>
      <c r="Y83" s="3340"/>
      <c r="Z83" s="3340"/>
      <c r="AA83" s="3340"/>
      <c r="AB83" s="3340"/>
      <c r="AC83" s="3340"/>
      <c r="AD83" s="3340"/>
      <c r="AE83" s="3340"/>
      <c r="AF83" s="3340"/>
      <c r="AG83" s="3340"/>
      <c r="AH83" s="3340"/>
      <c r="AI83" s="3340"/>
      <c r="AJ83" s="3340"/>
      <c r="AK83" s="3340"/>
      <c r="AL83" s="3340"/>
      <c r="AM83" s="3340"/>
      <c r="AN83" s="3340"/>
      <c r="AO83" s="3340"/>
      <c r="AP83" s="3340"/>
      <c r="AQ83" s="3340"/>
      <c r="AR83" s="3340"/>
      <c r="AS83" s="3340"/>
    </row>
    <row r="84" spans="1:45">
      <c r="A84" s="3340"/>
      <c r="B84" s="3340"/>
      <c r="C84" s="3340"/>
      <c r="D84" s="3340"/>
      <c r="E84" s="3340"/>
      <c r="F84" s="3340"/>
      <c r="G84" s="3340"/>
      <c r="H84" s="3340"/>
      <c r="I84" s="3340"/>
      <c r="J84" s="3340"/>
      <c r="K84" s="3340"/>
      <c r="L84" s="3340"/>
      <c r="M84" s="3340"/>
      <c r="N84" s="3340"/>
      <c r="O84" s="3340"/>
      <c r="P84" s="3340"/>
      <c r="Q84" s="3340"/>
      <c r="R84" s="3340"/>
      <c r="S84" s="3340"/>
      <c r="T84" s="3340"/>
      <c r="U84" s="3340"/>
      <c r="V84" s="3340"/>
      <c r="W84" s="3340"/>
      <c r="X84" s="3340"/>
      <c r="Y84" s="3340"/>
      <c r="Z84" s="3340"/>
      <c r="AA84" s="3340"/>
      <c r="AB84" s="3340"/>
      <c r="AC84" s="3340"/>
      <c r="AD84" s="3340"/>
      <c r="AE84" s="3340"/>
      <c r="AF84" s="3340"/>
      <c r="AG84" s="3340"/>
      <c r="AH84" s="3340"/>
      <c r="AI84" s="3340"/>
      <c r="AJ84" s="3340"/>
      <c r="AK84" s="3340"/>
      <c r="AL84" s="3340"/>
      <c r="AM84" s="3340"/>
      <c r="AN84" s="3340"/>
      <c r="AO84" s="3340"/>
      <c r="AP84" s="3340"/>
      <c r="AQ84" s="3340"/>
      <c r="AR84" s="3340"/>
      <c r="AS84" s="3340"/>
    </row>
    <row r="85" spans="1:45">
      <c r="A85" s="3340"/>
      <c r="B85" s="3340"/>
      <c r="C85" s="3340"/>
      <c r="D85" s="3340"/>
      <c r="E85" s="3340"/>
      <c r="F85" s="3340"/>
      <c r="G85" s="3340"/>
      <c r="H85" s="3340"/>
      <c r="I85" s="3340"/>
      <c r="J85" s="3340"/>
      <c r="K85" s="3340"/>
      <c r="L85" s="3340"/>
      <c r="M85" s="3340"/>
      <c r="N85" s="3340"/>
      <c r="O85" s="3340"/>
      <c r="P85" s="3340"/>
      <c r="Q85" s="3340"/>
      <c r="R85" s="3340"/>
      <c r="S85" s="3340"/>
      <c r="T85" s="3340"/>
      <c r="U85" s="3340"/>
      <c r="V85" s="3340"/>
      <c r="W85" s="3340"/>
      <c r="X85" s="3340"/>
      <c r="Y85" s="3340"/>
      <c r="Z85" s="3340"/>
      <c r="AA85" s="3340"/>
      <c r="AB85" s="3340"/>
      <c r="AC85" s="3340"/>
      <c r="AD85" s="3340"/>
      <c r="AE85" s="3340"/>
      <c r="AF85" s="3340"/>
      <c r="AG85" s="3340"/>
      <c r="AH85" s="3340"/>
      <c r="AI85" s="3340"/>
      <c r="AJ85" s="3340"/>
      <c r="AK85" s="3340"/>
      <c r="AL85" s="3340"/>
      <c r="AM85" s="3340"/>
      <c r="AN85" s="3340"/>
      <c r="AO85" s="3340"/>
      <c r="AP85" s="3340"/>
      <c r="AQ85" s="3340"/>
      <c r="AR85" s="3340"/>
      <c r="AS85" s="3340"/>
    </row>
    <row r="86" spans="1:45">
      <c r="A86" s="3340"/>
      <c r="B86" s="3340"/>
      <c r="C86" s="3340"/>
      <c r="D86" s="3340"/>
      <c r="E86" s="3340"/>
      <c r="F86" s="3340"/>
      <c r="G86" s="3340"/>
      <c r="H86" s="3340"/>
      <c r="I86" s="3340"/>
      <c r="J86" s="3340"/>
      <c r="K86" s="3340"/>
      <c r="L86" s="3340"/>
      <c r="M86" s="3340"/>
      <c r="N86" s="3340"/>
      <c r="O86" s="3340"/>
      <c r="P86" s="3340"/>
      <c r="Q86" s="3340"/>
      <c r="R86" s="3340"/>
      <c r="S86" s="3340"/>
      <c r="T86" s="3340"/>
      <c r="U86" s="3340"/>
      <c r="V86" s="3340"/>
      <c r="W86" s="3340"/>
      <c r="X86" s="3340"/>
      <c r="Y86" s="3340"/>
      <c r="Z86" s="3340"/>
      <c r="AA86" s="3340"/>
      <c r="AB86" s="3340"/>
      <c r="AC86" s="3340"/>
      <c r="AD86" s="3340"/>
      <c r="AE86" s="3340"/>
      <c r="AF86" s="3340"/>
      <c r="AG86" s="3340"/>
      <c r="AH86" s="3340"/>
      <c r="AI86" s="3340"/>
      <c r="AJ86" s="3340"/>
      <c r="AK86" s="3340"/>
      <c r="AL86" s="3340"/>
      <c r="AM86" s="3340"/>
      <c r="AN86" s="3340"/>
      <c r="AO86" s="3340"/>
      <c r="AP86" s="3340"/>
      <c r="AQ86" s="3340"/>
      <c r="AR86" s="3340"/>
      <c r="AS86" s="3340"/>
    </row>
    <row r="87" spans="1:45">
      <c r="A87" s="3340"/>
      <c r="B87" s="3340"/>
      <c r="C87" s="3340"/>
      <c r="D87" s="3340"/>
      <c r="E87" s="3340"/>
      <c r="F87" s="3340"/>
      <c r="G87" s="3340"/>
      <c r="H87" s="3340"/>
      <c r="I87" s="3340"/>
      <c r="J87" s="3340"/>
      <c r="K87" s="3340"/>
      <c r="L87" s="3340"/>
      <c r="M87" s="3340"/>
      <c r="N87" s="3340"/>
      <c r="O87" s="3340"/>
      <c r="P87" s="3340"/>
      <c r="Q87" s="3340"/>
      <c r="R87" s="3340"/>
      <c r="S87" s="3340"/>
      <c r="T87" s="3340"/>
      <c r="U87" s="3340"/>
      <c r="V87" s="3340"/>
      <c r="W87" s="3340"/>
      <c r="X87" s="3340"/>
      <c r="Y87" s="3340"/>
      <c r="Z87" s="3340"/>
      <c r="AA87" s="3340"/>
      <c r="AB87" s="3340"/>
      <c r="AC87" s="3340"/>
      <c r="AD87" s="3340"/>
      <c r="AE87" s="3340"/>
      <c r="AF87" s="3340"/>
      <c r="AG87" s="3340"/>
      <c r="AH87" s="3340"/>
      <c r="AI87" s="3340"/>
      <c r="AJ87" s="3340"/>
      <c r="AK87" s="3340"/>
      <c r="AL87" s="3340"/>
      <c r="AM87" s="3340"/>
      <c r="AN87" s="3340"/>
      <c r="AO87" s="3340"/>
      <c r="AP87" s="3340"/>
      <c r="AQ87" s="3340"/>
      <c r="AR87" s="3340"/>
      <c r="AS87" s="3340"/>
    </row>
    <row r="88" spans="1:45">
      <c r="A88" s="3340"/>
      <c r="B88" s="3340"/>
      <c r="C88" s="3340"/>
      <c r="D88" s="3340"/>
      <c r="E88" s="3340"/>
      <c r="F88" s="3340"/>
      <c r="G88" s="3340"/>
      <c r="H88" s="3340"/>
      <c r="I88" s="3340"/>
      <c r="J88" s="3340"/>
      <c r="K88" s="3340"/>
      <c r="L88" s="3340"/>
      <c r="M88" s="3340"/>
      <c r="N88" s="3340"/>
      <c r="O88" s="3340"/>
      <c r="P88" s="3340"/>
      <c r="Q88" s="3340"/>
      <c r="R88" s="3340"/>
      <c r="S88" s="3340"/>
      <c r="T88" s="3340"/>
      <c r="U88" s="3340"/>
      <c r="V88" s="3340"/>
      <c r="W88" s="3340"/>
      <c r="X88" s="3340"/>
      <c r="Y88" s="3340"/>
      <c r="Z88" s="3340"/>
      <c r="AA88" s="3340"/>
      <c r="AB88" s="3340"/>
      <c r="AC88" s="3340"/>
      <c r="AD88" s="3340"/>
      <c r="AE88" s="3340"/>
      <c r="AF88" s="3340"/>
      <c r="AG88" s="3340"/>
      <c r="AH88" s="3340"/>
      <c r="AI88" s="3340"/>
      <c r="AJ88" s="3340"/>
      <c r="AK88" s="3340"/>
      <c r="AL88" s="3340"/>
      <c r="AM88" s="3340"/>
      <c r="AN88" s="3340"/>
      <c r="AO88" s="3340"/>
      <c r="AP88" s="3340"/>
      <c r="AQ88" s="3340"/>
      <c r="AR88" s="3340"/>
      <c r="AS88" s="3340"/>
    </row>
    <row r="89" spans="1:45">
      <c r="A89" s="3340"/>
      <c r="B89" s="3340"/>
      <c r="C89" s="3340"/>
      <c r="D89" s="3340"/>
      <c r="E89" s="3340"/>
      <c r="F89" s="3340"/>
      <c r="G89" s="3340"/>
      <c r="H89" s="3340"/>
      <c r="I89" s="3340"/>
      <c r="J89" s="3340"/>
      <c r="K89" s="3340"/>
      <c r="L89" s="3340"/>
      <c r="M89" s="3340"/>
      <c r="N89" s="3340"/>
      <c r="O89" s="3340"/>
      <c r="P89" s="3340"/>
      <c r="Q89" s="3340"/>
      <c r="R89" s="3340"/>
      <c r="S89" s="3340"/>
      <c r="T89" s="3340"/>
      <c r="U89" s="3340"/>
      <c r="V89" s="3340"/>
      <c r="W89" s="3340"/>
      <c r="X89" s="3340"/>
      <c r="Y89" s="3340"/>
      <c r="Z89" s="3340"/>
      <c r="AA89" s="3340"/>
      <c r="AB89" s="3340"/>
      <c r="AC89" s="3340"/>
      <c r="AD89" s="3340"/>
      <c r="AE89" s="3340"/>
      <c r="AF89" s="3340"/>
      <c r="AG89" s="3340"/>
      <c r="AH89" s="3340"/>
      <c r="AI89" s="3340"/>
      <c r="AJ89" s="3340"/>
      <c r="AK89" s="3340"/>
      <c r="AL89" s="3340"/>
      <c r="AM89" s="3340"/>
      <c r="AN89" s="3340"/>
      <c r="AO89" s="3340"/>
      <c r="AP89" s="3340"/>
      <c r="AQ89" s="3340"/>
      <c r="AR89" s="3340"/>
      <c r="AS89" s="3340"/>
    </row>
    <row r="90" spans="1:45">
      <c r="A90" s="3340"/>
      <c r="B90" s="3340"/>
      <c r="C90" s="3340"/>
      <c r="D90" s="3340"/>
      <c r="E90" s="3340"/>
      <c r="F90" s="3340"/>
      <c r="G90" s="3340"/>
      <c r="H90" s="3340"/>
      <c r="I90" s="3340"/>
      <c r="J90" s="3340"/>
      <c r="K90" s="3340"/>
      <c r="L90" s="3340"/>
      <c r="M90" s="3340"/>
      <c r="N90" s="3340"/>
      <c r="O90" s="3340"/>
      <c r="P90" s="3340"/>
      <c r="Q90" s="3340"/>
      <c r="R90" s="3340"/>
      <c r="S90" s="3340"/>
      <c r="T90" s="3340"/>
      <c r="U90" s="3340"/>
      <c r="V90" s="3340"/>
      <c r="W90" s="3340"/>
      <c r="X90" s="3340"/>
      <c r="Y90" s="3340"/>
      <c r="Z90" s="3340"/>
      <c r="AA90" s="3340"/>
      <c r="AB90" s="3340"/>
      <c r="AC90" s="3340"/>
      <c r="AD90" s="3340"/>
      <c r="AE90" s="3340"/>
      <c r="AF90" s="3340"/>
      <c r="AG90" s="3340"/>
      <c r="AH90" s="3340"/>
      <c r="AI90" s="3340"/>
      <c r="AJ90" s="3340"/>
      <c r="AK90" s="3340"/>
      <c r="AL90" s="3340"/>
      <c r="AM90" s="3340"/>
      <c r="AN90" s="3340"/>
      <c r="AO90" s="3340"/>
      <c r="AP90" s="3340"/>
      <c r="AQ90" s="3340"/>
      <c r="AR90" s="3340"/>
      <c r="AS90" s="3340"/>
    </row>
    <row r="91" spans="1:45">
      <c r="A91" s="3340"/>
      <c r="B91" s="3340"/>
      <c r="C91" s="3340"/>
      <c r="D91" s="3340"/>
      <c r="E91" s="3340"/>
      <c r="F91" s="3340"/>
      <c r="G91" s="3340"/>
      <c r="H91" s="3340"/>
      <c r="I91" s="3340"/>
      <c r="J91" s="3340"/>
      <c r="K91" s="3340"/>
      <c r="L91" s="3340"/>
      <c r="M91" s="3340"/>
      <c r="N91" s="3340"/>
      <c r="O91" s="3340"/>
      <c r="P91" s="3340"/>
      <c r="Q91" s="3340"/>
      <c r="R91" s="3340"/>
      <c r="S91" s="3340"/>
      <c r="T91" s="3340"/>
      <c r="U91" s="3340"/>
      <c r="V91" s="3340"/>
      <c r="W91" s="3340"/>
      <c r="X91" s="3340"/>
      <c r="Y91" s="3340"/>
      <c r="Z91" s="3340"/>
      <c r="AA91" s="3340"/>
      <c r="AB91" s="3340"/>
      <c r="AC91" s="3340"/>
      <c r="AD91" s="3340"/>
      <c r="AE91" s="3340"/>
      <c r="AF91" s="3340"/>
      <c r="AG91" s="3340"/>
      <c r="AH91" s="3340"/>
      <c r="AI91" s="3340"/>
      <c r="AJ91" s="3340"/>
      <c r="AK91" s="3340"/>
      <c r="AL91" s="3340"/>
      <c r="AM91" s="3340"/>
      <c r="AN91" s="3340"/>
      <c r="AO91" s="3340"/>
      <c r="AP91" s="3340"/>
      <c r="AQ91" s="3340"/>
      <c r="AR91" s="3340"/>
      <c r="AS91" s="3340"/>
    </row>
    <row r="92" spans="1:45">
      <c r="A92" s="3340"/>
      <c r="B92" s="3340"/>
      <c r="C92" s="3340"/>
      <c r="D92" s="3340"/>
      <c r="E92" s="3340"/>
      <c r="F92" s="3340"/>
      <c r="G92" s="3340"/>
      <c r="H92" s="3340"/>
      <c r="I92" s="3340"/>
      <c r="J92" s="3340"/>
      <c r="K92" s="3340"/>
      <c r="L92" s="3340"/>
      <c r="M92" s="3340"/>
      <c r="N92" s="3340"/>
      <c r="O92" s="3340"/>
      <c r="P92" s="3340"/>
      <c r="Q92" s="3340"/>
      <c r="R92" s="3340"/>
      <c r="S92" s="3340"/>
      <c r="T92" s="3340"/>
      <c r="U92" s="3340"/>
      <c r="V92" s="3340"/>
      <c r="W92" s="3340"/>
      <c r="X92" s="3340"/>
      <c r="Y92" s="3340"/>
      <c r="Z92" s="3340"/>
      <c r="AA92" s="3340"/>
      <c r="AB92" s="3340"/>
      <c r="AC92" s="3340"/>
      <c r="AD92" s="3340"/>
      <c r="AE92" s="3340"/>
      <c r="AF92" s="3340"/>
      <c r="AG92" s="3340"/>
      <c r="AH92" s="3340"/>
      <c r="AI92" s="3340"/>
      <c r="AJ92" s="3340"/>
      <c r="AK92" s="3340"/>
      <c r="AL92" s="3340"/>
      <c r="AM92" s="3340"/>
      <c r="AN92" s="3340"/>
      <c r="AO92" s="3340"/>
      <c r="AP92" s="3340"/>
      <c r="AQ92" s="3340"/>
      <c r="AR92" s="3340"/>
      <c r="AS92" s="3340"/>
    </row>
    <row r="93" spans="1:45">
      <c r="A93" s="3340"/>
      <c r="B93" s="3340"/>
      <c r="C93" s="3340"/>
      <c r="D93" s="3340"/>
      <c r="E93" s="3340"/>
      <c r="F93" s="3340"/>
      <c r="G93" s="3340"/>
      <c r="H93" s="3340"/>
      <c r="I93" s="3340"/>
      <c r="J93" s="3340"/>
      <c r="K93" s="3340"/>
      <c r="L93" s="3340"/>
      <c r="M93" s="3340"/>
      <c r="N93" s="3340"/>
      <c r="O93" s="3340"/>
      <c r="P93" s="3340"/>
      <c r="Q93" s="3340"/>
      <c r="R93" s="3340"/>
      <c r="S93" s="3340"/>
      <c r="T93" s="3340"/>
      <c r="U93" s="3340"/>
      <c r="V93" s="3340"/>
      <c r="W93" s="3340"/>
      <c r="X93" s="3340"/>
      <c r="Y93" s="3340"/>
      <c r="Z93" s="3340"/>
      <c r="AA93" s="3340"/>
      <c r="AB93" s="3340"/>
      <c r="AC93" s="3340"/>
      <c r="AD93" s="3340"/>
      <c r="AE93" s="3340"/>
      <c r="AF93" s="3340"/>
      <c r="AG93" s="3340"/>
      <c r="AH93" s="3340"/>
      <c r="AI93" s="3340"/>
      <c r="AJ93" s="3340"/>
      <c r="AK93" s="3340"/>
      <c r="AL93" s="3340"/>
      <c r="AM93" s="3340"/>
      <c r="AN93" s="3340"/>
      <c r="AO93" s="3340"/>
      <c r="AP93" s="3340"/>
      <c r="AQ93" s="3340"/>
      <c r="AR93" s="3340"/>
      <c r="AS93" s="3340"/>
    </row>
    <row r="94" spans="1:45">
      <c r="A94" s="3340"/>
      <c r="B94" s="3340"/>
      <c r="C94" s="3340"/>
      <c r="D94" s="3340"/>
      <c r="E94" s="3340"/>
      <c r="F94" s="3340"/>
      <c r="G94" s="3340"/>
      <c r="H94" s="3340"/>
      <c r="I94" s="3340"/>
      <c r="J94" s="3340"/>
      <c r="K94" s="3340"/>
      <c r="L94" s="3340"/>
      <c r="M94" s="3340"/>
      <c r="N94" s="3340"/>
      <c r="O94" s="3340"/>
      <c r="P94" s="3340"/>
      <c r="Q94" s="3340"/>
      <c r="R94" s="3340"/>
      <c r="S94" s="3340"/>
      <c r="T94" s="3340"/>
      <c r="U94" s="3340"/>
      <c r="V94" s="3340"/>
      <c r="W94" s="3340"/>
      <c r="X94" s="3340"/>
      <c r="Y94" s="3340"/>
      <c r="Z94" s="3340"/>
      <c r="AA94" s="3340"/>
      <c r="AB94" s="3340"/>
      <c r="AC94" s="3340"/>
      <c r="AD94" s="3340"/>
      <c r="AE94" s="3340"/>
      <c r="AF94" s="3340"/>
      <c r="AG94" s="3340"/>
      <c r="AH94" s="3340"/>
      <c r="AI94" s="3340"/>
      <c r="AJ94" s="3340"/>
      <c r="AK94" s="3340"/>
      <c r="AL94" s="3340"/>
      <c r="AM94" s="3340"/>
      <c r="AN94" s="3340"/>
      <c r="AO94" s="3340"/>
      <c r="AP94" s="3340"/>
      <c r="AQ94" s="3340"/>
      <c r="AR94" s="3340"/>
      <c r="AS94" s="3340"/>
    </row>
    <row r="95" spans="1:45">
      <c r="A95" s="3340"/>
      <c r="B95" s="3340"/>
      <c r="C95" s="3340"/>
      <c r="D95" s="3340"/>
      <c r="E95" s="3340"/>
      <c r="F95" s="3340"/>
      <c r="G95" s="3340"/>
      <c r="H95" s="3340"/>
      <c r="I95" s="3340"/>
      <c r="J95" s="3340"/>
      <c r="K95" s="3340"/>
      <c r="L95" s="3340"/>
      <c r="M95" s="3340"/>
      <c r="N95" s="3340"/>
      <c r="O95" s="3340"/>
      <c r="P95" s="3340"/>
      <c r="Q95" s="3340"/>
      <c r="R95" s="3340"/>
      <c r="S95" s="3340"/>
      <c r="T95" s="3340"/>
      <c r="U95" s="3340"/>
      <c r="V95" s="3340"/>
      <c r="W95" s="3340"/>
      <c r="X95" s="3340"/>
      <c r="Y95" s="3340"/>
      <c r="Z95" s="3340"/>
      <c r="AA95" s="3340"/>
      <c r="AB95" s="3340"/>
      <c r="AC95" s="3340"/>
      <c r="AD95" s="3340"/>
      <c r="AE95" s="3340"/>
      <c r="AF95" s="3340"/>
      <c r="AG95" s="3340"/>
      <c r="AH95" s="3340"/>
      <c r="AI95" s="3340"/>
      <c r="AJ95" s="3340"/>
      <c r="AK95" s="3340"/>
      <c r="AL95" s="3340"/>
      <c r="AM95" s="3340"/>
      <c r="AN95" s="3340"/>
      <c r="AO95" s="3340"/>
      <c r="AP95" s="3340"/>
      <c r="AQ95" s="3340"/>
      <c r="AR95" s="3340"/>
      <c r="AS95" s="3340"/>
    </row>
    <row r="96" spans="1:45">
      <c r="A96" s="3340"/>
      <c r="B96" s="3340"/>
      <c r="C96" s="3340"/>
      <c r="D96" s="3340"/>
      <c r="E96" s="3340"/>
      <c r="F96" s="3340"/>
      <c r="G96" s="3340"/>
      <c r="H96" s="3340"/>
      <c r="I96" s="3340"/>
      <c r="J96" s="3340"/>
      <c r="K96" s="3340"/>
      <c r="L96" s="3340"/>
      <c r="M96" s="3340"/>
      <c r="N96" s="3340"/>
      <c r="O96" s="3340"/>
      <c r="P96" s="3340"/>
      <c r="Q96" s="3340"/>
      <c r="R96" s="3340"/>
      <c r="S96" s="3340"/>
      <c r="T96" s="3340"/>
      <c r="U96" s="3340"/>
      <c r="V96" s="3340"/>
      <c r="W96" s="3340"/>
      <c r="X96" s="3340"/>
      <c r="Y96" s="3340"/>
      <c r="Z96" s="3340"/>
      <c r="AA96" s="3340"/>
      <c r="AB96" s="3340"/>
      <c r="AC96" s="3340"/>
      <c r="AD96" s="3340"/>
      <c r="AE96" s="3340"/>
      <c r="AF96" s="3340"/>
      <c r="AG96" s="3340"/>
      <c r="AH96" s="3340"/>
      <c r="AI96" s="3340"/>
      <c r="AJ96" s="3340"/>
      <c r="AK96" s="3340"/>
      <c r="AL96" s="3340"/>
      <c r="AM96" s="3340"/>
      <c r="AN96" s="3340"/>
      <c r="AO96" s="3340"/>
      <c r="AP96" s="3340"/>
      <c r="AQ96" s="3340"/>
      <c r="AR96" s="3340"/>
      <c r="AS96" s="3340"/>
    </row>
    <row r="97" spans="1:45">
      <c r="A97" s="3340"/>
      <c r="B97" s="3340"/>
      <c r="C97" s="3340"/>
      <c r="D97" s="3340"/>
      <c r="E97" s="3340"/>
      <c r="F97" s="3340"/>
      <c r="G97" s="3340"/>
      <c r="H97" s="3340"/>
      <c r="I97" s="3340"/>
      <c r="J97" s="3340"/>
      <c r="K97" s="3340"/>
      <c r="L97" s="3340"/>
      <c r="M97" s="3340"/>
      <c r="N97" s="3340"/>
      <c r="O97" s="3340"/>
      <c r="P97" s="3340"/>
      <c r="Q97" s="3340"/>
      <c r="R97" s="3340"/>
      <c r="S97" s="3340"/>
      <c r="T97" s="3340"/>
      <c r="U97" s="3340"/>
      <c r="V97" s="3340"/>
      <c r="W97" s="3340"/>
      <c r="X97" s="3340"/>
      <c r="Y97" s="3340"/>
      <c r="Z97" s="3340"/>
      <c r="AA97" s="3340"/>
      <c r="AB97" s="3340"/>
      <c r="AC97" s="3340"/>
      <c r="AD97" s="3340"/>
      <c r="AE97" s="3340"/>
      <c r="AF97" s="3340"/>
      <c r="AG97" s="3340"/>
      <c r="AH97" s="3340"/>
      <c r="AI97" s="3340"/>
      <c r="AJ97" s="3340"/>
      <c r="AK97" s="3340"/>
      <c r="AL97" s="3340"/>
      <c r="AM97" s="3340"/>
      <c r="AN97" s="3340"/>
      <c r="AO97" s="3340"/>
      <c r="AP97" s="3340"/>
      <c r="AQ97" s="3340"/>
      <c r="AR97" s="3340"/>
      <c r="AS97" s="3340"/>
    </row>
    <row r="98" spans="1:45">
      <c r="A98" s="3340"/>
      <c r="B98" s="3340"/>
      <c r="C98" s="3340"/>
      <c r="D98" s="3340"/>
      <c r="E98" s="3340"/>
      <c r="F98" s="3340"/>
      <c r="G98" s="3340"/>
      <c r="H98" s="3340"/>
      <c r="I98" s="3340"/>
      <c r="J98" s="3340"/>
      <c r="K98" s="3340"/>
      <c r="L98" s="3340"/>
      <c r="M98" s="3340"/>
      <c r="N98" s="3340"/>
      <c r="O98" s="3340"/>
      <c r="P98" s="3340"/>
      <c r="Q98" s="3340"/>
      <c r="R98" s="3340"/>
      <c r="S98" s="3340"/>
      <c r="T98" s="3340"/>
      <c r="U98" s="3340"/>
      <c r="V98" s="3340"/>
      <c r="W98" s="3340"/>
      <c r="X98" s="3340"/>
      <c r="Y98" s="3340"/>
      <c r="Z98" s="3340"/>
      <c r="AA98" s="3340"/>
      <c r="AB98" s="3340"/>
      <c r="AC98" s="3340"/>
      <c r="AD98" s="3340"/>
      <c r="AE98" s="3340"/>
      <c r="AF98" s="3340"/>
      <c r="AG98" s="3340"/>
      <c r="AH98" s="3340"/>
      <c r="AI98" s="3340"/>
      <c r="AJ98" s="3340"/>
      <c r="AK98" s="3340"/>
      <c r="AL98" s="3340"/>
      <c r="AM98" s="3340"/>
      <c r="AN98" s="3340"/>
      <c r="AO98" s="3340"/>
      <c r="AP98" s="3340"/>
      <c r="AQ98" s="3340"/>
      <c r="AR98" s="3340"/>
      <c r="AS98" s="3340"/>
    </row>
    <row r="99" spans="1:45">
      <c r="A99" s="3340"/>
      <c r="B99" s="3340"/>
      <c r="C99" s="3340"/>
      <c r="D99" s="3340"/>
      <c r="E99" s="3340"/>
      <c r="F99" s="3340"/>
      <c r="G99" s="3340"/>
      <c r="H99" s="3340"/>
      <c r="I99" s="3340"/>
      <c r="J99" s="3340"/>
      <c r="K99" s="3340"/>
      <c r="L99" s="3340"/>
      <c r="M99" s="3340"/>
      <c r="N99" s="3340"/>
      <c r="O99" s="3340"/>
      <c r="P99" s="3340"/>
      <c r="Q99" s="3340"/>
      <c r="R99" s="3340"/>
      <c r="S99" s="3340"/>
      <c r="T99" s="3340"/>
      <c r="U99" s="3340"/>
      <c r="V99" s="3340"/>
      <c r="W99" s="3340"/>
      <c r="X99" s="3340"/>
      <c r="Y99" s="3340"/>
      <c r="Z99" s="3340"/>
      <c r="AA99" s="3340"/>
      <c r="AB99" s="3340"/>
      <c r="AC99" s="3340"/>
      <c r="AD99" s="3340"/>
      <c r="AE99" s="3340"/>
      <c r="AF99" s="3340"/>
      <c r="AG99" s="3340"/>
      <c r="AH99" s="3340"/>
      <c r="AI99" s="3340"/>
      <c r="AJ99" s="3340"/>
      <c r="AK99" s="3340"/>
      <c r="AL99" s="3340"/>
      <c r="AM99" s="3340"/>
      <c r="AN99" s="3340"/>
      <c r="AO99" s="3340"/>
      <c r="AP99" s="3340"/>
      <c r="AQ99" s="3340"/>
      <c r="AR99" s="3340"/>
      <c r="AS99" s="3340"/>
    </row>
    <row r="100" spans="1:45">
      <c r="A100" s="3340"/>
      <c r="B100" s="3340"/>
      <c r="C100" s="3340"/>
      <c r="D100" s="3340"/>
      <c r="E100" s="3340"/>
      <c r="F100" s="3340"/>
      <c r="G100" s="3340"/>
      <c r="H100" s="3340"/>
      <c r="I100" s="3340"/>
      <c r="J100" s="3340"/>
      <c r="K100" s="3340"/>
      <c r="L100" s="3340"/>
      <c r="M100" s="3340"/>
      <c r="N100" s="3340"/>
      <c r="O100" s="3340"/>
      <c r="P100" s="3340"/>
      <c r="Q100" s="3340"/>
      <c r="R100" s="3340"/>
      <c r="S100" s="3340"/>
      <c r="T100" s="3340"/>
      <c r="U100" s="3340"/>
      <c r="V100" s="3340"/>
      <c r="W100" s="3340"/>
      <c r="X100" s="3340"/>
      <c r="Y100" s="3340"/>
      <c r="Z100" s="3340"/>
      <c r="AA100" s="3340"/>
      <c r="AB100" s="3340"/>
      <c r="AC100" s="3340"/>
      <c r="AD100" s="3340"/>
      <c r="AE100" s="3340"/>
      <c r="AF100" s="3340"/>
      <c r="AG100" s="3340"/>
      <c r="AH100" s="3340"/>
      <c r="AI100" s="3340"/>
      <c r="AJ100" s="3340"/>
      <c r="AK100" s="3340"/>
      <c r="AL100" s="3340"/>
      <c r="AM100" s="3340"/>
      <c r="AN100" s="3340"/>
      <c r="AO100" s="3340"/>
      <c r="AP100" s="3340"/>
      <c r="AQ100" s="3340"/>
      <c r="AR100" s="3340"/>
      <c r="AS100" s="3340"/>
    </row>
    <row r="101" spans="1:45">
      <c r="A101" s="3340"/>
      <c r="B101" s="3340"/>
      <c r="C101" s="3340"/>
      <c r="D101" s="3340"/>
      <c r="E101" s="3340"/>
      <c r="F101" s="3340"/>
      <c r="G101" s="3340"/>
      <c r="H101" s="3340"/>
      <c r="I101" s="3340"/>
      <c r="J101" s="3340"/>
      <c r="K101" s="3340"/>
      <c r="L101" s="3340"/>
      <c r="M101" s="3340"/>
      <c r="N101" s="3340"/>
      <c r="O101" s="3340"/>
      <c r="P101" s="3340"/>
      <c r="Q101" s="3340"/>
      <c r="R101" s="3340"/>
      <c r="S101" s="3340"/>
      <c r="T101" s="3340"/>
      <c r="U101" s="3340"/>
      <c r="V101" s="3340"/>
      <c r="W101" s="3340"/>
      <c r="X101" s="3340"/>
      <c r="Y101" s="3340"/>
      <c r="Z101" s="3340"/>
      <c r="AA101" s="3340"/>
      <c r="AB101" s="3340"/>
      <c r="AC101" s="3340"/>
      <c r="AD101" s="3340"/>
      <c r="AE101" s="3340"/>
      <c r="AF101" s="3340"/>
      <c r="AG101" s="3340"/>
      <c r="AH101" s="3340"/>
      <c r="AI101" s="3340"/>
      <c r="AJ101" s="3340"/>
      <c r="AK101" s="3340"/>
      <c r="AL101" s="3340"/>
      <c r="AM101" s="3340"/>
      <c r="AN101" s="3340"/>
      <c r="AO101" s="3340"/>
      <c r="AP101" s="3340"/>
      <c r="AQ101" s="3340"/>
      <c r="AR101" s="3340"/>
      <c r="AS101" s="3340"/>
    </row>
    <row r="102" spans="1:45">
      <c r="A102" s="3340"/>
      <c r="B102" s="3340"/>
      <c r="C102" s="3340"/>
      <c r="D102" s="3340"/>
      <c r="E102" s="3340"/>
      <c r="F102" s="3340"/>
      <c r="G102" s="3340"/>
      <c r="H102" s="3340"/>
      <c r="I102" s="3340"/>
      <c r="J102" s="3340"/>
      <c r="K102" s="3340"/>
      <c r="L102" s="3340"/>
      <c r="M102" s="3340"/>
      <c r="N102" s="3340"/>
      <c r="O102" s="3340"/>
      <c r="P102" s="3340"/>
      <c r="Q102" s="3340"/>
      <c r="R102" s="3340"/>
      <c r="S102" s="3340"/>
      <c r="T102" s="3340"/>
      <c r="U102" s="3340"/>
      <c r="V102" s="3340"/>
      <c r="W102" s="3340"/>
      <c r="X102" s="3340"/>
      <c r="Y102" s="3340"/>
      <c r="Z102" s="3340"/>
      <c r="AA102" s="3340"/>
      <c r="AB102" s="3340"/>
      <c r="AC102" s="3340"/>
      <c r="AD102" s="3340"/>
      <c r="AE102" s="3340"/>
      <c r="AF102" s="3340"/>
      <c r="AG102" s="3340"/>
      <c r="AH102" s="3340"/>
      <c r="AI102" s="3340"/>
      <c r="AJ102" s="3340"/>
      <c r="AK102" s="3340"/>
      <c r="AL102" s="3340"/>
      <c r="AM102" s="3340"/>
      <c r="AN102" s="3340"/>
      <c r="AO102" s="3340"/>
      <c r="AP102" s="3340"/>
      <c r="AQ102" s="3340"/>
      <c r="AR102" s="3340"/>
      <c r="AS102" s="3340"/>
    </row>
    <row r="103" spans="1:45">
      <c r="A103" s="3340"/>
      <c r="B103" s="3340"/>
      <c r="C103" s="3340"/>
      <c r="D103" s="3340"/>
      <c r="E103" s="3340"/>
      <c r="F103" s="3340"/>
      <c r="G103" s="3340"/>
      <c r="H103" s="3340"/>
      <c r="I103" s="3340"/>
      <c r="J103" s="3340"/>
      <c r="K103" s="3340"/>
      <c r="L103" s="3340"/>
      <c r="M103" s="3340"/>
      <c r="N103" s="3340"/>
      <c r="O103" s="3340"/>
      <c r="P103" s="3340"/>
      <c r="Q103" s="3340"/>
      <c r="R103" s="3340"/>
      <c r="S103" s="3340"/>
      <c r="T103" s="3340"/>
      <c r="U103" s="3340"/>
      <c r="V103" s="3340"/>
      <c r="W103" s="3340"/>
      <c r="X103" s="3340"/>
      <c r="Y103" s="3340"/>
      <c r="Z103" s="3340"/>
      <c r="AA103" s="3340"/>
      <c r="AB103" s="3340"/>
      <c r="AC103" s="3340"/>
      <c r="AD103" s="3340"/>
      <c r="AE103" s="3340"/>
      <c r="AF103" s="3340"/>
      <c r="AG103" s="3340"/>
      <c r="AH103" s="3340"/>
      <c r="AI103" s="3340"/>
      <c r="AJ103" s="3340"/>
      <c r="AK103" s="3340"/>
      <c r="AL103" s="3340"/>
      <c r="AM103" s="3340"/>
      <c r="AN103" s="3340"/>
      <c r="AO103" s="3340"/>
      <c r="AP103" s="3340"/>
      <c r="AQ103" s="3340"/>
      <c r="AR103" s="3340"/>
      <c r="AS103" s="3340"/>
    </row>
    <row r="104" spans="1:45">
      <c r="A104" s="3340"/>
      <c r="B104" s="3340"/>
      <c r="C104" s="3340"/>
      <c r="D104" s="3340"/>
      <c r="E104" s="3340"/>
      <c r="F104" s="3340"/>
      <c r="G104" s="3340"/>
      <c r="H104" s="3340"/>
      <c r="I104" s="3340"/>
      <c r="J104" s="3340"/>
      <c r="K104" s="3340"/>
      <c r="L104" s="3340"/>
      <c r="M104" s="3340"/>
      <c r="N104" s="3340"/>
      <c r="O104" s="3340"/>
      <c r="P104" s="3340"/>
      <c r="Q104" s="3340"/>
      <c r="R104" s="3340"/>
      <c r="S104" s="3340"/>
      <c r="T104" s="3340"/>
      <c r="U104" s="3340"/>
      <c r="V104" s="3340"/>
      <c r="W104" s="3340"/>
      <c r="X104" s="3340"/>
      <c r="Y104" s="3340"/>
      <c r="Z104" s="3340"/>
      <c r="AA104" s="3340"/>
      <c r="AB104" s="3340"/>
      <c r="AC104" s="3340"/>
      <c r="AD104" s="3340"/>
      <c r="AE104" s="3340"/>
      <c r="AF104" s="3340"/>
      <c r="AG104" s="3340"/>
      <c r="AH104" s="3340"/>
      <c r="AI104" s="3340"/>
      <c r="AJ104" s="3340"/>
      <c r="AK104" s="3340"/>
      <c r="AL104" s="3340"/>
      <c r="AM104" s="3340"/>
      <c r="AN104" s="3340"/>
      <c r="AO104" s="3340"/>
      <c r="AP104" s="3340"/>
      <c r="AQ104" s="3340"/>
      <c r="AR104" s="3340"/>
      <c r="AS104" s="3340"/>
    </row>
    <row r="105" spans="1:45">
      <c r="A105" s="3340"/>
      <c r="B105" s="3340"/>
      <c r="C105" s="3340"/>
      <c r="D105" s="3340"/>
      <c r="E105" s="3340"/>
      <c r="F105" s="3340"/>
      <c r="G105" s="3340"/>
      <c r="H105" s="3340"/>
      <c r="I105" s="3340"/>
      <c r="J105" s="3340"/>
      <c r="K105" s="3340"/>
      <c r="L105" s="3340"/>
      <c r="M105" s="3340"/>
      <c r="N105" s="3340"/>
      <c r="O105" s="3340"/>
      <c r="P105" s="3340"/>
      <c r="Q105" s="3340"/>
      <c r="R105" s="3340"/>
      <c r="S105" s="3340"/>
      <c r="T105" s="3340"/>
      <c r="U105" s="3340"/>
      <c r="V105" s="3340"/>
      <c r="W105" s="3340"/>
      <c r="X105" s="3340"/>
      <c r="Y105" s="3340"/>
      <c r="Z105" s="3340"/>
      <c r="AA105" s="3340"/>
      <c r="AB105" s="3340"/>
      <c r="AC105" s="3340"/>
      <c r="AD105" s="3340"/>
      <c r="AE105" s="3340"/>
      <c r="AF105" s="3340"/>
      <c r="AG105" s="3340"/>
      <c r="AH105" s="3340"/>
      <c r="AI105" s="3340"/>
      <c r="AJ105" s="3340"/>
      <c r="AK105" s="3340"/>
      <c r="AL105" s="3340"/>
      <c r="AM105" s="3340"/>
      <c r="AN105" s="3340"/>
      <c r="AO105" s="3340"/>
      <c r="AP105" s="3340"/>
      <c r="AQ105" s="3340"/>
      <c r="AR105" s="3340"/>
      <c r="AS105" s="3340"/>
    </row>
    <row r="106" spans="1:45">
      <c r="A106" s="3340"/>
      <c r="B106" s="3340"/>
      <c r="C106" s="3340"/>
      <c r="D106" s="3340"/>
      <c r="E106" s="3340"/>
      <c r="F106" s="3340"/>
      <c r="G106" s="3340"/>
      <c r="H106" s="3340"/>
      <c r="I106" s="3340"/>
      <c r="J106" s="3340"/>
      <c r="K106" s="3340"/>
      <c r="L106" s="3340"/>
      <c r="M106" s="3340"/>
      <c r="N106" s="3340"/>
      <c r="O106" s="3340"/>
      <c r="P106" s="3340"/>
      <c r="Q106" s="3340"/>
      <c r="R106" s="3340"/>
      <c r="S106" s="3340"/>
      <c r="T106" s="3340"/>
      <c r="U106" s="3340"/>
      <c r="V106" s="3340"/>
      <c r="W106" s="3340"/>
      <c r="X106" s="3340"/>
      <c r="Y106" s="3340"/>
      <c r="Z106" s="3340"/>
      <c r="AA106" s="3340"/>
      <c r="AB106" s="3340"/>
      <c r="AC106" s="3340"/>
      <c r="AD106" s="3340"/>
      <c r="AE106" s="3340"/>
      <c r="AF106" s="3340"/>
      <c r="AG106" s="3340"/>
      <c r="AH106" s="3340"/>
      <c r="AI106" s="3340"/>
      <c r="AJ106" s="3340"/>
      <c r="AK106" s="3340"/>
      <c r="AL106" s="3340"/>
      <c r="AM106" s="3340"/>
      <c r="AN106" s="3340"/>
      <c r="AO106" s="3340"/>
      <c r="AP106" s="3340"/>
      <c r="AQ106" s="3340"/>
      <c r="AR106" s="3340"/>
      <c r="AS106" s="3340"/>
    </row>
    <row r="107" spans="1:45">
      <c r="A107" s="3340"/>
      <c r="B107" s="3340"/>
      <c r="C107" s="3340"/>
      <c r="D107" s="3340"/>
      <c r="E107" s="3340"/>
      <c r="F107" s="3340"/>
      <c r="G107" s="3340"/>
      <c r="H107" s="3340"/>
      <c r="I107" s="3340"/>
      <c r="J107" s="3340"/>
      <c r="K107" s="3340"/>
      <c r="L107" s="3340"/>
      <c r="M107" s="3340"/>
      <c r="N107" s="3340"/>
      <c r="O107" s="3340"/>
      <c r="P107" s="3340"/>
      <c r="Q107" s="3340"/>
      <c r="R107" s="3340"/>
      <c r="S107" s="3340"/>
      <c r="T107" s="3340"/>
      <c r="U107" s="3340"/>
      <c r="V107" s="3340"/>
      <c r="W107" s="3340"/>
      <c r="X107" s="3340"/>
      <c r="Y107" s="3340"/>
      <c r="Z107" s="3340"/>
      <c r="AA107" s="3340"/>
      <c r="AB107" s="3340"/>
      <c r="AC107" s="3340"/>
      <c r="AD107" s="3340"/>
      <c r="AE107" s="3340"/>
      <c r="AF107" s="3340"/>
      <c r="AG107" s="3340"/>
      <c r="AH107" s="3340"/>
      <c r="AI107" s="3340"/>
      <c r="AJ107" s="3340"/>
      <c r="AK107" s="3340"/>
      <c r="AL107" s="3340"/>
      <c r="AM107" s="3340"/>
      <c r="AN107" s="3340"/>
      <c r="AO107" s="3340"/>
      <c r="AP107" s="3340"/>
      <c r="AQ107" s="3340"/>
      <c r="AR107" s="3340"/>
      <c r="AS107" s="3340"/>
    </row>
    <row r="108" spans="1:45">
      <c r="A108" s="3340"/>
      <c r="B108" s="3340"/>
      <c r="C108" s="3340"/>
      <c r="D108" s="3340"/>
      <c r="E108" s="3340"/>
      <c r="F108" s="3340"/>
      <c r="G108" s="3340"/>
      <c r="H108" s="3340"/>
      <c r="I108" s="3340"/>
      <c r="J108" s="3340"/>
      <c r="K108" s="3340"/>
      <c r="L108" s="3340"/>
      <c r="M108" s="3340"/>
      <c r="N108" s="3340"/>
      <c r="O108" s="3340"/>
      <c r="P108" s="3340"/>
      <c r="Q108" s="3340"/>
      <c r="R108" s="3340"/>
      <c r="S108" s="3340"/>
      <c r="T108" s="3340"/>
      <c r="U108" s="3340"/>
      <c r="V108" s="3340"/>
      <c r="W108" s="3340"/>
      <c r="X108" s="3340"/>
      <c r="Y108" s="3340"/>
      <c r="Z108" s="3340"/>
      <c r="AA108" s="3340"/>
      <c r="AB108" s="3340"/>
      <c r="AC108" s="3340"/>
      <c r="AD108" s="3340"/>
      <c r="AE108" s="3340"/>
      <c r="AF108" s="3340"/>
      <c r="AG108" s="3340"/>
      <c r="AH108" s="3340"/>
      <c r="AI108" s="3340"/>
      <c r="AJ108" s="3340"/>
      <c r="AK108" s="3340"/>
      <c r="AL108" s="3340"/>
      <c r="AM108" s="3340"/>
      <c r="AN108" s="3340"/>
      <c r="AO108" s="3340"/>
      <c r="AP108" s="3340"/>
      <c r="AQ108" s="3340"/>
      <c r="AR108" s="3340"/>
      <c r="AS108" s="3340"/>
    </row>
    <row r="109" spans="1:45">
      <c r="A109" s="3340"/>
      <c r="B109" s="3340"/>
      <c r="C109" s="3340"/>
      <c r="D109" s="3340"/>
      <c r="E109" s="3340"/>
      <c r="F109" s="3340"/>
      <c r="G109" s="3340"/>
      <c r="H109" s="3340"/>
      <c r="I109" s="3340"/>
      <c r="J109" s="3340"/>
      <c r="K109" s="3340"/>
      <c r="L109" s="3340"/>
      <c r="M109" s="3340"/>
      <c r="N109" s="3340"/>
      <c r="O109" s="3340"/>
      <c r="P109" s="3340"/>
      <c r="Q109" s="3340"/>
      <c r="R109" s="3340"/>
      <c r="S109" s="3340"/>
      <c r="T109" s="3340"/>
      <c r="U109" s="3340"/>
      <c r="V109" s="3340"/>
      <c r="W109" s="3340"/>
      <c r="X109" s="3340"/>
      <c r="Y109" s="3340"/>
      <c r="Z109" s="3340"/>
      <c r="AA109" s="3340"/>
      <c r="AB109" s="3340"/>
      <c r="AC109" s="3340"/>
      <c r="AD109" s="3340"/>
      <c r="AE109" s="3340"/>
      <c r="AF109" s="3340"/>
      <c r="AG109" s="3340"/>
      <c r="AH109" s="3340"/>
      <c r="AI109" s="3340"/>
      <c r="AJ109" s="3340"/>
      <c r="AK109" s="3340"/>
      <c r="AL109" s="3340"/>
      <c r="AM109" s="3340"/>
      <c r="AN109" s="3340"/>
      <c r="AO109" s="3340"/>
      <c r="AP109" s="3340"/>
      <c r="AQ109" s="3340"/>
      <c r="AR109" s="3340"/>
      <c r="AS109" s="3340"/>
    </row>
    <row r="110" spans="1:45">
      <c r="A110" s="3340"/>
      <c r="B110" s="3340"/>
      <c r="C110" s="3340"/>
      <c r="D110" s="3340"/>
      <c r="E110" s="3340"/>
      <c r="F110" s="3340"/>
      <c r="G110" s="3340"/>
      <c r="H110" s="3340"/>
      <c r="I110" s="3340"/>
      <c r="J110" s="3340"/>
      <c r="K110" s="3340"/>
      <c r="L110" s="3340"/>
      <c r="M110" s="3340"/>
      <c r="N110" s="3340"/>
      <c r="O110" s="3340"/>
      <c r="P110" s="3340"/>
      <c r="Q110" s="3340"/>
      <c r="R110" s="3340"/>
      <c r="S110" s="3340"/>
      <c r="T110" s="3340"/>
      <c r="U110" s="3340"/>
      <c r="V110" s="3340"/>
      <c r="W110" s="3340"/>
      <c r="X110" s="3340"/>
      <c r="Y110" s="3340"/>
      <c r="Z110" s="3340"/>
      <c r="AA110" s="3340"/>
      <c r="AB110" s="3340"/>
      <c r="AC110" s="3340"/>
      <c r="AD110" s="3340"/>
      <c r="AE110" s="3340"/>
      <c r="AF110" s="3340"/>
      <c r="AG110" s="3340"/>
      <c r="AH110" s="3340"/>
      <c r="AI110" s="3340"/>
      <c r="AJ110" s="3340"/>
      <c r="AK110" s="3340"/>
      <c r="AL110" s="3340"/>
      <c r="AM110" s="3340"/>
      <c r="AN110" s="3340"/>
      <c r="AO110" s="3340"/>
      <c r="AP110" s="3340"/>
      <c r="AQ110" s="3340"/>
      <c r="AR110" s="3340"/>
      <c r="AS110" s="3340"/>
    </row>
    <row r="111" spans="1:45">
      <c r="A111" s="3340"/>
      <c r="B111" s="3340"/>
      <c r="C111" s="3340"/>
      <c r="D111" s="3340"/>
      <c r="E111" s="3340"/>
      <c r="F111" s="3340"/>
      <c r="G111" s="3340"/>
      <c r="H111" s="3340"/>
      <c r="I111" s="3340"/>
      <c r="J111" s="3340"/>
      <c r="K111" s="3340"/>
      <c r="L111" s="3340"/>
      <c r="M111" s="3340"/>
      <c r="N111" s="3340"/>
      <c r="O111" s="3340"/>
      <c r="P111" s="3340"/>
      <c r="Q111" s="3340"/>
      <c r="R111" s="3340"/>
      <c r="S111" s="3340"/>
      <c r="T111" s="3340"/>
      <c r="U111" s="3340"/>
      <c r="V111" s="3340"/>
      <c r="W111" s="3340"/>
      <c r="X111" s="3340"/>
      <c r="Y111" s="3340"/>
      <c r="Z111" s="3340"/>
      <c r="AA111" s="3340"/>
      <c r="AB111" s="3340"/>
      <c r="AC111" s="3340"/>
      <c r="AD111" s="3340"/>
      <c r="AE111" s="3340"/>
      <c r="AF111" s="3340"/>
      <c r="AG111" s="3340"/>
      <c r="AH111" s="3340"/>
      <c r="AI111" s="3340"/>
      <c r="AJ111" s="3340"/>
      <c r="AK111" s="3340"/>
      <c r="AL111" s="3340"/>
      <c r="AM111" s="3340"/>
      <c r="AN111" s="3340"/>
      <c r="AO111" s="3340"/>
      <c r="AP111" s="3340"/>
      <c r="AQ111" s="3340"/>
      <c r="AR111" s="3340"/>
      <c r="AS111" s="3340"/>
    </row>
    <row r="112" spans="1:45">
      <c r="A112" s="3340"/>
      <c r="B112" s="3340"/>
      <c r="C112" s="3340"/>
      <c r="D112" s="3340"/>
      <c r="E112" s="3340"/>
      <c r="F112" s="3340"/>
      <c r="G112" s="3340"/>
      <c r="H112" s="3340"/>
      <c r="I112" s="3340"/>
      <c r="J112" s="3340"/>
      <c r="K112" s="3340"/>
      <c r="L112" s="3340"/>
      <c r="M112" s="3340"/>
      <c r="N112" s="3340"/>
      <c r="O112" s="3340"/>
      <c r="P112" s="3340"/>
      <c r="Q112" s="3340"/>
      <c r="R112" s="3340"/>
      <c r="S112" s="3340"/>
      <c r="T112" s="3340"/>
      <c r="U112" s="3340"/>
      <c r="V112" s="3340"/>
      <c r="W112" s="3340"/>
      <c r="X112" s="3340"/>
      <c r="Y112" s="3340"/>
      <c r="Z112" s="3340"/>
      <c r="AA112" s="3340"/>
      <c r="AB112" s="3340"/>
      <c r="AC112" s="3340"/>
      <c r="AD112" s="3340"/>
      <c r="AE112" s="3340"/>
      <c r="AF112" s="3340"/>
      <c r="AG112" s="3340"/>
      <c r="AH112" s="3340"/>
      <c r="AI112" s="3340"/>
      <c r="AJ112" s="3340"/>
      <c r="AK112" s="3340"/>
      <c r="AL112" s="3340"/>
      <c r="AM112" s="3340"/>
      <c r="AN112" s="3340"/>
      <c r="AO112" s="3340"/>
      <c r="AP112" s="3340"/>
      <c r="AQ112" s="3340"/>
      <c r="AR112" s="3340"/>
      <c r="AS112" s="3340"/>
    </row>
    <row r="113" spans="1:45">
      <c r="A113" s="3340"/>
      <c r="B113" s="3340"/>
      <c r="C113" s="3340"/>
      <c r="D113" s="3340"/>
      <c r="E113" s="3340"/>
      <c r="F113" s="3340"/>
      <c r="G113" s="3340"/>
      <c r="H113" s="3340"/>
      <c r="I113" s="3340"/>
      <c r="J113" s="3340"/>
      <c r="K113" s="3340"/>
      <c r="L113" s="3340"/>
      <c r="M113" s="3340"/>
      <c r="N113" s="3340"/>
      <c r="O113" s="3340"/>
      <c r="P113" s="3340"/>
      <c r="Q113" s="3340"/>
      <c r="R113" s="3340"/>
      <c r="S113" s="3340"/>
      <c r="T113" s="3340"/>
      <c r="U113" s="3340"/>
      <c r="V113" s="3340"/>
      <c r="W113" s="3340"/>
      <c r="X113" s="3340"/>
      <c r="Y113" s="3340"/>
      <c r="Z113" s="3340"/>
      <c r="AA113" s="3340"/>
      <c r="AB113" s="3340"/>
      <c r="AC113" s="3340"/>
      <c r="AD113" s="3340"/>
      <c r="AE113" s="3340"/>
      <c r="AF113" s="3340"/>
      <c r="AG113" s="3340"/>
      <c r="AH113" s="3340"/>
      <c r="AI113" s="3340"/>
      <c r="AJ113" s="3340"/>
      <c r="AK113" s="3340"/>
      <c r="AL113" s="3340"/>
      <c r="AM113" s="3340"/>
      <c r="AN113" s="3340"/>
      <c r="AO113" s="3340"/>
      <c r="AP113" s="3340"/>
      <c r="AQ113" s="3340"/>
      <c r="AR113" s="3340"/>
      <c r="AS113" s="3340"/>
    </row>
    <row r="114" spans="1:45">
      <c r="A114" s="3340"/>
      <c r="B114" s="3340"/>
      <c r="C114" s="3340"/>
      <c r="D114" s="3340"/>
      <c r="E114" s="3340"/>
      <c r="F114" s="3340"/>
      <c r="G114" s="3340"/>
      <c r="H114" s="3340"/>
      <c r="I114" s="3340"/>
      <c r="J114" s="3340"/>
      <c r="K114" s="3340"/>
      <c r="L114" s="3340"/>
      <c r="M114" s="3340"/>
      <c r="N114" s="3340"/>
      <c r="O114" s="3340"/>
      <c r="P114" s="3340"/>
      <c r="Q114" s="3340"/>
      <c r="R114" s="3340"/>
      <c r="S114" s="3340"/>
      <c r="T114" s="3340"/>
      <c r="U114" s="3340"/>
      <c r="V114" s="3340"/>
      <c r="W114" s="3340"/>
      <c r="X114" s="3340"/>
      <c r="Y114" s="3340"/>
      <c r="Z114" s="3340"/>
      <c r="AA114" s="3340"/>
      <c r="AB114" s="3340"/>
      <c r="AC114" s="3340"/>
      <c r="AD114" s="3340"/>
      <c r="AE114" s="3340"/>
      <c r="AF114" s="3340"/>
      <c r="AG114" s="3340"/>
      <c r="AH114" s="3340"/>
      <c r="AI114" s="3340"/>
      <c r="AJ114" s="3340"/>
      <c r="AK114" s="3340"/>
      <c r="AL114" s="3340"/>
      <c r="AM114" s="3340"/>
      <c r="AN114" s="3340"/>
      <c r="AO114" s="3340"/>
      <c r="AP114" s="3340"/>
      <c r="AQ114" s="3340"/>
      <c r="AR114" s="3340"/>
      <c r="AS114" s="3340"/>
    </row>
    <row r="115" spans="1:45">
      <c r="A115" s="3340"/>
      <c r="B115" s="3340"/>
      <c r="C115" s="3340"/>
      <c r="D115" s="3340"/>
      <c r="E115" s="3340"/>
      <c r="F115" s="3340"/>
      <c r="G115" s="3340"/>
      <c r="H115" s="3340"/>
      <c r="I115" s="3340"/>
      <c r="J115" s="3340"/>
      <c r="K115" s="3340"/>
      <c r="L115" s="3340"/>
      <c r="M115" s="3340"/>
      <c r="N115" s="3340"/>
      <c r="O115" s="3340"/>
      <c r="P115" s="3340"/>
      <c r="Q115" s="3340"/>
      <c r="R115" s="3340"/>
      <c r="S115" s="3340"/>
      <c r="T115" s="3340"/>
      <c r="U115" s="3340"/>
      <c r="V115" s="3340"/>
      <c r="W115" s="3340"/>
      <c r="X115" s="3340"/>
      <c r="Y115" s="3340"/>
      <c r="Z115" s="3340"/>
      <c r="AA115" s="3340"/>
      <c r="AB115" s="3340"/>
      <c r="AC115" s="3340"/>
      <c r="AD115" s="3340"/>
      <c r="AE115" s="3340"/>
      <c r="AF115" s="3340"/>
      <c r="AG115" s="3340"/>
      <c r="AH115" s="3340"/>
      <c r="AI115" s="3340"/>
      <c r="AJ115" s="3340"/>
      <c r="AK115" s="3340"/>
      <c r="AL115" s="3340"/>
      <c r="AM115" s="3340"/>
      <c r="AN115" s="3340"/>
      <c r="AO115" s="3340"/>
      <c r="AP115" s="3340"/>
      <c r="AQ115" s="3340"/>
      <c r="AR115" s="3340"/>
      <c r="AS115" s="3340"/>
    </row>
    <row r="116" spans="1:45">
      <c r="A116" s="3340"/>
      <c r="B116" s="3340"/>
      <c r="C116" s="3340"/>
      <c r="D116" s="3340"/>
      <c r="E116" s="3340"/>
      <c r="F116" s="3340"/>
      <c r="G116" s="3340"/>
      <c r="H116" s="3340"/>
      <c r="I116" s="3340"/>
      <c r="J116" s="3340"/>
      <c r="K116" s="3340"/>
      <c r="L116" s="3340"/>
      <c r="M116" s="3340"/>
      <c r="N116" s="3340"/>
      <c r="O116" s="3340"/>
      <c r="P116" s="3340"/>
      <c r="Q116" s="3340"/>
      <c r="R116" s="3340"/>
      <c r="S116" s="3340"/>
      <c r="T116" s="3340"/>
      <c r="U116" s="3340"/>
      <c r="V116" s="3340"/>
      <c r="W116" s="3340"/>
      <c r="X116" s="3340"/>
      <c r="Y116" s="3340"/>
      <c r="Z116" s="3340"/>
      <c r="AA116" s="3340"/>
      <c r="AB116" s="3340"/>
      <c r="AC116" s="3340"/>
      <c r="AD116" s="3340"/>
      <c r="AE116" s="3340"/>
      <c r="AF116" s="3340"/>
      <c r="AG116" s="3340"/>
      <c r="AH116" s="3340"/>
      <c r="AI116" s="3340"/>
      <c r="AJ116" s="3340"/>
      <c r="AK116" s="3340"/>
      <c r="AL116" s="3340"/>
      <c r="AM116" s="3340"/>
      <c r="AN116" s="3340"/>
      <c r="AO116" s="3340"/>
      <c r="AP116" s="3340"/>
      <c r="AQ116" s="3340"/>
      <c r="AR116" s="3340"/>
      <c r="AS116" s="3340"/>
    </row>
    <row r="117" spans="1:45">
      <c r="A117" s="3340"/>
      <c r="B117" s="3340"/>
      <c r="C117" s="3340"/>
      <c r="D117" s="3340"/>
      <c r="E117" s="3340"/>
      <c r="F117" s="3340"/>
      <c r="G117" s="3340"/>
      <c r="H117" s="3340"/>
      <c r="I117" s="3340"/>
      <c r="J117" s="3340"/>
      <c r="K117" s="3340"/>
      <c r="L117" s="3340"/>
      <c r="M117" s="3340"/>
      <c r="N117" s="3340"/>
      <c r="O117" s="3340"/>
      <c r="P117" s="3340"/>
      <c r="Q117" s="3340"/>
      <c r="R117" s="3340"/>
      <c r="S117" s="3340"/>
      <c r="T117" s="3340"/>
      <c r="U117" s="3340"/>
      <c r="V117" s="3340"/>
      <c r="W117" s="3340"/>
      <c r="X117" s="3340"/>
      <c r="Y117" s="3340"/>
      <c r="Z117" s="3340"/>
      <c r="AA117" s="3340"/>
      <c r="AB117" s="3340"/>
      <c r="AC117" s="3340"/>
      <c r="AD117" s="3340"/>
      <c r="AE117" s="3340"/>
      <c r="AF117" s="3340"/>
      <c r="AG117" s="3340"/>
      <c r="AH117" s="3340"/>
      <c r="AI117" s="3340"/>
      <c r="AJ117" s="3340"/>
      <c r="AK117" s="3340"/>
      <c r="AL117" s="3340"/>
      <c r="AM117" s="3340"/>
      <c r="AN117" s="3340"/>
      <c r="AO117" s="3340"/>
      <c r="AP117" s="3340"/>
      <c r="AQ117" s="3340"/>
      <c r="AR117" s="3340"/>
      <c r="AS117" s="3340"/>
    </row>
    <row r="118" spans="1:45">
      <c r="A118" s="3340"/>
      <c r="B118" s="3340"/>
      <c r="C118" s="3340"/>
      <c r="D118" s="3340"/>
      <c r="E118" s="3340"/>
      <c r="F118" s="3340"/>
      <c r="G118" s="3340"/>
      <c r="H118" s="3340"/>
      <c r="I118" s="3340"/>
      <c r="J118" s="3340"/>
      <c r="K118" s="3340"/>
      <c r="L118" s="3340"/>
      <c r="M118" s="3340"/>
      <c r="N118" s="3340"/>
      <c r="O118" s="3340"/>
      <c r="P118" s="3340"/>
      <c r="Q118" s="3340"/>
      <c r="R118" s="3340"/>
      <c r="S118" s="3340"/>
      <c r="T118" s="3340"/>
      <c r="U118" s="3340"/>
      <c r="V118" s="3340"/>
      <c r="W118" s="3340"/>
      <c r="X118" s="3340"/>
      <c r="Y118" s="3340"/>
      <c r="Z118" s="3340"/>
      <c r="AA118" s="3340"/>
      <c r="AB118" s="3340"/>
      <c r="AC118" s="3340"/>
      <c r="AD118" s="3340"/>
      <c r="AE118" s="3340"/>
      <c r="AF118" s="3340"/>
      <c r="AG118" s="3340"/>
      <c r="AH118" s="3340"/>
      <c r="AI118" s="3340"/>
      <c r="AJ118" s="3340"/>
      <c r="AK118" s="3340"/>
      <c r="AL118" s="3340"/>
      <c r="AM118" s="3340"/>
      <c r="AN118" s="3340"/>
      <c r="AO118" s="3340"/>
      <c r="AP118" s="3340"/>
      <c r="AQ118" s="3340"/>
      <c r="AR118" s="3340"/>
      <c r="AS118" s="3340"/>
    </row>
    <row r="119" spans="1:45">
      <c r="A119" s="3340"/>
      <c r="B119" s="3340"/>
      <c r="C119" s="3340"/>
      <c r="D119" s="3340"/>
      <c r="E119" s="3340"/>
      <c r="F119" s="3340"/>
      <c r="G119" s="3340"/>
      <c r="H119" s="3340"/>
      <c r="I119" s="3340"/>
      <c r="J119" s="3340"/>
      <c r="K119" s="3340"/>
      <c r="L119" s="3340"/>
      <c r="M119" s="3340"/>
      <c r="N119" s="3340"/>
      <c r="O119" s="3340"/>
      <c r="P119" s="3340"/>
      <c r="Q119" s="3340"/>
      <c r="R119" s="3340"/>
      <c r="S119" s="3340"/>
      <c r="T119" s="3340"/>
      <c r="U119" s="3340"/>
      <c r="V119" s="3340"/>
      <c r="W119" s="3340"/>
      <c r="X119" s="3340"/>
      <c r="Y119" s="3340"/>
      <c r="Z119" s="3340"/>
      <c r="AA119" s="3340"/>
      <c r="AB119" s="3340"/>
      <c r="AC119" s="3340"/>
      <c r="AD119" s="3340"/>
      <c r="AE119" s="3340"/>
      <c r="AF119" s="3340"/>
      <c r="AG119" s="3340"/>
      <c r="AH119" s="3340"/>
      <c r="AI119" s="3340"/>
      <c r="AJ119" s="3340"/>
      <c r="AK119" s="3340"/>
      <c r="AL119" s="3340"/>
      <c r="AM119" s="3340"/>
      <c r="AN119" s="3340"/>
      <c r="AO119" s="3340"/>
      <c r="AP119" s="3340"/>
      <c r="AQ119" s="3340"/>
      <c r="AR119" s="3340"/>
      <c r="AS119" s="3340"/>
    </row>
    <row r="120" spans="1:45">
      <c r="A120" s="3340"/>
      <c r="B120" s="3340"/>
      <c r="C120" s="3340"/>
      <c r="D120" s="3340"/>
      <c r="E120" s="3340"/>
      <c r="F120" s="3340"/>
      <c r="G120" s="3340"/>
      <c r="H120" s="3340"/>
      <c r="I120" s="3340"/>
      <c r="J120" s="3340"/>
      <c r="K120" s="3340"/>
      <c r="L120" s="3340"/>
      <c r="M120" s="3340"/>
      <c r="N120" s="3340"/>
      <c r="O120" s="3340"/>
      <c r="P120" s="3340"/>
      <c r="Q120" s="3340"/>
      <c r="R120" s="3340"/>
      <c r="S120" s="3340"/>
      <c r="T120" s="3340"/>
      <c r="U120" s="3340"/>
      <c r="V120" s="3340"/>
      <c r="W120" s="3340"/>
      <c r="X120" s="3340"/>
      <c r="Y120" s="3340"/>
      <c r="Z120" s="3340"/>
      <c r="AA120" s="3340"/>
      <c r="AB120" s="3340"/>
      <c r="AC120" s="3340"/>
      <c r="AD120" s="3340"/>
      <c r="AE120" s="3340"/>
      <c r="AF120" s="3340"/>
      <c r="AG120" s="3340"/>
      <c r="AH120" s="3340"/>
      <c r="AI120" s="3340"/>
      <c r="AJ120" s="3340"/>
      <c r="AK120" s="3340"/>
      <c r="AL120" s="3340"/>
      <c r="AM120" s="3340"/>
      <c r="AN120" s="3340"/>
      <c r="AO120" s="3340"/>
      <c r="AP120" s="3340"/>
      <c r="AQ120" s="3340"/>
      <c r="AR120" s="3340"/>
      <c r="AS120" s="3340"/>
    </row>
    <row r="121" spans="1:45">
      <c r="A121" s="3340"/>
      <c r="B121" s="3340"/>
      <c r="C121" s="3340"/>
      <c r="D121" s="3340"/>
      <c r="E121" s="3340"/>
      <c r="F121" s="3340"/>
      <c r="G121" s="3340"/>
      <c r="H121" s="3340"/>
      <c r="I121" s="3340"/>
      <c r="J121" s="3340"/>
      <c r="K121" s="3340"/>
      <c r="L121" s="3340"/>
      <c r="M121" s="3340"/>
      <c r="N121" s="3340"/>
      <c r="O121" s="3340"/>
      <c r="P121" s="3340"/>
      <c r="Q121" s="3340"/>
      <c r="R121" s="3340"/>
      <c r="S121" s="3340"/>
      <c r="T121" s="3340"/>
      <c r="U121" s="3340"/>
      <c r="V121" s="3340"/>
      <c r="W121" s="3340"/>
      <c r="X121" s="3340"/>
      <c r="Y121" s="3340"/>
      <c r="Z121" s="3340"/>
      <c r="AA121" s="3340"/>
      <c r="AB121" s="3340"/>
      <c r="AC121" s="3340"/>
      <c r="AD121" s="3340"/>
      <c r="AE121" s="3340"/>
      <c r="AF121" s="3340"/>
      <c r="AG121" s="3340"/>
      <c r="AH121" s="3340"/>
      <c r="AI121" s="3340"/>
      <c r="AJ121" s="3340"/>
      <c r="AK121" s="3340"/>
      <c r="AL121" s="3340"/>
      <c r="AM121" s="3340"/>
      <c r="AN121" s="3340"/>
      <c r="AO121" s="3340"/>
      <c r="AP121" s="3340"/>
      <c r="AQ121" s="3340"/>
      <c r="AR121" s="3340"/>
      <c r="AS121" s="3340"/>
    </row>
    <row r="122" spans="1:45">
      <c r="A122" s="3340"/>
      <c r="B122" s="3340"/>
      <c r="C122" s="3340"/>
      <c r="D122" s="3340"/>
      <c r="E122" s="3340"/>
      <c r="F122" s="3340"/>
      <c r="G122" s="3340"/>
      <c r="H122" s="3340"/>
      <c r="I122" s="3340"/>
      <c r="J122" s="3340"/>
      <c r="K122" s="3340"/>
      <c r="L122" s="3340"/>
      <c r="M122" s="3340"/>
      <c r="N122" s="3340"/>
      <c r="O122" s="3340"/>
      <c r="P122" s="3340"/>
      <c r="Q122" s="3340"/>
      <c r="R122" s="3340"/>
      <c r="S122" s="3340"/>
      <c r="T122" s="3340"/>
      <c r="U122" s="3340"/>
      <c r="V122" s="3340"/>
      <c r="W122" s="3340"/>
      <c r="X122" s="3340"/>
      <c r="Y122" s="3340"/>
      <c r="Z122" s="3340"/>
      <c r="AA122" s="3340"/>
      <c r="AB122" s="3340"/>
      <c r="AC122" s="3340"/>
      <c r="AD122" s="3340"/>
      <c r="AE122" s="3340"/>
      <c r="AF122" s="3340"/>
      <c r="AG122" s="3340"/>
      <c r="AH122" s="3340"/>
      <c r="AI122" s="3340"/>
      <c r="AJ122" s="3340"/>
      <c r="AK122" s="3340"/>
      <c r="AL122" s="3340"/>
      <c r="AM122" s="3340"/>
      <c r="AN122" s="3340"/>
      <c r="AO122" s="3340"/>
      <c r="AP122" s="3340"/>
      <c r="AQ122" s="3340"/>
      <c r="AR122" s="3340"/>
      <c r="AS122" s="3340"/>
    </row>
    <row r="123" spans="1:45">
      <c r="A123" s="3340"/>
      <c r="B123" s="3340"/>
      <c r="C123" s="3340"/>
      <c r="D123" s="3340"/>
      <c r="E123" s="3340"/>
      <c r="F123" s="3340"/>
      <c r="G123" s="3340"/>
      <c r="H123" s="3340"/>
      <c r="I123" s="3340"/>
      <c r="J123" s="3340"/>
      <c r="K123" s="3340"/>
      <c r="L123" s="3340"/>
      <c r="M123" s="3340"/>
      <c r="N123" s="3340"/>
      <c r="O123" s="3340"/>
      <c r="P123" s="3340"/>
      <c r="Q123" s="3340"/>
      <c r="R123" s="3340"/>
      <c r="S123" s="3340"/>
      <c r="T123" s="3340"/>
      <c r="U123" s="3340"/>
      <c r="V123" s="3340"/>
      <c r="W123" s="3340"/>
      <c r="X123" s="3340"/>
      <c r="Y123" s="3340"/>
      <c r="Z123" s="3340"/>
      <c r="AA123" s="3340"/>
      <c r="AB123" s="3340"/>
      <c r="AC123" s="3340"/>
      <c r="AD123" s="3340"/>
      <c r="AE123" s="3340"/>
      <c r="AF123" s="3340"/>
      <c r="AG123" s="3340"/>
      <c r="AH123" s="3340"/>
      <c r="AI123" s="3340"/>
      <c r="AJ123" s="3340"/>
      <c r="AK123" s="3340"/>
      <c r="AL123" s="3340"/>
      <c r="AM123" s="3340"/>
      <c r="AN123" s="3340"/>
      <c r="AO123" s="3340"/>
      <c r="AP123" s="3340"/>
      <c r="AQ123" s="3340"/>
      <c r="AR123" s="3340"/>
      <c r="AS123" s="3340"/>
    </row>
    <row r="124" spans="1:45">
      <c r="A124" s="3340"/>
      <c r="B124" s="3340"/>
      <c r="C124" s="3340"/>
      <c r="D124" s="3340"/>
      <c r="E124" s="3340"/>
      <c r="F124" s="3340"/>
      <c r="G124" s="3340"/>
      <c r="H124" s="3340"/>
      <c r="I124" s="3340"/>
      <c r="J124" s="3340"/>
      <c r="K124" s="3340"/>
      <c r="L124" s="3340"/>
      <c r="M124" s="3340"/>
      <c r="N124" s="3340"/>
      <c r="O124" s="3340"/>
      <c r="P124" s="3340"/>
      <c r="Q124" s="3340"/>
      <c r="R124" s="3340"/>
      <c r="S124" s="3340"/>
      <c r="T124" s="3340"/>
      <c r="U124" s="3340"/>
      <c r="V124" s="3340"/>
      <c r="W124" s="3340"/>
      <c r="X124" s="3340"/>
      <c r="Y124" s="3340"/>
      <c r="Z124" s="3340"/>
      <c r="AA124" s="3340"/>
      <c r="AB124" s="3340"/>
      <c r="AC124" s="3340"/>
      <c r="AD124" s="3340"/>
      <c r="AE124" s="3340"/>
      <c r="AF124" s="3340"/>
      <c r="AG124" s="3340"/>
      <c r="AH124" s="3340"/>
      <c r="AI124" s="3340"/>
      <c r="AJ124" s="3340"/>
      <c r="AK124" s="3340"/>
      <c r="AL124" s="3340"/>
      <c r="AM124" s="3340"/>
      <c r="AN124" s="3340"/>
      <c r="AO124" s="3340"/>
      <c r="AP124" s="3340"/>
      <c r="AQ124" s="3340"/>
      <c r="AR124" s="3340"/>
      <c r="AS124" s="3340"/>
    </row>
    <row r="125" spans="1:45">
      <c r="A125" s="3340"/>
      <c r="B125" s="3340"/>
      <c r="C125" s="3340"/>
      <c r="D125" s="3340"/>
      <c r="E125" s="3340"/>
      <c r="F125" s="3340"/>
      <c r="G125" s="3340"/>
      <c r="H125" s="3340"/>
      <c r="I125" s="3340"/>
      <c r="J125" s="3340"/>
      <c r="K125" s="3340"/>
      <c r="L125" s="3340"/>
      <c r="M125" s="3340"/>
      <c r="N125" s="3340"/>
      <c r="O125" s="3340"/>
      <c r="P125" s="3340"/>
      <c r="Q125" s="3340"/>
      <c r="R125" s="3340"/>
      <c r="S125" s="3340"/>
      <c r="T125" s="3340"/>
      <c r="U125" s="3340"/>
      <c r="V125" s="3340"/>
      <c r="W125" s="3340"/>
      <c r="X125" s="3340"/>
      <c r="Y125" s="3340"/>
      <c r="Z125" s="3340"/>
      <c r="AA125" s="3340"/>
      <c r="AB125" s="3340"/>
      <c r="AC125" s="3340"/>
      <c r="AD125" s="3340"/>
      <c r="AE125" s="3340"/>
      <c r="AF125" s="3340"/>
      <c r="AG125" s="3340"/>
      <c r="AH125" s="3340"/>
      <c r="AI125" s="3340"/>
      <c r="AJ125" s="3340"/>
      <c r="AK125" s="3340"/>
      <c r="AL125" s="3340"/>
      <c r="AM125" s="3340"/>
      <c r="AN125" s="3340"/>
      <c r="AO125" s="3340"/>
      <c r="AP125" s="3340"/>
      <c r="AQ125" s="3340"/>
      <c r="AR125" s="3340"/>
      <c r="AS125" s="3340"/>
    </row>
    <row r="126" spans="1:45">
      <c r="A126" s="3340"/>
      <c r="B126" s="3340"/>
      <c r="C126" s="3340"/>
      <c r="D126" s="3340"/>
      <c r="E126" s="3340"/>
      <c r="F126" s="3340"/>
      <c r="G126" s="3340"/>
      <c r="H126" s="3340"/>
      <c r="I126" s="3340"/>
      <c r="J126" s="3340"/>
      <c r="K126" s="3340"/>
      <c r="L126" s="3340"/>
      <c r="M126" s="3340"/>
      <c r="N126" s="3340"/>
      <c r="O126" s="3340"/>
      <c r="P126" s="3340"/>
      <c r="Q126" s="3340"/>
      <c r="R126" s="3340"/>
      <c r="S126" s="3340"/>
      <c r="T126" s="3340"/>
      <c r="U126" s="3340"/>
      <c r="V126" s="3340"/>
      <c r="W126" s="3340"/>
      <c r="X126" s="3340"/>
      <c r="Y126" s="3340"/>
      <c r="Z126" s="3340"/>
      <c r="AA126" s="3340"/>
      <c r="AB126" s="3340"/>
      <c r="AC126" s="3340"/>
      <c r="AD126" s="3340"/>
      <c r="AE126" s="3340"/>
      <c r="AF126" s="3340"/>
      <c r="AG126" s="3340"/>
      <c r="AH126" s="3340"/>
      <c r="AI126" s="3340"/>
      <c r="AJ126" s="3340"/>
      <c r="AK126" s="3340"/>
      <c r="AL126" s="3340"/>
      <c r="AM126" s="3340"/>
      <c r="AN126" s="3340"/>
      <c r="AO126" s="3340"/>
      <c r="AP126" s="3340"/>
      <c r="AQ126" s="3340"/>
      <c r="AR126" s="3340"/>
      <c r="AS126" s="3340"/>
    </row>
    <row r="127" spans="1:45">
      <c r="A127" s="3340"/>
      <c r="B127" s="3340"/>
      <c r="C127" s="3340"/>
      <c r="D127" s="3340"/>
      <c r="E127" s="3340"/>
      <c r="F127" s="3340"/>
      <c r="G127" s="3340"/>
      <c r="H127" s="3340"/>
      <c r="I127" s="3340"/>
      <c r="J127" s="3340"/>
      <c r="K127" s="3340"/>
      <c r="L127" s="3340"/>
      <c r="M127" s="3340"/>
      <c r="N127" s="3340"/>
      <c r="O127" s="3340"/>
      <c r="P127" s="3340"/>
      <c r="Q127" s="3340"/>
      <c r="R127" s="3340"/>
      <c r="S127" s="3340"/>
      <c r="T127" s="3340"/>
      <c r="U127" s="3340"/>
      <c r="V127" s="3340"/>
      <c r="W127" s="3340"/>
      <c r="X127" s="3340"/>
      <c r="Y127" s="3340"/>
      <c r="Z127" s="3340"/>
      <c r="AA127" s="3340"/>
      <c r="AB127" s="3340"/>
      <c r="AC127" s="3340"/>
      <c r="AD127" s="3340"/>
      <c r="AE127" s="3340"/>
      <c r="AF127" s="3340"/>
      <c r="AG127" s="3340"/>
      <c r="AH127" s="3340"/>
      <c r="AI127" s="3340"/>
      <c r="AJ127" s="3340"/>
      <c r="AK127" s="3340"/>
      <c r="AL127" s="3340"/>
      <c r="AM127" s="3340"/>
      <c r="AN127" s="3340"/>
      <c r="AO127" s="3340"/>
      <c r="AP127" s="3340"/>
      <c r="AQ127" s="3340"/>
      <c r="AR127" s="3340"/>
      <c r="AS127" s="3340"/>
    </row>
    <row r="128" spans="1:45">
      <c r="A128" s="3340"/>
      <c r="B128" s="3340"/>
      <c r="C128" s="3340"/>
      <c r="D128" s="3340"/>
      <c r="E128" s="3340"/>
      <c r="F128" s="3340"/>
      <c r="G128" s="3340"/>
      <c r="H128" s="3340"/>
      <c r="I128" s="3340"/>
      <c r="J128" s="3340"/>
      <c r="K128" s="3340"/>
      <c r="L128" s="3340"/>
      <c r="M128" s="3340"/>
      <c r="N128" s="3340"/>
      <c r="O128" s="3340"/>
      <c r="P128" s="3340"/>
      <c r="Q128" s="3340"/>
      <c r="R128" s="3340"/>
      <c r="S128" s="3340"/>
      <c r="T128" s="3340"/>
      <c r="U128" s="3340"/>
      <c r="V128" s="3340"/>
      <c r="W128" s="3340"/>
      <c r="X128" s="3340"/>
      <c r="Y128" s="3340"/>
      <c r="Z128" s="3340"/>
      <c r="AA128" s="3340"/>
      <c r="AB128" s="3340"/>
      <c r="AC128" s="3340"/>
      <c r="AD128" s="3340"/>
      <c r="AE128" s="3340"/>
      <c r="AF128" s="3340"/>
      <c r="AG128" s="3340"/>
      <c r="AH128" s="3340"/>
      <c r="AI128" s="3340"/>
      <c r="AJ128" s="3340"/>
      <c r="AK128" s="3340"/>
      <c r="AL128" s="3340"/>
      <c r="AM128" s="3340"/>
      <c r="AN128" s="3340"/>
      <c r="AO128" s="3340"/>
      <c r="AP128" s="3340"/>
      <c r="AQ128" s="3340"/>
      <c r="AR128" s="3340"/>
      <c r="AS128" s="3340"/>
    </row>
    <row r="129" spans="1:45">
      <c r="A129" s="3340"/>
      <c r="B129" s="3340"/>
      <c r="C129" s="3340"/>
      <c r="D129" s="3340"/>
      <c r="E129" s="3340"/>
      <c r="F129" s="3340"/>
      <c r="G129" s="3340"/>
      <c r="H129" s="3340"/>
      <c r="I129" s="3340"/>
      <c r="J129" s="3340"/>
      <c r="K129" s="3340"/>
      <c r="L129" s="3340"/>
      <c r="M129" s="3340"/>
      <c r="N129" s="3340"/>
      <c r="O129" s="3340"/>
      <c r="P129" s="3340"/>
      <c r="Q129" s="3340"/>
      <c r="R129" s="3340"/>
      <c r="S129" s="3340"/>
      <c r="T129" s="3340"/>
      <c r="U129" s="3340"/>
      <c r="V129" s="3340"/>
      <c r="W129" s="3340"/>
      <c r="X129" s="3340"/>
      <c r="Y129" s="3340"/>
      <c r="Z129" s="3340"/>
      <c r="AA129" s="3340"/>
      <c r="AB129" s="3340"/>
      <c r="AC129" s="3340"/>
      <c r="AD129" s="3340"/>
      <c r="AE129" s="3340"/>
      <c r="AF129" s="3340"/>
      <c r="AG129" s="3340"/>
      <c r="AH129" s="3340"/>
      <c r="AI129" s="3340"/>
      <c r="AJ129" s="3340"/>
      <c r="AK129" s="3340"/>
      <c r="AL129" s="3340"/>
      <c r="AM129" s="3340"/>
      <c r="AN129" s="3340"/>
      <c r="AO129" s="3340"/>
      <c r="AP129" s="3340"/>
      <c r="AQ129" s="3340"/>
      <c r="AR129" s="3340"/>
      <c r="AS129" s="3340"/>
    </row>
    <row r="130" spans="1:45">
      <c r="A130" s="3340"/>
      <c r="B130" s="3340"/>
      <c r="C130" s="3340"/>
      <c r="D130" s="3340"/>
      <c r="E130" s="3340"/>
      <c r="F130" s="3340"/>
      <c r="G130" s="3340"/>
      <c r="H130" s="3340"/>
      <c r="I130" s="3340"/>
      <c r="J130" s="3340"/>
      <c r="K130" s="3340"/>
      <c r="L130" s="3340"/>
      <c r="M130" s="3340"/>
      <c r="N130" s="3340"/>
      <c r="O130" s="3340"/>
      <c r="P130" s="3340"/>
      <c r="Q130" s="3340"/>
      <c r="R130" s="3340"/>
      <c r="S130" s="3340"/>
      <c r="T130" s="3340"/>
      <c r="U130" s="3340"/>
      <c r="V130" s="3340"/>
      <c r="W130" s="3340"/>
      <c r="X130" s="3340"/>
      <c r="Y130" s="3340"/>
      <c r="Z130" s="3340"/>
      <c r="AA130" s="3340"/>
      <c r="AB130" s="3340"/>
      <c r="AC130" s="3340"/>
      <c r="AD130" s="3340"/>
      <c r="AE130" s="3340"/>
      <c r="AF130" s="3340"/>
      <c r="AG130" s="3340"/>
      <c r="AH130" s="3340"/>
      <c r="AI130" s="3340"/>
      <c r="AJ130" s="3340"/>
      <c r="AK130" s="3340"/>
      <c r="AL130" s="3340"/>
      <c r="AM130" s="3340"/>
      <c r="AN130" s="3340"/>
      <c r="AO130" s="3340"/>
      <c r="AP130" s="3340"/>
      <c r="AQ130" s="3340"/>
      <c r="AR130" s="3340"/>
      <c r="AS130" s="3340"/>
    </row>
    <row r="131" spans="1:45">
      <c r="A131" s="3340"/>
      <c r="B131" s="3340"/>
      <c r="C131" s="3340"/>
      <c r="D131" s="3340"/>
      <c r="E131" s="3340"/>
      <c r="F131" s="3340"/>
      <c r="G131" s="3340"/>
      <c r="H131" s="3340"/>
      <c r="I131" s="3340"/>
      <c r="J131" s="3340"/>
      <c r="K131" s="3340"/>
      <c r="L131" s="3340"/>
      <c r="M131" s="3340"/>
      <c r="N131" s="3340"/>
      <c r="O131" s="3340"/>
      <c r="P131" s="3340"/>
      <c r="Q131" s="3340"/>
      <c r="R131" s="3340"/>
      <c r="S131" s="3340"/>
      <c r="T131" s="3340"/>
      <c r="U131" s="3340"/>
      <c r="V131" s="3340"/>
      <c r="W131" s="3340"/>
      <c r="X131" s="3340"/>
      <c r="Y131" s="3340"/>
      <c r="Z131" s="3340"/>
      <c r="AA131" s="3340"/>
      <c r="AB131" s="3340"/>
      <c r="AC131" s="3340"/>
      <c r="AD131" s="3340"/>
      <c r="AE131" s="3340"/>
      <c r="AF131" s="3340"/>
      <c r="AG131" s="3340"/>
      <c r="AH131" s="3340"/>
      <c r="AI131" s="3340"/>
      <c r="AJ131" s="3340"/>
      <c r="AK131" s="3340"/>
      <c r="AL131" s="3340"/>
      <c r="AM131" s="3340"/>
      <c r="AN131" s="3340"/>
      <c r="AO131" s="3340"/>
      <c r="AP131" s="3340"/>
      <c r="AQ131" s="3340"/>
      <c r="AR131" s="3340"/>
      <c r="AS131" s="3340"/>
    </row>
    <row r="132" spans="1:45">
      <c r="A132" s="3340"/>
      <c r="B132" s="3340"/>
      <c r="C132" s="3340"/>
      <c r="D132" s="3340"/>
      <c r="E132" s="3340"/>
      <c r="F132" s="3340"/>
      <c r="G132" s="3340"/>
      <c r="H132" s="3340"/>
      <c r="I132" s="3340"/>
      <c r="J132" s="3340"/>
      <c r="K132" s="3340"/>
      <c r="L132" s="3340"/>
      <c r="M132" s="3340"/>
      <c r="N132" s="3340"/>
      <c r="O132" s="3340"/>
      <c r="P132" s="3340"/>
      <c r="Q132" s="3340"/>
      <c r="R132" s="3340"/>
      <c r="S132" s="3340"/>
      <c r="T132" s="3340"/>
      <c r="U132" s="3340"/>
      <c r="V132" s="3340"/>
      <c r="W132" s="3340"/>
      <c r="X132" s="3340"/>
      <c r="Y132" s="3340"/>
      <c r="Z132" s="3340"/>
      <c r="AA132" s="3340"/>
      <c r="AB132" s="3340"/>
      <c r="AC132" s="3340"/>
      <c r="AD132" s="3340"/>
      <c r="AE132" s="3340"/>
      <c r="AF132" s="3340"/>
      <c r="AG132" s="3340"/>
      <c r="AH132" s="3340"/>
      <c r="AI132" s="3340"/>
      <c r="AJ132" s="3340"/>
      <c r="AK132" s="3340"/>
      <c r="AL132" s="3340"/>
      <c r="AM132" s="3340"/>
      <c r="AN132" s="3340"/>
      <c r="AO132" s="3340"/>
      <c r="AP132" s="3340"/>
      <c r="AQ132" s="3340"/>
      <c r="AR132" s="3340"/>
      <c r="AS132" s="3340"/>
    </row>
    <row r="133" spans="1:45">
      <c r="A133" s="3340"/>
      <c r="B133" s="3340"/>
      <c r="C133" s="3340"/>
      <c r="D133" s="3340"/>
      <c r="E133" s="3340"/>
      <c r="F133" s="3340"/>
      <c r="G133" s="3340"/>
      <c r="H133" s="3340"/>
      <c r="I133" s="3340"/>
      <c r="J133" s="3340"/>
      <c r="K133" s="3340"/>
      <c r="L133" s="3340"/>
      <c r="M133" s="3340"/>
      <c r="N133" s="3340"/>
      <c r="O133" s="3340"/>
      <c r="P133" s="3340"/>
      <c r="Q133" s="3340"/>
      <c r="R133" s="3340"/>
      <c r="S133" s="3340"/>
      <c r="T133" s="3340"/>
      <c r="U133" s="3340"/>
      <c r="V133" s="3340"/>
      <c r="W133" s="3340"/>
      <c r="X133" s="3340"/>
      <c r="Y133" s="3340"/>
      <c r="Z133" s="3340"/>
      <c r="AA133" s="3340"/>
      <c r="AB133" s="3340"/>
      <c r="AC133" s="3340"/>
      <c r="AD133" s="3340"/>
      <c r="AE133" s="3340"/>
      <c r="AF133" s="3340"/>
      <c r="AG133" s="3340"/>
      <c r="AH133" s="3340"/>
      <c r="AI133" s="3340"/>
      <c r="AJ133" s="3340"/>
      <c r="AK133" s="3340"/>
      <c r="AL133" s="3340"/>
      <c r="AM133" s="3340"/>
      <c r="AN133" s="3340"/>
      <c r="AO133" s="3340"/>
      <c r="AP133" s="3340"/>
      <c r="AQ133" s="3340"/>
      <c r="AR133" s="3340"/>
      <c r="AS133" s="3340"/>
    </row>
    <row r="134" spans="1:45">
      <c r="A134" s="3340"/>
      <c r="B134" s="3340"/>
      <c r="C134" s="3340"/>
      <c r="D134" s="3340"/>
      <c r="E134" s="3340"/>
      <c r="F134" s="3340"/>
      <c r="G134" s="3340"/>
      <c r="H134" s="3340"/>
      <c r="I134" s="3340"/>
      <c r="J134" s="3340"/>
      <c r="K134" s="3340"/>
      <c r="L134" s="3340"/>
      <c r="M134" s="3340"/>
      <c r="N134" s="3340"/>
      <c r="O134" s="3340"/>
      <c r="P134" s="3340"/>
      <c r="Q134" s="3340"/>
      <c r="R134" s="3340"/>
      <c r="S134" s="3340"/>
      <c r="T134" s="3340"/>
      <c r="U134" s="3340"/>
      <c r="V134" s="3340"/>
      <c r="W134" s="3340"/>
      <c r="X134" s="3340"/>
      <c r="Y134" s="3340"/>
      <c r="Z134" s="3340"/>
      <c r="AA134" s="3340"/>
      <c r="AB134" s="3340"/>
      <c r="AC134" s="3340"/>
      <c r="AD134" s="3340"/>
      <c r="AE134" s="3340"/>
      <c r="AF134" s="3340"/>
      <c r="AG134" s="3340"/>
      <c r="AH134" s="3340"/>
      <c r="AI134" s="3340"/>
      <c r="AJ134" s="3340"/>
      <c r="AK134" s="3340"/>
      <c r="AL134" s="3340"/>
      <c r="AM134" s="3340"/>
      <c r="AN134" s="3340"/>
      <c r="AO134" s="3340"/>
      <c r="AP134" s="3340"/>
      <c r="AQ134" s="3340"/>
      <c r="AR134" s="3340"/>
      <c r="AS134" s="3340"/>
    </row>
    <row r="135" spans="1:45">
      <c r="A135" s="3340"/>
      <c r="B135" s="3340"/>
      <c r="C135" s="3340"/>
      <c r="D135" s="3340"/>
      <c r="E135" s="3340"/>
      <c r="F135" s="3340"/>
      <c r="G135" s="3340"/>
      <c r="H135" s="3340"/>
      <c r="I135" s="3340"/>
      <c r="J135" s="3340"/>
      <c r="K135" s="3340"/>
      <c r="L135" s="3340"/>
      <c r="M135" s="3340"/>
      <c r="N135" s="3340"/>
      <c r="O135" s="3340"/>
      <c r="P135" s="3340"/>
      <c r="Q135" s="3340"/>
      <c r="R135" s="3340"/>
      <c r="S135" s="3340"/>
      <c r="T135" s="3340"/>
      <c r="U135" s="3340"/>
      <c r="V135" s="3340"/>
      <c r="W135" s="3340"/>
      <c r="X135" s="3340"/>
      <c r="Y135" s="3340"/>
      <c r="Z135" s="3340"/>
      <c r="AA135" s="3340"/>
      <c r="AB135" s="3340"/>
      <c r="AC135" s="3340"/>
      <c r="AD135" s="3340"/>
      <c r="AE135" s="3340"/>
      <c r="AF135" s="3340"/>
      <c r="AG135" s="3340"/>
      <c r="AH135" s="3340"/>
      <c r="AI135" s="3340"/>
      <c r="AJ135" s="3340"/>
      <c r="AK135" s="3340"/>
      <c r="AL135" s="3340"/>
      <c r="AM135" s="3340"/>
      <c r="AN135" s="3340"/>
      <c r="AO135" s="3340"/>
      <c r="AP135" s="3340"/>
      <c r="AQ135" s="3340"/>
      <c r="AR135" s="3340"/>
      <c r="AS135" s="3340"/>
    </row>
    <row r="136" spans="1:45">
      <c r="A136" s="3340"/>
      <c r="B136" s="3340"/>
      <c r="C136" s="3340"/>
      <c r="D136" s="3340"/>
      <c r="E136" s="3340"/>
      <c r="F136" s="3340"/>
      <c r="G136" s="3340"/>
      <c r="H136" s="3340"/>
      <c r="I136" s="3340"/>
      <c r="J136" s="3340"/>
      <c r="K136" s="3340"/>
      <c r="L136" s="3340"/>
      <c r="M136" s="3340"/>
      <c r="N136" s="3340"/>
      <c r="O136" s="3340"/>
      <c r="P136" s="3340"/>
      <c r="Q136" s="3340"/>
      <c r="R136" s="3340"/>
      <c r="S136" s="3340"/>
      <c r="T136" s="3340"/>
      <c r="U136" s="3340"/>
      <c r="V136" s="3340"/>
      <c r="W136" s="3340"/>
      <c r="X136" s="3340"/>
      <c r="Y136" s="3340"/>
      <c r="Z136" s="3340"/>
      <c r="AA136" s="3340"/>
      <c r="AB136" s="3340"/>
      <c r="AC136" s="3340"/>
      <c r="AD136" s="3340"/>
      <c r="AE136" s="3340"/>
      <c r="AF136" s="3340"/>
      <c r="AG136" s="3340"/>
      <c r="AH136" s="3340"/>
      <c r="AI136" s="3340"/>
      <c r="AJ136" s="3340"/>
      <c r="AK136" s="3340"/>
      <c r="AL136" s="3340"/>
      <c r="AM136" s="3340"/>
      <c r="AN136" s="3340"/>
      <c r="AO136" s="3340"/>
      <c r="AP136" s="3340"/>
      <c r="AQ136" s="3340"/>
      <c r="AR136" s="3340"/>
      <c r="AS136" s="3340"/>
    </row>
    <row r="137" spans="1:45">
      <c r="A137" s="3340"/>
      <c r="B137" s="3340"/>
      <c r="C137" s="3340"/>
      <c r="D137" s="3340"/>
      <c r="E137" s="3340"/>
      <c r="F137" s="3340"/>
      <c r="G137" s="3340"/>
      <c r="H137" s="3340"/>
      <c r="I137" s="3340"/>
      <c r="J137" s="3340"/>
      <c r="K137" s="3340"/>
      <c r="L137" s="3340"/>
      <c r="M137" s="3340"/>
      <c r="N137" s="3340"/>
      <c r="O137" s="3340"/>
      <c r="P137" s="3340"/>
      <c r="Q137" s="3340"/>
      <c r="R137" s="3340"/>
      <c r="S137" s="3340"/>
      <c r="T137" s="3340"/>
      <c r="U137" s="3340"/>
      <c r="V137" s="3340"/>
      <c r="W137" s="3340"/>
      <c r="X137" s="3340"/>
      <c r="Y137" s="3340"/>
      <c r="Z137" s="3340"/>
      <c r="AA137" s="3340"/>
      <c r="AB137" s="3340"/>
      <c r="AC137" s="3340"/>
      <c r="AD137" s="3340"/>
      <c r="AE137" s="3340"/>
      <c r="AF137" s="3340"/>
      <c r="AG137" s="3340"/>
      <c r="AH137" s="3340"/>
      <c r="AI137" s="3340"/>
      <c r="AJ137" s="3340"/>
      <c r="AK137" s="3340"/>
      <c r="AL137" s="3340"/>
      <c r="AM137" s="3340"/>
      <c r="AN137" s="3340"/>
      <c r="AO137" s="3340"/>
      <c r="AP137" s="3340"/>
      <c r="AQ137" s="3340"/>
      <c r="AR137" s="3340"/>
      <c r="AS137" s="3340"/>
    </row>
    <row r="138" spans="1:45">
      <c r="A138" s="3340"/>
      <c r="B138" s="3340"/>
      <c r="C138" s="3340"/>
      <c r="D138" s="3340"/>
      <c r="E138" s="3340"/>
      <c r="F138" s="3340"/>
      <c r="G138" s="3340"/>
      <c r="H138" s="3340"/>
      <c r="I138" s="3340"/>
      <c r="J138" s="3340"/>
      <c r="K138" s="3340"/>
      <c r="L138" s="3340"/>
      <c r="M138" s="3340"/>
      <c r="N138" s="3340"/>
      <c r="O138" s="3340"/>
      <c r="P138" s="3340"/>
      <c r="Q138" s="3340"/>
      <c r="R138" s="3340"/>
      <c r="S138" s="3340"/>
      <c r="T138" s="3340"/>
      <c r="U138" s="3340"/>
      <c r="V138" s="3340"/>
      <c r="W138" s="3340"/>
      <c r="X138" s="3340"/>
      <c r="Y138" s="3340"/>
      <c r="Z138" s="3340"/>
      <c r="AA138" s="3340"/>
      <c r="AB138" s="3340"/>
      <c r="AC138" s="3340"/>
      <c r="AD138" s="3340"/>
      <c r="AE138" s="3340"/>
      <c r="AF138" s="3340"/>
      <c r="AG138" s="3340"/>
      <c r="AH138" s="3340"/>
      <c r="AI138" s="3340"/>
      <c r="AJ138" s="3340"/>
      <c r="AK138" s="3340"/>
      <c r="AL138" s="3340"/>
      <c r="AM138" s="3340"/>
      <c r="AN138" s="3340"/>
      <c r="AO138" s="3340"/>
      <c r="AP138" s="3340"/>
      <c r="AQ138" s="3340"/>
      <c r="AR138" s="3340"/>
      <c r="AS138" s="3340"/>
    </row>
    <row r="139" spans="1:45">
      <c r="A139" s="3340"/>
      <c r="B139" s="3340"/>
      <c r="C139" s="3340"/>
      <c r="D139" s="3340"/>
      <c r="E139" s="3340"/>
      <c r="F139" s="3340"/>
      <c r="G139" s="3340"/>
      <c r="H139" s="3340"/>
      <c r="I139" s="3340"/>
      <c r="J139" s="3340"/>
      <c r="K139" s="3340"/>
      <c r="L139" s="3340"/>
      <c r="M139" s="3340"/>
      <c r="N139" s="3340"/>
      <c r="O139" s="3340"/>
      <c r="P139" s="3340"/>
      <c r="Q139" s="3340"/>
      <c r="R139" s="3340"/>
      <c r="S139" s="3340"/>
      <c r="T139" s="3340"/>
      <c r="U139" s="3340"/>
      <c r="V139" s="3340"/>
      <c r="W139" s="3340"/>
      <c r="X139" s="3340"/>
      <c r="Y139" s="3340"/>
      <c r="Z139" s="3340"/>
      <c r="AA139" s="3340"/>
      <c r="AB139" s="3340"/>
      <c r="AC139" s="3340"/>
      <c r="AD139" s="3340"/>
      <c r="AE139" s="3340"/>
      <c r="AF139" s="3340"/>
      <c r="AG139" s="3340"/>
      <c r="AH139" s="3340"/>
      <c r="AI139" s="3340"/>
      <c r="AJ139" s="3340"/>
      <c r="AK139" s="3340"/>
      <c r="AL139" s="3340"/>
      <c r="AM139" s="3340"/>
      <c r="AN139" s="3340"/>
      <c r="AO139" s="3340"/>
      <c r="AP139" s="3340"/>
      <c r="AQ139" s="3340"/>
      <c r="AR139" s="3340"/>
      <c r="AS139" s="3340"/>
    </row>
    <row r="140" spans="1:45">
      <c r="A140" s="3340"/>
      <c r="B140" s="3340"/>
      <c r="C140" s="3340"/>
      <c r="D140" s="3340"/>
      <c r="E140" s="3340"/>
      <c r="F140" s="3340"/>
      <c r="G140" s="3340"/>
      <c r="H140" s="3340"/>
      <c r="I140" s="3340"/>
      <c r="J140" s="3340"/>
      <c r="K140" s="3340"/>
      <c r="L140" s="3340"/>
      <c r="M140" s="3340"/>
      <c r="N140" s="3340"/>
      <c r="O140" s="3340"/>
      <c r="P140" s="3340"/>
      <c r="Q140" s="3340"/>
      <c r="R140" s="3340"/>
      <c r="S140" s="3340"/>
      <c r="T140" s="3340"/>
      <c r="U140" s="3340"/>
      <c r="V140" s="3340"/>
      <c r="W140" s="3340"/>
      <c r="X140" s="3340"/>
      <c r="Y140" s="3340"/>
      <c r="Z140" s="3340"/>
      <c r="AA140" s="3340"/>
      <c r="AB140" s="3340"/>
      <c r="AC140" s="3340"/>
      <c r="AD140" s="3340"/>
      <c r="AE140" s="3340"/>
      <c r="AF140" s="3340"/>
      <c r="AG140" s="3340"/>
      <c r="AH140" s="3340"/>
      <c r="AI140" s="3340"/>
      <c r="AJ140" s="3340"/>
      <c r="AK140" s="3340"/>
      <c r="AL140" s="3340"/>
      <c r="AM140" s="3340"/>
      <c r="AN140" s="3340"/>
      <c r="AO140" s="3340"/>
      <c r="AP140" s="3340"/>
      <c r="AQ140" s="3340"/>
      <c r="AR140" s="3340"/>
      <c r="AS140" s="3340"/>
    </row>
    <row r="141" spans="1:45">
      <c r="A141" s="3340"/>
      <c r="B141" s="3340"/>
      <c r="C141" s="3340"/>
      <c r="D141" s="3340"/>
      <c r="E141" s="3340"/>
      <c r="F141" s="3340"/>
      <c r="G141" s="3340"/>
      <c r="H141" s="3340"/>
      <c r="I141" s="3340"/>
      <c r="J141" s="3340"/>
      <c r="K141" s="3340"/>
      <c r="L141" s="3340"/>
      <c r="M141" s="3340"/>
      <c r="N141" s="3340"/>
      <c r="O141" s="3340"/>
      <c r="P141" s="3340"/>
      <c r="Q141" s="3340"/>
      <c r="R141" s="3340"/>
      <c r="S141" s="3340"/>
      <c r="T141" s="3340"/>
      <c r="U141" s="3340"/>
      <c r="V141" s="3340"/>
      <c r="W141" s="3340"/>
      <c r="X141" s="3340"/>
      <c r="Y141" s="3340"/>
      <c r="Z141" s="3340"/>
      <c r="AA141" s="3340"/>
      <c r="AB141" s="3340"/>
      <c r="AC141" s="3340"/>
      <c r="AD141" s="3340"/>
      <c r="AE141" s="3340"/>
      <c r="AF141" s="3340"/>
      <c r="AG141" s="3340"/>
      <c r="AH141" s="3340"/>
      <c r="AI141" s="3340"/>
      <c r="AJ141" s="3340"/>
      <c r="AK141" s="3340"/>
      <c r="AL141" s="3340"/>
      <c r="AM141" s="3340"/>
      <c r="AN141" s="3340"/>
      <c r="AO141" s="3340"/>
      <c r="AP141" s="3340"/>
      <c r="AQ141" s="3340"/>
      <c r="AR141" s="3340"/>
      <c r="AS141" s="3340"/>
    </row>
    <row r="142" spans="1:45">
      <c r="A142" s="3340"/>
      <c r="B142" s="3340"/>
      <c r="C142" s="3340"/>
      <c r="D142" s="3340"/>
      <c r="E142" s="3340"/>
      <c r="F142" s="3340"/>
      <c r="G142" s="3340"/>
      <c r="H142" s="3340"/>
      <c r="I142" s="3340"/>
      <c r="J142" s="3340"/>
      <c r="K142" s="3340"/>
      <c r="L142" s="3340"/>
      <c r="M142" s="3340"/>
      <c r="N142" s="3340"/>
      <c r="O142" s="3340"/>
      <c r="P142" s="3340"/>
      <c r="Q142" s="3340"/>
      <c r="R142" s="3340"/>
      <c r="S142" s="3340"/>
      <c r="T142" s="3340"/>
      <c r="U142" s="3340"/>
      <c r="V142" s="3340"/>
      <c r="W142" s="3340"/>
      <c r="X142" s="3340"/>
      <c r="Y142" s="3340"/>
      <c r="Z142" s="3340"/>
      <c r="AA142" s="3340"/>
      <c r="AB142" s="3340"/>
      <c r="AC142" s="3340"/>
      <c r="AD142" s="3340"/>
      <c r="AE142" s="3340"/>
      <c r="AF142" s="3340"/>
      <c r="AG142" s="3340"/>
      <c r="AH142" s="3340"/>
      <c r="AI142" s="3340"/>
      <c r="AJ142" s="3340"/>
      <c r="AK142" s="3340"/>
      <c r="AL142" s="3340"/>
      <c r="AM142" s="3340"/>
      <c r="AN142" s="3340"/>
      <c r="AO142" s="3340"/>
      <c r="AP142" s="3340"/>
      <c r="AQ142" s="3340"/>
      <c r="AR142" s="3340"/>
      <c r="AS142" s="3340"/>
    </row>
    <row r="143" spans="1:45">
      <c r="A143" s="3340"/>
      <c r="B143" s="3340"/>
      <c r="C143" s="3340"/>
      <c r="D143" s="3340"/>
      <c r="E143" s="3340"/>
      <c r="F143" s="3340"/>
      <c r="G143" s="3340"/>
      <c r="H143" s="3340"/>
      <c r="I143" s="3340"/>
      <c r="J143" s="3340"/>
      <c r="K143" s="3340"/>
      <c r="L143" s="3340"/>
      <c r="M143" s="3340"/>
      <c r="N143" s="3340"/>
      <c r="O143" s="3340"/>
      <c r="P143" s="3340"/>
      <c r="Q143" s="3340"/>
      <c r="R143" s="3340"/>
      <c r="S143" s="3340"/>
      <c r="T143" s="3340"/>
      <c r="U143" s="3340"/>
      <c r="V143" s="3340"/>
      <c r="W143" s="3340"/>
      <c r="X143" s="3340"/>
      <c r="Y143" s="3340"/>
      <c r="Z143" s="3340"/>
      <c r="AA143" s="3340"/>
      <c r="AB143" s="3340"/>
      <c r="AC143" s="3340"/>
      <c r="AD143" s="3340"/>
      <c r="AE143" s="3340"/>
      <c r="AF143" s="3340"/>
      <c r="AG143" s="3340"/>
      <c r="AH143" s="3340"/>
      <c r="AI143" s="3340"/>
      <c r="AJ143" s="3340"/>
      <c r="AK143" s="3340"/>
      <c r="AL143" s="3340"/>
      <c r="AM143" s="3340"/>
      <c r="AN143" s="3340"/>
      <c r="AO143" s="3340"/>
      <c r="AP143" s="3340"/>
      <c r="AQ143" s="3340"/>
      <c r="AR143" s="3340"/>
      <c r="AS143" s="3340"/>
    </row>
    <row r="144" spans="1:45">
      <c r="A144" s="3340"/>
      <c r="B144" s="3340"/>
      <c r="C144" s="3340"/>
      <c r="D144" s="3340"/>
      <c r="E144" s="3340"/>
      <c r="F144" s="3340"/>
      <c r="G144" s="3340"/>
      <c r="H144" s="3340"/>
      <c r="I144" s="3340"/>
      <c r="J144" s="3340"/>
      <c r="K144" s="3340"/>
      <c r="L144" s="3340"/>
      <c r="M144" s="3340"/>
      <c r="N144" s="3340"/>
      <c r="O144" s="3340"/>
      <c r="P144" s="3340"/>
      <c r="Q144" s="3340"/>
      <c r="R144" s="3340"/>
      <c r="S144" s="3340"/>
      <c r="T144" s="3340"/>
      <c r="U144" s="3340"/>
      <c r="V144" s="3340"/>
      <c r="W144" s="3340"/>
      <c r="X144" s="3340"/>
      <c r="Y144" s="3340"/>
      <c r="Z144" s="3340"/>
      <c r="AA144" s="3340"/>
      <c r="AB144" s="3340"/>
      <c r="AC144" s="3340"/>
      <c r="AD144" s="3340"/>
      <c r="AE144" s="3340"/>
      <c r="AF144" s="3340"/>
      <c r="AG144" s="3340"/>
      <c r="AH144" s="3340"/>
      <c r="AI144" s="3340"/>
      <c r="AJ144" s="3340"/>
      <c r="AK144" s="3340"/>
      <c r="AL144" s="3340"/>
      <c r="AM144" s="3340"/>
      <c r="AN144" s="3340"/>
      <c r="AO144" s="3340"/>
      <c r="AP144" s="3340"/>
      <c r="AQ144" s="3340"/>
      <c r="AR144" s="3340"/>
      <c r="AS144" s="3340"/>
    </row>
    <row r="145" spans="1:45">
      <c r="A145" s="3340"/>
      <c r="B145" s="3340"/>
      <c r="C145" s="3340"/>
      <c r="D145" s="3340"/>
      <c r="E145" s="3340"/>
      <c r="F145" s="3340"/>
      <c r="G145" s="3340"/>
      <c r="H145" s="3340"/>
      <c r="I145" s="3340"/>
      <c r="J145" s="3340"/>
      <c r="K145" s="3340"/>
      <c r="L145" s="3340"/>
      <c r="M145" s="3340"/>
      <c r="N145" s="3340"/>
      <c r="O145" s="3340"/>
      <c r="P145" s="3340"/>
      <c r="Q145" s="3340"/>
      <c r="R145" s="3340"/>
      <c r="S145" s="3340"/>
      <c r="T145" s="3340"/>
      <c r="U145" s="3340"/>
      <c r="V145" s="3340"/>
      <c r="W145" s="3340"/>
      <c r="X145" s="3340"/>
      <c r="Y145" s="3340"/>
      <c r="Z145" s="3340"/>
      <c r="AA145" s="3340"/>
      <c r="AB145" s="3340"/>
      <c r="AC145" s="3340"/>
      <c r="AD145" s="3340"/>
      <c r="AE145" s="3340"/>
      <c r="AF145" s="3340"/>
      <c r="AG145" s="3340"/>
      <c r="AH145" s="3340"/>
      <c r="AI145" s="3340"/>
      <c r="AJ145" s="3340"/>
      <c r="AK145" s="3340"/>
      <c r="AL145" s="3340"/>
      <c r="AM145" s="3340"/>
      <c r="AN145" s="3340"/>
      <c r="AO145" s="3340"/>
      <c r="AP145" s="3340"/>
      <c r="AQ145" s="3340"/>
      <c r="AR145" s="3340"/>
      <c r="AS145" s="3340"/>
    </row>
    <row r="146" spans="1:45">
      <c r="A146" s="3340"/>
      <c r="B146" s="3340"/>
      <c r="C146" s="3340"/>
      <c r="D146" s="3340"/>
      <c r="E146" s="3340"/>
      <c r="F146" s="3340"/>
      <c r="G146" s="3340"/>
      <c r="H146" s="3340"/>
      <c r="I146" s="3340"/>
      <c r="J146" s="3340"/>
      <c r="K146" s="3340"/>
      <c r="L146" s="3340"/>
      <c r="M146" s="3340"/>
      <c r="N146" s="3340"/>
      <c r="O146" s="3340"/>
      <c r="P146" s="3340"/>
      <c r="Q146" s="3340"/>
      <c r="R146" s="3340"/>
      <c r="S146" s="3340"/>
      <c r="T146" s="3340"/>
      <c r="U146" s="3340"/>
      <c r="V146" s="3340"/>
      <c r="W146" s="3340"/>
      <c r="X146" s="3340"/>
      <c r="Y146" s="3340"/>
      <c r="Z146" s="3340"/>
      <c r="AA146" s="3340"/>
      <c r="AB146" s="3340"/>
      <c r="AC146" s="3340"/>
      <c r="AD146" s="3340"/>
      <c r="AE146" s="3340"/>
      <c r="AF146" s="3340"/>
      <c r="AG146" s="3340"/>
      <c r="AH146" s="3340"/>
      <c r="AI146" s="3340"/>
      <c r="AJ146" s="3340"/>
      <c r="AK146" s="3340"/>
      <c r="AL146" s="3340"/>
      <c r="AM146" s="3340"/>
      <c r="AN146" s="3340"/>
      <c r="AO146" s="3340"/>
      <c r="AP146" s="3340"/>
      <c r="AQ146" s="3340"/>
      <c r="AR146" s="3340"/>
      <c r="AS146" s="3340"/>
    </row>
    <row r="147" spans="1:45">
      <c r="A147" s="3340"/>
      <c r="B147" s="3340"/>
      <c r="C147" s="3340"/>
      <c r="D147" s="3340"/>
      <c r="E147" s="3340"/>
      <c r="F147" s="3340"/>
      <c r="G147" s="3340"/>
      <c r="H147" s="3340"/>
      <c r="I147" s="3340"/>
      <c r="J147" s="3340"/>
      <c r="K147" s="3340"/>
      <c r="L147" s="3340"/>
      <c r="M147" s="3340"/>
      <c r="N147" s="3340"/>
      <c r="O147" s="3340"/>
      <c r="P147" s="3340"/>
      <c r="Q147" s="3340"/>
      <c r="R147" s="3340"/>
      <c r="S147" s="3340"/>
      <c r="T147" s="3340"/>
      <c r="U147" s="3340"/>
      <c r="V147" s="3340"/>
      <c r="W147" s="3340"/>
      <c r="X147" s="3340"/>
      <c r="Y147" s="3340"/>
      <c r="Z147" s="3340"/>
      <c r="AA147" s="3340"/>
      <c r="AB147" s="3340"/>
      <c r="AC147" s="3340"/>
      <c r="AD147" s="3340"/>
      <c r="AE147" s="3340"/>
      <c r="AF147" s="3340"/>
      <c r="AG147" s="3340"/>
      <c r="AH147" s="3340"/>
      <c r="AI147" s="3340"/>
      <c r="AJ147" s="3340"/>
      <c r="AK147" s="3340"/>
      <c r="AL147" s="3340"/>
      <c r="AM147" s="3340"/>
      <c r="AN147" s="3340"/>
      <c r="AO147" s="3340"/>
      <c r="AP147" s="3340"/>
      <c r="AQ147" s="3340"/>
      <c r="AR147" s="3340"/>
      <c r="AS147" s="3340"/>
    </row>
    <row r="148" spans="1:45">
      <c r="A148" s="3340"/>
      <c r="B148" s="3340"/>
      <c r="C148" s="3340"/>
      <c r="D148" s="3340"/>
      <c r="E148" s="3340"/>
      <c r="F148" s="3340"/>
      <c r="G148" s="3340"/>
      <c r="H148" s="3340"/>
      <c r="I148" s="3340"/>
      <c r="J148" s="3340"/>
      <c r="K148" s="3340"/>
      <c r="L148" s="3340"/>
      <c r="M148" s="3340"/>
      <c r="N148" s="3340"/>
      <c r="O148" s="3340"/>
      <c r="P148" s="3340"/>
      <c r="Q148" s="3340"/>
      <c r="R148" s="3340"/>
      <c r="S148" s="3340"/>
      <c r="T148" s="3340"/>
      <c r="U148" s="3340"/>
      <c r="V148" s="3340"/>
      <c r="W148" s="3340"/>
      <c r="X148" s="3340"/>
      <c r="Y148" s="3340"/>
      <c r="Z148" s="3340"/>
      <c r="AA148" s="3340"/>
      <c r="AB148" s="3340"/>
      <c r="AC148" s="3340"/>
      <c r="AD148" s="3340"/>
      <c r="AE148" s="3340"/>
      <c r="AF148" s="3340"/>
      <c r="AG148" s="3340"/>
      <c r="AH148" s="3340"/>
      <c r="AI148" s="3340"/>
      <c r="AJ148" s="3340"/>
      <c r="AK148" s="3340"/>
      <c r="AL148" s="3340"/>
      <c r="AM148" s="3340"/>
      <c r="AN148" s="3340"/>
      <c r="AO148" s="3340"/>
      <c r="AP148" s="3340"/>
      <c r="AQ148" s="3340"/>
      <c r="AR148" s="3340"/>
      <c r="AS148" s="3340"/>
    </row>
    <row r="149" spans="1:45">
      <c r="A149" s="3340"/>
      <c r="B149" s="3340"/>
      <c r="C149" s="3340"/>
      <c r="D149" s="3340"/>
      <c r="E149" s="3340"/>
      <c r="F149" s="3340"/>
      <c r="G149" s="3340"/>
      <c r="H149" s="3340"/>
      <c r="I149" s="3340"/>
      <c r="J149" s="3340"/>
      <c r="K149" s="3340"/>
      <c r="L149" s="3340"/>
      <c r="M149" s="3340"/>
      <c r="N149" s="3340"/>
      <c r="O149" s="3340"/>
      <c r="P149" s="3340"/>
      <c r="Q149" s="3340"/>
      <c r="R149" s="3340"/>
      <c r="S149" s="3340"/>
      <c r="T149" s="3340"/>
      <c r="U149" s="3340"/>
      <c r="V149" s="3340"/>
      <c r="W149" s="3340"/>
      <c r="X149" s="3340"/>
      <c r="Y149" s="3340"/>
      <c r="Z149" s="3340"/>
      <c r="AA149" s="3340"/>
      <c r="AB149" s="3340"/>
      <c r="AC149" s="3340"/>
      <c r="AD149" s="3340"/>
      <c r="AE149" s="3340"/>
      <c r="AF149" s="3340"/>
      <c r="AG149" s="3340"/>
      <c r="AH149" s="3340"/>
      <c r="AI149" s="3340"/>
      <c r="AJ149" s="3340"/>
      <c r="AK149" s="3340"/>
      <c r="AL149" s="3340"/>
      <c r="AM149" s="3340"/>
      <c r="AN149" s="3340"/>
      <c r="AO149" s="3340"/>
      <c r="AP149" s="3340"/>
      <c r="AQ149" s="3340"/>
      <c r="AR149" s="3340"/>
      <c r="AS149" s="3340"/>
    </row>
    <row r="150" spans="1:45">
      <c r="A150" s="3340"/>
      <c r="B150" s="3340"/>
      <c r="C150" s="3340"/>
      <c r="D150" s="3340"/>
      <c r="E150" s="3340"/>
      <c r="F150" s="3340"/>
      <c r="G150" s="3340"/>
      <c r="H150" s="3340"/>
      <c r="I150" s="3340"/>
      <c r="J150" s="3340"/>
      <c r="K150" s="3340"/>
      <c r="L150" s="3340"/>
      <c r="M150" s="3340"/>
      <c r="N150" s="3340"/>
      <c r="O150" s="3340"/>
      <c r="P150" s="3340"/>
      <c r="Q150" s="3340"/>
      <c r="R150" s="3340"/>
      <c r="S150" s="3340"/>
      <c r="T150" s="3340"/>
      <c r="U150" s="3340"/>
      <c r="V150" s="3340"/>
      <c r="W150" s="3340"/>
      <c r="X150" s="3340"/>
      <c r="Y150" s="3340"/>
      <c r="Z150" s="3340"/>
      <c r="AA150" s="3340"/>
      <c r="AB150" s="3340"/>
      <c r="AC150" s="3340"/>
      <c r="AD150" s="3340"/>
      <c r="AE150" s="3340"/>
      <c r="AF150" s="3340"/>
      <c r="AG150" s="3340"/>
      <c r="AH150" s="3340"/>
      <c r="AI150" s="3340"/>
      <c r="AJ150" s="3340"/>
      <c r="AK150" s="3340"/>
      <c r="AL150" s="3340"/>
      <c r="AM150" s="3340"/>
      <c r="AN150" s="3340"/>
      <c r="AO150" s="3340"/>
      <c r="AP150" s="3340"/>
      <c r="AQ150" s="3340"/>
      <c r="AR150" s="3340"/>
      <c r="AS150" s="3340"/>
    </row>
    <row r="151" spans="1:45">
      <c r="A151" s="3340"/>
      <c r="B151" s="3340"/>
      <c r="C151" s="3340"/>
      <c r="D151" s="3340"/>
      <c r="E151" s="3340"/>
      <c r="F151" s="3340"/>
      <c r="G151" s="3340"/>
      <c r="H151" s="3340"/>
      <c r="I151" s="3340"/>
      <c r="J151" s="3340"/>
      <c r="K151" s="3340"/>
      <c r="L151" s="3340"/>
      <c r="M151" s="3340"/>
      <c r="N151" s="3340"/>
      <c r="O151" s="3340"/>
      <c r="P151" s="3340"/>
      <c r="Q151" s="3340"/>
      <c r="R151" s="3340"/>
      <c r="S151" s="3340"/>
      <c r="T151" s="3340"/>
      <c r="U151" s="3340"/>
      <c r="V151" s="3340"/>
      <c r="W151" s="3340"/>
      <c r="X151" s="3340"/>
      <c r="Y151" s="3340"/>
      <c r="Z151" s="3340"/>
      <c r="AA151" s="3340"/>
      <c r="AB151" s="3340"/>
      <c r="AC151" s="3340"/>
      <c r="AD151" s="3340"/>
      <c r="AE151" s="3340"/>
      <c r="AF151" s="3340"/>
      <c r="AG151" s="3340"/>
      <c r="AH151" s="3340"/>
      <c r="AI151" s="3340"/>
      <c r="AJ151" s="3340"/>
      <c r="AK151" s="3340"/>
      <c r="AL151" s="3340"/>
      <c r="AM151" s="3340"/>
      <c r="AN151" s="3340"/>
      <c r="AO151" s="3340"/>
      <c r="AP151" s="3340"/>
      <c r="AQ151" s="3340"/>
      <c r="AR151" s="3340"/>
      <c r="AS151" s="3340"/>
    </row>
    <row r="152" spans="1:45">
      <c r="A152" s="3340"/>
      <c r="B152" s="3340"/>
      <c r="C152" s="3340"/>
      <c r="D152" s="3340"/>
      <c r="E152" s="3340"/>
      <c r="F152" s="3340"/>
      <c r="G152" s="3340"/>
      <c r="H152" s="3340"/>
      <c r="I152" s="3340"/>
      <c r="J152" s="3340"/>
      <c r="K152" s="3340"/>
      <c r="L152" s="3340"/>
      <c r="M152" s="3340"/>
      <c r="N152" s="3340"/>
      <c r="O152" s="3340"/>
      <c r="P152" s="3340"/>
      <c r="Q152" s="3340"/>
      <c r="R152" s="3340"/>
      <c r="S152" s="3340"/>
      <c r="T152" s="3340"/>
      <c r="U152" s="3340"/>
      <c r="V152" s="3340"/>
      <c r="W152" s="3340"/>
      <c r="X152" s="3340"/>
      <c r="Y152" s="3340"/>
      <c r="Z152" s="3340"/>
      <c r="AA152" s="3340"/>
      <c r="AB152" s="3340"/>
      <c r="AC152" s="3340"/>
      <c r="AD152" s="3340"/>
      <c r="AE152" s="3340"/>
      <c r="AF152" s="3340"/>
      <c r="AG152" s="3340"/>
      <c r="AH152" s="3340"/>
      <c r="AI152" s="3340"/>
      <c r="AJ152" s="3340"/>
      <c r="AK152" s="3340"/>
      <c r="AL152" s="3340"/>
      <c r="AM152" s="3340"/>
      <c r="AN152" s="3340"/>
      <c r="AO152" s="3340"/>
      <c r="AP152" s="3340"/>
      <c r="AQ152" s="3340"/>
      <c r="AR152" s="3340"/>
      <c r="AS152" s="3340"/>
    </row>
    <row r="153" spans="1:45">
      <c r="A153" s="3340"/>
      <c r="B153" s="3340"/>
      <c r="C153" s="3340"/>
      <c r="D153" s="3340"/>
      <c r="E153" s="3340"/>
      <c r="F153" s="3340"/>
      <c r="G153" s="3340"/>
      <c r="H153" s="3340"/>
      <c r="I153" s="3340"/>
      <c r="J153" s="3340"/>
      <c r="K153" s="3340"/>
      <c r="L153" s="3340"/>
      <c r="M153" s="3340"/>
      <c r="N153" s="3340"/>
      <c r="O153" s="3340"/>
      <c r="P153" s="3340"/>
      <c r="Q153" s="3340"/>
      <c r="R153" s="3340"/>
      <c r="S153" s="3340"/>
      <c r="T153" s="3340"/>
      <c r="U153" s="3340"/>
      <c r="V153" s="3340"/>
      <c r="W153" s="3340"/>
      <c r="X153" s="3340"/>
      <c r="Y153" s="3340"/>
      <c r="Z153" s="3340"/>
      <c r="AA153" s="3340"/>
      <c r="AB153" s="3340"/>
      <c r="AC153" s="3340"/>
      <c r="AD153" s="3340"/>
      <c r="AE153" s="3340"/>
      <c r="AF153" s="3340"/>
      <c r="AG153" s="3340"/>
      <c r="AH153" s="3340"/>
      <c r="AI153" s="3340"/>
      <c r="AJ153" s="3340"/>
      <c r="AK153" s="3340"/>
      <c r="AL153" s="3340"/>
      <c r="AM153" s="3340"/>
      <c r="AN153" s="3340"/>
      <c r="AO153" s="3340"/>
      <c r="AP153" s="3340"/>
      <c r="AQ153" s="3340"/>
      <c r="AR153" s="3340"/>
      <c r="AS153" s="3340"/>
    </row>
    <row r="154" spans="1:45">
      <c r="A154" s="3340"/>
      <c r="B154" s="3340"/>
      <c r="C154" s="3340"/>
      <c r="D154" s="3340"/>
      <c r="E154" s="3340"/>
      <c r="F154" s="3340"/>
      <c r="G154" s="3340"/>
      <c r="H154" s="3340"/>
      <c r="I154" s="3340"/>
      <c r="J154" s="3340"/>
      <c r="K154" s="3340"/>
      <c r="L154" s="3340"/>
      <c r="M154" s="3340"/>
      <c r="N154" s="3340"/>
      <c r="O154" s="3340"/>
      <c r="P154" s="3340"/>
      <c r="Q154" s="3340"/>
      <c r="R154" s="3340"/>
      <c r="S154" s="3340"/>
      <c r="T154" s="3340"/>
      <c r="U154" s="3340"/>
      <c r="V154" s="3340"/>
      <c r="W154" s="3340"/>
      <c r="X154" s="3340"/>
      <c r="Y154" s="3340"/>
      <c r="Z154" s="3340"/>
      <c r="AA154" s="3340"/>
      <c r="AB154" s="3340"/>
      <c r="AC154" s="3340"/>
      <c r="AD154" s="3340"/>
      <c r="AE154" s="3340"/>
      <c r="AF154" s="3340"/>
      <c r="AG154" s="3340"/>
      <c r="AH154" s="3340"/>
      <c r="AI154" s="3340"/>
      <c r="AJ154" s="3340"/>
      <c r="AK154" s="3340"/>
      <c r="AL154" s="3340"/>
      <c r="AM154" s="3340"/>
      <c r="AN154" s="3340"/>
      <c r="AO154" s="3340"/>
      <c r="AP154" s="3340"/>
      <c r="AQ154" s="3340"/>
      <c r="AR154" s="3340"/>
      <c r="AS154" s="3340"/>
    </row>
    <row r="155" spans="1:45">
      <c r="A155" s="3340"/>
      <c r="B155" s="3340"/>
      <c r="C155" s="3340"/>
      <c r="D155" s="3340"/>
      <c r="E155" s="3340"/>
      <c r="F155" s="3340"/>
      <c r="G155" s="3340"/>
      <c r="H155" s="3340"/>
      <c r="I155" s="3340"/>
      <c r="J155" s="3340"/>
      <c r="K155" s="3340"/>
      <c r="L155" s="3340"/>
      <c r="M155" s="3340"/>
      <c r="N155" s="3340"/>
      <c r="O155" s="3340"/>
      <c r="P155" s="3340"/>
      <c r="Q155" s="3340"/>
      <c r="R155" s="3340"/>
      <c r="S155" s="3340"/>
      <c r="T155" s="3340"/>
      <c r="U155" s="3340"/>
      <c r="V155" s="3340"/>
      <c r="W155" s="3340"/>
      <c r="X155" s="3340"/>
      <c r="Y155" s="3340"/>
      <c r="Z155" s="3340"/>
      <c r="AA155" s="3340"/>
      <c r="AB155" s="3340"/>
      <c r="AC155" s="3340"/>
      <c r="AD155" s="3340"/>
      <c r="AE155" s="3340"/>
      <c r="AF155" s="3340"/>
      <c r="AG155" s="3340"/>
      <c r="AH155" s="3340"/>
      <c r="AI155" s="3340"/>
      <c r="AJ155" s="3340"/>
      <c r="AK155" s="3340"/>
      <c r="AL155" s="3340"/>
      <c r="AM155" s="3340"/>
      <c r="AN155" s="3340"/>
      <c r="AO155" s="3340"/>
      <c r="AP155" s="3340"/>
      <c r="AQ155" s="3340"/>
      <c r="AR155" s="3340"/>
      <c r="AS155" s="3340"/>
    </row>
    <row r="156" spans="1:45">
      <c r="A156" s="3340"/>
      <c r="B156" s="3340"/>
      <c r="C156" s="3340"/>
      <c r="D156" s="3340"/>
      <c r="E156" s="3340"/>
      <c r="F156" s="3340"/>
      <c r="G156" s="3340"/>
      <c r="H156" s="3340"/>
      <c r="I156" s="3340"/>
      <c r="J156" s="3340"/>
      <c r="K156" s="3340"/>
      <c r="L156" s="3340"/>
      <c r="M156" s="3340"/>
      <c r="N156" s="3340"/>
      <c r="O156" s="3340"/>
      <c r="P156" s="3340"/>
      <c r="Q156" s="3340"/>
      <c r="R156" s="3340"/>
      <c r="S156" s="3340"/>
      <c r="T156" s="3340"/>
      <c r="U156" s="3340"/>
      <c r="V156" s="3340"/>
      <c r="W156" s="3340"/>
      <c r="X156" s="3340"/>
      <c r="Y156" s="3340"/>
      <c r="Z156" s="3340"/>
      <c r="AA156" s="3340"/>
      <c r="AB156" s="3340"/>
      <c r="AC156" s="3340"/>
      <c r="AD156" s="3340"/>
      <c r="AE156" s="3340"/>
      <c r="AF156" s="3340"/>
      <c r="AG156" s="3340"/>
      <c r="AH156" s="3340"/>
      <c r="AI156" s="3340"/>
      <c r="AJ156" s="3340"/>
      <c r="AK156" s="3340"/>
      <c r="AL156" s="3340"/>
      <c r="AM156" s="3340"/>
      <c r="AN156" s="3340"/>
      <c r="AO156" s="3340"/>
      <c r="AP156" s="3340"/>
      <c r="AQ156" s="3340"/>
      <c r="AR156" s="3340"/>
      <c r="AS156" s="3340"/>
    </row>
    <row r="157" spans="1:45">
      <c r="A157" s="3340"/>
      <c r="B157" s="3340"/>
      <c r="C157" s="3340"/>
      <c r="D157" s="3340"/>
      <c r="E157" s="3340"/>
      <c r="F157" s="3340"/>
      <c r="G157" s="3340"/>
      <c r="H157" s="3340"/>
      <c r="I157" s="3340"/>
      <c r="J157" s="3340"/>
      <c r="K157" s="3340"/>
      <c r="L157" s="3340"/>
      <c r="M157" s="3340"/>
      <c r="N157" s="3340"/>
      <c r="O157" s="3340"/>
      <c r="P157" s="3340"/>
      <c r="Q157" s="3340"/>
      <c r="R157" s="3340"/>
      <c r="S157" s="3340"/>
      <c r="T157" s="3340"/>
      <c r="U157" s="3340"/>
      <c r="V157" s="3340"/>
      <c r="W157" s="3340"/>
      <c r="X157" s="3340"/>
      <c r="Y157" s="3340"/>
      <c r="Z157" s="3340"/>
      <c r="AA157" s="3340"/>
      <c r="AB157" s="3340"/>
      <c r="AC157" s="3340"/>
      <c r="AD157" s="3340"/>
      <c r="AE157" s="3340"/>
      <c r="AF157" s="3340"/>
      <c r="AG157" s="3340"/>
      <c r="AH157" s="3340"/>
      <c r="AI157" s="3340"/>
      <c r="AJ157" s="3340"/>
      <c r="AK157" s="3340"/>
      <c r="AL157" s="3340"/>
      <c r="AM157" s="3340"/>
      <c r="AN157" s="3340"/>
      <c r="AO157" s="3340"/>
      <c r="AP157" s="3340"/>
      <c r="AQ157" s="3340"/>
      <c r="AR157" s="3340"/>
      <c r="AS157" s="3340"/>
    </row>
    <row r="158" spans="1:45">
      <c r="A158" s="3340"/>
      <c r="B158" s="3340"/>
      <c r="C158" s="3340"/>
      <c r="D158" s="3340"/>
      <c r="E158" s="3340"/>
      <c r="F158" s="3340"/>
      <c r="G158" s="3340"/>
      <c r="H158" s="3340"/>
      <c r="I158" s="3340"/>
      <c r="J158" s="3340"/>
      <c r="K158" s="3340"/>
      <c r="L158" s="3340"/>
      <c r="M158" s="3340"/>
      <c r="N158" s="3340"/>
      <c r="O158" s="3340"/>
      <c r="P158" s="3340"/>
      <c r="Q158" s="3340"/>
      <c r="R158" s="3340"/>
      <c r="S158" s="3340"/>
      <c r="T158" s="3340"/>
      <c r="U158" s="3340"/>
      <c r="V158" s="3340"/>
      <c r="W158" s="3340"/>
      <c r="X158" s="3340"/>
      <c r="Y158" s="3340"/>
      <c r="Z158" s="3340"/>
      <c r="AA158" s="3340"/>
      <c r="AB158" s="3340"/>
      <c r="AC158" s="3340"/>
      <c r="AD158" s="3340"/>
      <c r="AE158" s="3340"/>
      <c r="AF158" s="3340"/>
      <c r="AG158" s="3340"/>
      <c r="AH158" s="3340"/>
      <c r="AI158" s="3340"/>
      <c r="AJ158" s="3340"/>
      <c r="AK158" s="3340"/>
      <c r="AL158" s="3340"/>
      <c r="AM158" s="3340"/>
      <c r="AN158" s="3340"/>
      <c r="AO158" s="3340"/>
      <c r="AP158" s="3340"/>
      <c r="AQ158" s="3340"/>
      <c r="AR158" s="3340"/>
      <c r="AS158" s="3340"/>
    </row>
    <row r="159" spans="1:45">
      <c r="A159" s="3340"/>
      <c r="B159" s="3340"/>
      <c r="C159" s="3340"/>
      <c r="D159" s="3340"/>
      <c r="E159" s="3340"/>
      <c r="F159" s="3340"/>
      <c r="G159" s="3340"/>
      <c r="H159" s="3340"/>
      <c r="I159" s="3340"/>
      <c r="J159" s="3340"/>
      <c r="K159" s="3340"/>
      <c r="L159" s="3340"/>
      <c r="M159" s="3340"/>
      <c r="N159" s="3340"/>
      <c r="O159" s="3340"/>
      <c r="P159" s="3340"/>
      <c r="Q159" s="3340"/>
      <c r="R159" s="3340"/>
      <c r="S159" s="3340"/>
      <c r="T159" s="3340"/>
      <c r="U159" s="3340"/>
      <c r="V159" s="3340"/>
      <c r="W159" s="3340"/>
      <c r="X159" s="3340"/>
      <c r="Y159" s="3340"/>
      <c r="Z159" s="3340"/>
      <c r="AA159" s="3340"/>
      <c r="AB159" s="3340"/>
      <c r="AC159" s="3340"/>
      <c r="AD159" s="3340"/>
      <c r="AE159" s="3340"/>
      <c r="AF159" s="3340"/>
      <c r="AG159" s="3340"/>
      <c r="AH159" s="3340"/>
      <c r="AI159" s="3340"/>
      <c r="AJ159" s="3340"/>
      <c r="AK159" s="3340"/>
      <c r="AL159" s="3340"/>
      <c r="AM159" s="3340"/>
      <c r="AN159" s="3340"/>
      <c r="AO159" s="3340"/>
      <c r="AP159" s="3340"/>
      <c r="AQ159" s="3340"/>
      <c r="AR159" s="3340"/>
      <c r="AS159" s="3340"/>
    </row>
    <row r="160" spans="1:45">
      <c r="A160" s="3340"/>
      <c r="B160" s="3340"/>
      <c r="C160" s="3340"/>
      <c r="D160" s="3340"/>
      <c r="E160" s="3340"/>
      <c r="F160" s="3340"/>
      <c r="G160" s="3340"/>
      <c r="H160" s="3340"/>
      <c r="I160" s="3340"/>
      <c r="J160" s="3340"/>
      <c r="K160" s="3340"/>
      <c r="L160" s="3340"/>
      <c r="M160" s="3340"/>
      <c r="N160" s="3340"/>
      <c r="O160" s="3340"/>
      <c r="P160" s="3340"/>
      <c r="Q160" s="3340"/>
      <c r="R160" s="3340"/>
      <c r="S160" s="3340"/>
      <c r="T160" s="3340"/>
      <c r="U160" s="3340"/>
      <c r="V160" s="3340"/>
      <c r="W160" s="3340"/>
      <c r="X160" s="3340"/>
      <c r="Y160" s="3340"/>
      <c r="Z160" s="3340"/>
      <c r="AA160" s="3340"/>
      <c r="AB160" s="3340"/>
      <c r="AC160" s="3340"/>
      <c r="AD160" s="3340"/>
      <c r="AE160" s="3340"/>
      <c r="AF160" s="3340"/>
      <c r="AG160" s="3340"/>
      <c r="AH160" s="3340"/>
      <c r="AI160" s="3340"/>
      <c r="AJ160" s="3340"/>
      <c r="AK160" s="3340"/>
      <c r="AL160" s="3340"/>
      <c r="AM160" s="3340"/>
      <c r="AN160" s="3340"/>
      <c r="AO160" s="3340"/>
      <c r="AP160" s="3340"/>
      <c r="AQ160" s="3340"/>
      <c r="AR160" s="3340"/>
      <c r="AS160" s="3340"/>
    </row>
    <row r="161" spans="1:45">
      <c r="A161" s="3340"/>
      <c r="B161" s="3340"/>
      <c r="C161" s="3340"/>
      <c r="D161" s="3340"/>
      <c r="E161" s="3340"/>
      <c r="F161" s="3340"/>
      <c r="G161" s="3340"/>
      <c r="H161" s="3340"/>
      <c r="I161" s="3340"/>
      <c r="J161" s="3340"/>
      <c r="K161" s="3340"/>
      <c r="L161" s="3340"/>
      <c r="M161" s="3340"/>
      <c r="N161" s="3340"/>
      <c r="O161" s="3340"/>
      <c r="P161" s="3340"/>
      <c r="Q161" s="3340"/>
      <c r="R161" s="3340"/>
      <c r="S161" s="3340"/>
      <c r="T161" s="3340"/>
      <c r="U161" s="3340"/>
      <c r="V161" s="3340"/>
      <c r="W161" s="3340"/>
      <c r="X161" s="3340"/>
      <c r="Y161" s="3340"/>
      <c r="Z161" s="3340"/>
      <c r="AA161" s="3340"/>
      <c r="AB161" s="3340"/>
      <c r="AC161" s="3340"/>
      <c r="AD161" s="3340"/>
      <c r="AE161" s="3340"/>
      <c r="AF161" s="3340"/>
      <c r="AG161" s="3340"/>
      <c r="AH161" s="3340"/>
      <c r="AI161" s="3340"/>
      <c r="AJ161" s="3340"/>
      <c r="AK161" s="3340"/>
      <c r="AL161" s="3340"/>
      <c r="AM161" s="3340"/>
      <c r="AN161" s="3340"/>
      <c r="AO161" s="3340"/>
      <c r="AP161" s="3340"/>
      <c r="AQ161" s="3340"/>
      <c r="AR161" s="3340"/>
      <c r="AS161" s="3340"/>
    </row>
    <row r="162" spans="1:45">
      <c r="A162" s="3340"/>
      <c r="B162" s="3340"/>
      <c r="C162" s="3340"/>
      <c r="D162" s="3340"/>
      <c r="E162" s="3340"/>
      <c r="F162" s="3340"/>
      <c r="G162" s="3340"/>
      <c r="H162" s="3340"/>
      <c r="I162" s="3340"/>
      <c r="J162" s="3340"/>
      <c r="K162" s="3340"/>
      <c r="L162" s="3340"/>
      <c r="M162" s="3340"/>
      <c r="N162" s="3340"/>
      <c r="O162" s="3340"/>
      <c r="P162" s="3340"/>
      <c r="Q162" s="3340"/>
      <c r="R162" s="3340"/>
      <c r="S162" s="3340"/>
      <c r="T162" s="3340"/>
      <c r="U162" s="3340"/>
      <c r="V162" s="3340"/>
      <c r="W162" s="3340"/>
      <c r="X162" s="3340"/>
      <c r="Y162" s="3340"/>
      <c r="Z162" s="3340"/>
      <c r="AA162" s="3340"/>
      <c r="AB162" s="3340"/>
      <c r="AC162" s="3340"/>
      <c r="AD162" s="3340"/>
      <c r="AE162" s="3340"/>
      <c r="AF162" s="3340"/>
      <c r="AG162" s="3340"/>
      <c r="AH162" s="3340"/>
      <c r="AI162" s="3340"/>
      <c r="AJ162" s="3340"/>
      <c r="AK162" s="3340"/>
      <c r="AL162" s="3340"/>
      <c r="AM162" s="3340"/>
      <c r="AN162" s="3340"/>
      <c r="AO162" s="3340"/>
      <c r="AP162" s="3340"/>
      <c r="AQ162" s="3340"/>
      <c r="AR162" s="3340"/>
      <c r="AS162" s="3340"/>
    </row>
    <row r="163" spans="1:45">
      <c r="A163" s="3340"/>
      <c r="B163" s="3340"/>
      <c r="C163" s="3340"/>
      <c r="D163" s="3340"/>
      <c r="E163" s="3340"/>
      <c r="F163" s="3340"/>
      <c r="G163" s="3340"/>
      <c r="H163" s="3340"/>
      <c r="I163" s="3340"/>
      <c r="J163" s="3340"/>
      <c r="K163" s="3340"/>
      <c r="L163" s="3340"/>
      <c r="M163" s="3340"/>
      <c r="N163" s="3340"/>
      <c r="O163" s="3340"/>
      <c r="P163" s="3340"/>
      <c r="Q163" s="3340"/>
      <c r="R163" s="3340"/>
      <c r="S163" s="3340"/>
      <c r="T163" s="3340"/>
      <c r="U163" s="3340"/>
      <c r="V163" s="3340"/>
      <c r="W163" s="3340"/>
      <c r="X163" s="3340"/>
      <c r="Y163" s="3340"/>
      <c r="Z163" s="3340"/>
      <c r="AA163" s="3340"/>
      <c r="AB163" s="3340"/>
      <c r="AC163" s="3340"/>
      <c r="AD163" s="3340"/>
      <c r="AE163" s="3340"/>
      <c r="AF163" s="3340"/>
      <c r="AG163" s="3340"/>
      <c r="AH163" s="3340"/>
      <c r="AI163" s="3340"/>
      <c r="AJ163" s="3340"/>
      <c r="AK163" s="3340"/>
      <c r="AL163" s="3340"/>
      <c r="AM163" s="3340"/>
      <c r="AN163" s="3340"/>
      <c r="AO163" s="3340"/>
      <c r="AP163" s="3340"/>
      <c r="AQ163" s="3340"/>
      <c r="AR163" s="3340"/>
      <c r="AS163" s="3340"/>
    </row>
    <row r="164" spans="1:45">
      <c r="A164" s="3340"/>
      <c r="B164" s="3340"/>
      <c r="C164" s="3340"/>
      <c r="D164" s="3340"/>
      <c r="E164" s="3340"/>
      <c r="F164" s="3340"/>
      <c r="G164" s="3340"/>
      <c r="H164" s="3340"/>
      <c r="I164" s="3340"/>
      <c r="J164" s="3340"/>
      <c r="K164" s="3340"/>
      <c r="L164" s="3340"/>
      <c r="M164" s="3340"/>
      <c r="N164" s="3340"/>
      <c r="O164" s="3340"/>
      <c r="P164" s="3340"/>
      <c r="Q164" s="3340"/>
      <c r="R164" s="3340"/>
      <c r="S164" s="3340"/>
      <c r="T164" s="3340"/>
      <c r="U164" s="3340"/>
      <c r="V164" s="3340"/>
      <c r="W164" s="3340"/>
      <c r="X164" s="3340"/>
      <c r="Y164" s="3340"/>
      <c r="Z164" s="3340"/>
      <c r="AA164" s="3340"/>
      <c r="AB164" s="3340"/>
      <c r="AC164" s="3340"/>
      <c r="AD164" s="3340"/>
      <c r="AE164" s="3340"/>
      <c r="AF164" s="3340"/>
      <c r="AG164" s="3340"/>
      <c r="AH164" s="3340"/>
      <c r="AI164" s="3340"/>
      <c r="AJ164" s="3340"/>
      <c r="AK164" s="3340"/>
      <c r="AL164" s="3340"/>
      <c r="AM164" s="3340"/>
      <c r="AN164" s="3340"/>
      <c r="AO164" s="3340"/>
      <c r="AP164" s="3340"/>
      <c r="AQ164" s="3340"/>
      <c r="AR164" s="3340"/>
      <c r="AS164" s="3340"/>
    </row>
    <row r="165" spans="1:45">
      <c r="A165" s="3340"/>
      <c r="B165" s="3340"/>
      <c r="C165" s="3340"/>
      <c r="D165" s="3340"/>
      <c r="E165" s="3340"/>
      <c r="F165" s="3340"/>
      <c r="G165" s="3340"/>
      <c r="H165" s="3340"/>
      <c r="I165" s="3340"/>
      <c r="J165" s="3340"/>
      <c r="K165" s="3340"/>
      <c r="L165" s="3340"/>
      <c r="M165" s="3340"/>
      <c r="N165" s="3340"/>
      <c r="O165" s="3340"/>
      <c r="P165" s="3340"/>
      <c r="Q165" s="3340"/>
      <c r="R165" s="3340"/>
      <c r="S165" s="3340"/>
      <c r="T165" s="3340"/>
      <c r="U165" s="3340"/>
      <c r="V165" s="3340"/>
      <c r="W165" s="3340"/>
      <c r="X165" s="3340"/>
      <c r="Y165" s="3340"/>
      <c r="Z165" s="3340"/>
      <c r="AA165" s="3340"/>
      <c r="AB165" s="3340"/>
      <c r="AC165" s="3340"/>
      <c r="AD165" s="3340"/>
      <c r="AE165" s="3340"/>
      <c r="AF165" s="3340"/>
      <c r="AG165" s="3340"/>
      <c r="AH165" s="3340"/>
      <c r="AI165" s="3340"/>
      <c r="AJ165" s="3340"/>
      <c r="AK165" s="3340"/>
      <c r="AL165" s="3340"/>
      <c r="AM165" s="3340"/>
      <c r="AN165" s="3340"/>
      <c r="AO165" s="3340"/>
      <c r="AP165" s="3340"/>
      <c r="AQ165" s="3340"/>
      <c r="AR165" s="3340"/>
      <c r="AS165" s="3340"/>
    </row>
    <row r="166" spans="1:45">
      <c r="A166" s="3340"/>
      <c r="B166" s="3340"/>
      <c r="C166" s="3340"/>
      <c r="D166" s="3340"/>
      <c r="E166" s="3340"/>
      <c r="F166" s="3340"/>
      <c r="G166" s="3340"/>
      <c r="H166" s="3340"/>
      <c r="I166" s="3340"/>
      <c r="J166" s="3340"/>
      <c r="K166" s="3340"/>
      <c r="L166" s="3340"/>
      <c r="M166" s="3340"/>
      <c r="N166" s="3340"/>
      <c r="O166" s="3340"/>
      <c r="P166" s="3340"/>
      <c r="Q166" s="3340"/>
      <c r="R166" s="3340"/>
      <c r="S166" s="3340"/>
      <c r="T166" s="3340"/>
      <c r="U166" s="3340"/>
      <c r="V166" s="3340"/>
      <c r="W166" s="3340"/>
      <c r="X166" s="3340"/>
      <c r="Y166" s="3340"/>
      <c r="Z166" s="3340"/>
      <c r="AA166" s="3340"/>
      <c r="AB166" s="3340"/>
      <c r="AC166" s="3340"/>
      <c r="AD166" s="3340"/>
      <c r="AE166" s="3340"/>
      <c r="AF166" s="3340"/>
      <c r="AG166" s="3340"/>
      <c r="AH166" s="3340"/>
      <c r="AI166" s="3340"/>
      <c r="AJ166" s="3340"/>
      <c r="AK166" s="3340"/>
      <c r="AL166" s="3340"/>
      <c r="AM166" s="3340"/>
      <c r="AN166" s="3340"/>
      <c r="AO166" s="3340"/>
      <c r="AP166" s="3340"/>
      <c r="AQ166" s="3340"/>
      <c r="AR166" s="3340"/>
      <c r="AS166" s="3340"/>
    </row>
    <row r="167" spans="1:45">
      <c r="A167" s="3340"/>
      <c r="B167" s="3340"/>
      <c r="C167" s="3340"/>
      <c r="D167" s="3340"/>
      <c r="E167" s="3340"/>
      <c r="F167" s="3340"/>
      <c r="G167" s="3340"/>
      <c r="H167" s="3340"/>
      <c r="I167" s="3340"/>
      <c r="J167" s="3340"/>
      <c r="K167" s="3340"/>
      <c r="L167" s="3340"/>
      <c r="M167" s="3340"/>
      <c r="N167" s="3340"/>
      <c r="O167" s="3340"/>
      <c r="P167" s="3340"/>
      <c r="Q167" s="3340"/>
      <c r="R167" s="3340"/>
      <c r="S167" s="3340"/>
      <c r="T167" s="3340"/>
      <c r="U167" s="3340"/>
      <c r="V167" s="3340"/>
      <c r="W167" s="3340"/>
      <c r="X167" s="3340"/>
      <c r="Y167" s="3340"/>
      <c r="Z167" s="3340"/>
      <c r="AA167" s="3340"/>
      <c r="AB167" s="3340"/>
      <c r="AC167" s="3340"/>
      <c r="AD167" s="3340"/>
      <c r="AE167" s="3340"/>
      <c r="AF167" s="3340"/>
      <c r="AG167" s="3340"/>
      <c r="AH167" s="3340"/>
      <c r="AI167" s="3340"/>
      <c r="AJ167" s="3340"/>
      <c r="AK167" s="3340"/>
      <c r="AL167" s="3340"/>
      <c r="AM167" s="3340"/>
      <c r="AN167" s="3340"/>
      <c r="AO167" s="3340"/>
      <c r="AP167" s="3340"/>
      <c r="AQ167" s="3340"/>
      <c r="AR167" s="3340"/>
      <c r="AS167" s="3340"/>
    </row>
    <row r="168" spans="1:45">
      <c r="A168" s="3340"/>
      <c r="B168" s="3340"/>
      <c r="C168" s="3340"/>
      <c r="D168" s="3340"/>
      <c r="E168" s="3340"/>
      <c r="F168" s="3340"/>
      <c r="G168" s="3340"/>
      <c r="H168" s="3340"/>
      <c r="I168" s="3340"/>
      <c r="J168" s="3340"/>
      <c r="K168" s="3340"/>
      <c r="L168" s="3340"/>
      <c r="M168" s="3340"/>
      <c r="N168" s="3340"/>
      <c r="O168" s="3340"/>
      <c r="P168" s="3340"/>
      <c r="Q168" s="3340"/>
      <c r="R168" s="3340"/>
      <c r="S168" s="3340"/>
      <c r="T168" s="3340"/>
      <c r="U168" s="3340"/>
      <c r="V168" s="3340"/>
      <c r="W168" s="3340"/>
      <c r="X168" s="3340"/>
      <c r="Y168" s="3340"/>
      <c r="Z168" s="3340"/>
      <c r="AA168" s="3340"/>
      <c r="AB168" s="3340"/>
      <c r="AC168" s="3340"/>
      <c r="AD168" s="3340"/>
      <c r="AE168" s="3340"/>
      <c r="AF168" s="3340"/>
      <c r="AG168" s="3340"/>
      <c r="AH168" s="3340"/>
      <c r="AI168" s="3340"/>
      <c r="AJ168" s="3340"/>
      <c r="AK168" s="3340"/>
      <c r="AL168" s="3340"/>
      <c r="AM168" s="3340"/>
      <c r="AN168" s="3340"/>
      <c r="AO168" s="3340"/>
      <c r="AP168" s="3340"/>
      <c r="AQ168" s="3340"/>
      <c r="AR168" s="3340"/>
      <c r="AS168" s="3340"/>
    </row>
    <row r="169" spans="1:45">
      <c r="A169" s="3340"/>
      <c r="B169" s="3340"/>
      <c r="C169" s="3340"/>
      <c r="D169" s="3340"/>
      <c r="E169" s="3340"/>
      <c r="F169" s="3340"/>
      <c r="G169" s="3340"/>
      <c r="H169" s="3340"/>
      <c r="I169" s="3340"/>
      <c r="J169" s="3340"/>
      <c r="K169" s="3340"/>
      <c r="L169" s="3340"/>
      <c r="M169" s="3340"/>
      <c r="N169" s="3340"/>
      <c r="O169" s="3340"/>
      <c r="P169" s="3340"/>
      <c r="Q169" s="3340"/>
      <c r="R169" s="3340"/>
      <c r="S169" s="3340"/>
      <c r="T169" s="3340"/>
      <c r="U169" s="3340"/>
      <c r="V169" s="3340"/>
      <c r="W169" s="3340"/>
      <c r="X169" s="3340"/>
      <c r="Y169" s="3340"/>
      <c r="Z169" s="3340"/>
      <c r="AA169" s="3340"/>
      <c r="AB169" s="3340"/>
      <c r="AC169" s="3340"/>
      <c r="AD169" s="3340"/>
      <c r="AE169" s="3340"/>
      <c r="AF169" s="3340"/>
      <c r="AG169" s="3340"/>
      <c r="AH169" s="3340"/>
      <c r="AI169" s="3340"/>
      <c r="AJ169" s="3340"/>
      <c r="AK169" s="3340"/>
      <c r="AL169" s="3340"/>
      <c r="AM169" s="3340"/>
      <c r="AN169" s="3340"/>
      <c r="AO169" s="3340"/>
      <c r="AP169" s="3340"/>
      <c r="AQ169" s="3340"/>
      <c r="AR169" s="3340"/>
      <c r="AS169" s="3340"/>
    </row>
    <row r="170" spans="1:45">
      <c r="A170" s="3340"/>
      <c r="B170" s="3340"/>
      <c r="C170" s="3340"/>
      <c r="D170" s="3340"/>
      <c r="E170" s="3340"/>
      <c r="F170" s="3340"/>
      <c r="G170" s="3340"/>
      <c r="H170" s="3340"/>
      <c r="I170" s="3340"/>
      <c r="J170" s="3340"/>
      <c r="K170" s="3340"/>
      <c r="L170" s="3340"/>
      <c r="M170" s="3340"/>
      <c r="N170" s="3340"/>
      <c r="O170" s="3340"/>
      <c r="P170" s="3340"/>
      <c r="Q170" s="3340"/>
      <c r="R170" s="3340"/>
      <c r="S170" s="3340"/>
      <c r="T170" s="3340"/>
      <c r="U170" s="3340"/>
      <c r="V170" s="3340"/>
      <c r="W170" s="3340"/>
      <c r="X170" s="3340"/>
      <c r="Y170" s="3340"/>
      <c r="Z170" s="3340"/>
      <c r="AA170" s="3340"/>
      <c r="AB170" s="3340"/>
      <c r="AC170" s="3340"/>
      <c r="AD170" s="3340"/>
      <c r="AE170" s="3340"/>
      <c r="AF170" s="3340"/>
      <c r="AG170" s="3340"/>
      <c r="AH170" s="3340"/>
      <c r="AI170" s="3340"/>
      <c r="AJ170" s="3340"/>
      <c r="AK170" s="3340"/>
      <c r="AL170" s="3340"/>
      <c r="AM170" s="3340"/>
      <c r="AN170" s="3340"/>
      <c r="AO170" s="3340"/>
      <c r="AP170" s="3340"/>
      <c r="AQ170" s="3340"/>
      <c r="AR170" s="3340"/>
      <c r="AS170" s="3340"/>
    </row>
    <row r="171" spans="1:45">
      <c r="A171" s="3340"/>
      <c r="B171" s="3340"/>
      <c r="C171" s="3340"/>
      <c r="D171" s="3340"/>
      <c r="E171" s="3340"/>
      <c r="F171" s="3340"/>
      <c r="G171" s="3340"/>
      <c r="H171" s="3340"/>
      <c r="I171" s="3340"/>
      <c r="J171" s="3340"/>
      <c r="K171" s="3340"/>
      <c r="L171" s="3340"/>
      <c r="M171" s="3340"/>
      <c r="N171" s="3340"/>
      <c r="O171" s="3340"/>
      <c r="P171" s="3340"/>
      <c r="Q171" s="3340"/>
      <c r="R171" s="3340"/>
      <c r="S171" s="3340"/>
      <c r="T171" s="3340"/>
      <c r="U171" s="3340"/>
      <c r="V171" s="3340"/>
      <c r="W171" s="3340"/>
      <c r="X171" s="3340"/>
      <c r="Y171" s="3340"/>
      <c r="Z171" s="3340"/>
      <c r="AA171" s="3340"/>
      <c r="AB171" s="3340"/>
      <c r="AC171" s="3340"/>
      <c r="AD171" s="3340"/>
      <c r="AE171" s="3340"/>
      <c r="AF171" s="3340"/>
      <c r="AG171" s="3340"/>
      <c r="AH171" s="3340"/>
      <c r="AI171" s="3340"/>
      <c r="AJ171" s="3340"/>
      <c r="AK171" s="3340"/>
      <c r="AL171" s="3340"/>
      <c r="AM171" s="3340"/>
      <c r="AN171" s="3340"/>
      <c r="AO171" s="3340"/>
      <c r="AP171" s="3340"/>
      <c r="AQ171" s="3340"/>
      <c r="AR171" s="3340"/>
      <c r="AS171" s="3340"/>
    </row>
    <row r="172" spans="1:45">
      <c r="A172" s="3340"/>
      <c r="B172" s="3340"/>
      <c r="C172" s="3340"/>
      <c r="D172" s="3340"/>
      <c r="E172" s="3340"/>
      <c r="F172" s="3340"/>
      <c r="G172" s="3340"/>
      <c r="H172" s="3340"/>
      <c r="I172" s="3340"/>
      <c r="J172" s="3340"/>
      <c r="K172" s="3340"/>
      <c r="L172" s="3340"/>
      <c r="M172" s="3340"/>
      <c r="N172" s="3340"/>
      <c r="O172" s="3340"/>
      <c r="P172" s="3340"/>
      <c r="Q172" s="3340"/>
      <c r="R172" s="3340"/>
      <c r="S172" s="3340"/>
      <c r="T172" s="3340"/>
      <c r="U172" s="3340"/>
      <c r="V172" s="3340"/>
      <c r="W172" s="3340"/>
      <c r="X172" s="3340"/>
      <c r="Y172" s="3340"/>
      <c r="Z172" s="3340"/>
      <c r="AA172" s="3340"/>
      <c r="AB172" s="3340"/>
      <c r="AC172" s="3340"/>
      <c r="AD172" s="3340"/>
      <c r="AE172" s="3340"/>
      <c r="AF172" s="3340"/>
      <c r="AG172" s="3340"/>
      <c r="AH172" s="3340"/>
      <c r="AI172" s="3340"/>
      <c r="AJ172" s="3340"/>
      <c r="AK172" s="3340"/>
      <c r="AL172" s="3340"/>
      <c r="AM172" s="3340"/>
      <c r="AN172" s="3340"/>
      <c r="AO172" s="3340"/>
      <c r="AP172" s="3340"/>
      <c r="AQ172" s="3340"/>
      <c r="AR172" s="3340"/>
      <c r="AS172" s="3340"/>
    </row>
    <row r="173" spans="1:45">
      <c r="A173" s="3340"/>
      <c r="B173" s="3340"/>
      <c r="C173" s="3340"/>
      <c r="D173" s="3340"/>
      <c r="E173" s="3340"/>
      <c r="F173" s="3340"/>
      <c r="G173" s="3340"/>
      <c r="H173" s="3340"/>
      <c r="I173" s="3340"/>
      <c r="J173" s="3340"/>
      <c r="K173" s="3340"/>
      <c r="L173" s="3340"/>
      <c r="M173" s="3340"/>
      <c r="N173" s="3340"/>
      <c r="O173" s="3340"/>
      <c r="P173" s="3340"/>
      <c r="Q173" s="3340"/>
      <c r="R173" s="3340"/>
      <c r="S173" s="3340"/>
      <c r="T173" s="3340"/>
      <c r="U173" s="3340"/>
      <c r="V173" s="3340"/>
      <c r="W173" s="3340"/>
      <c r="X173" s="3340"/>
      <c r="Y173" s="3340"/>
      <c r="Z173" s="3340"/>
      <c r="AA173" s="3340"/>
      <c r="AB173" s="3340"/>
      <c r="AC173" s="3340"/>
      <c r="AD173" s="3340"/>
      <c r="AE173" s="3340"/>
      <c r="AF173" s="3340"/>
      <c r="AG173" s="3340"/>
      <c r="AH173" s="3340"/>
      <c r="AI173" s="3340"/>
      <c r="AJ173" s="3340"/>
      <c r="AK173" s="3340"/>
      <c r="AL173" s="3340"/>
      <c r="AM173" s="3340"/>
      <c r="AN173" s="3340"/>
      <c r="AO173" s="3340"/>
      <c r="AP173" s="3340"/>
      <c r="AQ173" s="3340"/>
      <c r="AR173" s="3340"/>
      <c r="AS173" s="3340"/>
    </row>
    <row r="174" spans="1:45">
      <c r="A174" s="3340"/>
      <c r="B174" s="3340"/>
      <c r="C174" s="3340"/>
      <c r="D174" s="3340"/>
      <c r="E174" s="3340"/>
      <c r="F174" s="3340"/>
      <c r="G174" s="3340"/>
      <c r="H174" s="3340"/>
      <c r="I174" s="3340"/>
      <c r="J174" s="3340"/>
      <c r="K174" s="3340"/>
      <c r="L174" s="3340"/>
      <c r="M174" s="3340"/>
      <c r="N174" s="3340"/>
      <c r="O174" s="3340"/>
      <c r="P174" s="3340"/>
      <c r="Q174" s="3340"/>
      <c r="R174" s="3340"/>
      <c r="S174" s="3340"/>
      <c r="T174" s="3340"/>
      <c r="U174" s="3340"/>
      <c r="V174" s="3340"/>
      <c r="W174" s="3340"/>
      <c r="X174" s="3340"/>
      <c r="Y174" s="3340"/>
      <c r="Z174" s="3340"/>
      <c r="AA174" s="3340"/>
      <c r="AB174" s="3340"/>
      <c r="AC174" s="3340"/>
      <c r="AD174" s="3340"/>
      <c r="AE174" s="3340"/>
      <c r="AF174" s="3340"/>
      <c r="AG174" s="3340"/>
      <c r="AH174" s="3340"/>
      <c r="AI174" s="3340"/>
      <c r="AJ174" s="3340"/>
      <c r="AK174" s="3340"/>
      <c r="AL174" s="3340"/>
      <c r="AM174" s="3340"/>
      <c r="AN174" s="3340"/>
      <c r="AO174" s="3340"/>
      <c r="AP174" s="3340"/>
      <c r="AQ174" s="3340"/>
      <c r="AR174" s="3340"/>
      <c r="AS174" s="3340"/>
    </row>
    <row r="175" spans="1:45">
      <c r="A175" s="3340"/>
      <c r="B175" s="3340"/>
      <c r="C175" s="3340"/>
      <c r="D175" s="3340"/>
      <c r="E175" s="3340"/>
      <c r="F175" s="3340"/>
      <c r="G175" s="3340"/>
      <c r="H175" s="3340"/>
      <c r="I175" s="3340"/>
      <c r="J175" s="3340"/>
      <c r="K175" s="3340"/>
      <c r="L175" s="3340"/>
      <c r="M175" s="3340"/>
      <c r="N175" s="3340"/>
      <c r="O175" s="3340"/>
      <c r="P175" s="3340"/>
      <c r="Q175" s="3340"/>
      <c r="R175" s="3340"/>
      <c r="S175" s="3340"/>
      <c r="T175" s="3340"/>
      <c r="U175" s="3340"/>
      <c r="V175" s="3340"/>
      <c r="W175" s="3340"/>
      <c r="X175" s="3340"/>
      <c r="Y175" s="3340"/>
      <c r="Z175" s="3340"/>
      <c r="AA175" s="3340"/>
      <c r="AB175" s="3340"/>
      <c r="AC175" s="3340"/>
      <c r="AD175" s="3340"/>
      <c r="AE175" s="3340"/>
      <c r="AF175" s="3340"/>
      <c r="AG175" s="3340"/>
      <c r="AH175" s="3340"/>
      <c r="AI175" s="3340"/>
      <c r="AJ175" s="3340"/>
      <c r="AK175" s="3340"/>
      <c r="AL175" s="3340"/>
      <c r="AM175" s="3340"/>
      <c r="AN175" s="3340"/>
      <c r="AO175" s="3340"/>
      <c r="AP175" s="3340"/>
      <c r="AQ175" s="3340"/>
      <c r="AR175" s="3340"/>
      <c r="AS175" s="3340"/>
    </row>
    <row r="176" spans="1:45">
      <c r="A176" s="3340"/>
      <c r="B176" s="3340"/>
      <c r="C176" s="3340"/>
      <c r="D176" s="3340"/>
      <c r="E176" s="3340"/>
      <c r="F176" s="3340"/>
      <c r="G176" s="3340"/>
      <c r="H176" s="3340"/>
      <c r="I176" s="3340"/>
      <c r="J176" s="3340"/>
      <c r="K176" s="3340"/>
      <c r="L176" s="3340"/>
      <c r="M176" s="3340"/>
      <c r="N176" s="3340"/>
      <c r="O176" s="3340"/>
      <c r="P176" s="3340"/>
      <c r="Q176" s="3340"/>
      <c r="R176" s="3340"/>
      <c r="S176" s="3340"/>
      <c r="T176" s="3340"/>
      <c r="U176" s="3340"/>
      <c r="V176" s="3340"/>
      <c r="W176" s="3340"/>
      <c r="X176" s="3340"/>
      <c r="Y176" s="3340"/>
      <c r="Z176" s="3340"/>
      <c r="AA176" s="3340"/>
      <c r="AB176" s="3340"/>
      <c r="AC176" s="3340"/>
      <c r="AD176" s="3340"/>
      <c r="AE176" s="3340"/>
      <c r="AF176" s="3340"/>
      <c r="AG176" s="3340"/>
      <c r="AH176" s="3340"/>
      <c r="AI176" s="3340"/>
      <c r="AJ176" s="3340"/>
      <c r="AK176" s="3340"/>
      <c r="AL176" s="3340"/>
      <c r="AM176" s="3340"/>
      <c r="AN176" s="3340"/>
      <c r="AO176" s="3340"/>
      <c r="AP176" s="3340"/>
      <c r="AQ176" s="3340"/>
      <c r="AR176" s="3340"/>
      <c r="AS176" s="3340"/>
    </row>
    <row r="177" spans="1:45">
      <c r="A177" s="3340"/>
      <c r="B177" s="3340"/>
      <c r="C177" s="3340"/>
      <c r="D177" s="3340"/>
      <c r="E177" s="3340"/>
      <c r="F177" s="3340"/>
      <c r="G177" s="3340"/>
      <c r="H177" s="3340"/>
      <c r="I177" s="3340"/>
      <c r="J177" s="3340"/>
      <c r="K177" s="3340"/>
      <c r="L177" s="3340"/>
      <c r="M177" s="3340"/>
      <c r="N177" s="3340"/>
      <c r="O177" s="3340"/>
      <c r="P177" s="3340"/>
      <c r="Q177" s="3340"/>
      <c r="R177" s="3340"/>
      <c r="S177" s="3340"/>
      <c r="T177" s="3340"/>
      <c r="U177" s="3340"/>
      <c r="V177" s="3340"/>
      <c r="W177" s="3340"/>
      <c r="X177" s="3340"/>
      <c r="Y177" s="3340"/>
      <c r="Z177" s="3340"/>
      <c r="AA177" s="3340"/>
      <c r="AB177" s="3340"/>
      <c r="AC177" s="3340"/>
      <c r="AD177" s="3340"/>
      <c r="AE177" s="3340"/>
      <c r="AF177" s="3340"/>
      <c r="AG177" s="3340"/>
      <c r="AH177" s="3340"/>
      <c r="AI177" s="3340"/>
      <c r="AJ177" s="3340"/>
      <c r="AK177" s="3340"/>
      <c r="AL177" s="3340"/>
      <c r="AM177" s="3340"/>
      <c r="AN177" s="3340"/>
      <c r="AO177" s="3340"/>
      <c r="AP177" s="3340"/>
      <c r="AQ177" s="3340"/>
      <c r="AR177" s="3340"/>
      <c r="AS177" s="3340"/>
    </row>
    <row r="178" spans="1:45">
      <c r="A178" s="3340"/>
      <c r="B178" s="3340"/>
      <c r="C178" s="3340"/>
      <c r="D178" s="3340"/>
      <c r="E178" s="3340"/>
      <c r="F178" s="3340"/>
      <c r="G178" s="3340"/>
      <c r="H178" s="3340"/>
      <c r="I178" s="3340"/>
      <c r="J178" s="3340"/>
      <c r="K178" s="3340"/>
      <c r="L178" s="3340"/>
      <c r="M178" s="3340"/>
      <c r="N178" s="3340"/>
      <c r="O178" s="3340"/>
      <c r="P178" s="3340"/>
      <c r="Q178" s="3340"/>
      <c r="R178" s="3340"/>
      <c r="S178" s="3340"/>
      <c r="T178" s="3340"/>
      <c r="U178" s="3340"/>
      <c r="V178" s="3340"/>
      <c r="W178" s="3340"/>
      <c r="X178" s="3340"/>
      <c r="Y178" s="3340"/>
      <c r="Z178" s="3340"/>
      <c r="AA178" s="3340"/>
      <c r="AB178" s="3340"/>
      <c r="AC178" s="3340"/>
      <c r="AD178" s="3340"/>
      <c r="AE178" s="3340"/>
      <c r="AF178" s="3340"/>
      <c r="AG178" s="3340"/>
      <c r="AH178" s="3340"/>
      <c r="AI178" s="3340"/>
      <c r="AJ178" s="3340"/>
      <c r="AK178" s="3340"/>
      <c r="AL178" s="3340"/>
      <c r="AM178" s="3340"/>
      <c r="AN178" s="3340"/>
      <c r="AO178" s="3340"/>
      <c r="AP178" s="3340"/>
      <c r="AQ178" s="3340"/>
      <c r="AR178" s="3340"/>
      <c r="AS178" s="3340"/>
    </row>
    <row r="179" spans="1:45">
      <c r="A179" s="3340"/>
      <c r="B179" s="3340"/>
      <c r="C179" s="3340"/>
      <c r="D179" s="3340"/>
      <c r="E179" s="3340"/>
      <c r="F179" s="3340"/>
      <c r="G179" s="3340"/>
      <c r="H179" s="3340"/>
      <c r="I179" s="3340"/>
      <c r="J179" s="3340"/>
      <c r="K179" s="3340"/>
      <c r="L179" s="3340"/>
      <c r="M179" s="3340"/>
      <c r="N179" s="3340"/>
      <c r="O179" s="3340"/>
      <c r="P179" s="3340"/>
      <c r="Q179" s="3340"/>
      <c r="R179" s="3340"/>
      <c r="S179" s="3340"/>
      <c r="T179" s="3340"/>
      <c r="U179" s="3340"/>
      <c r="V179" s="3340"/>
      <c r="W179" s="3340"/>
      <c r="X179" s="3340"/>
      <c r="Y179" s="3340"/>
      <c r="Z179" s="3340"/>
      <c r="AA179" s="3340"/>
      <c r="AB179" s="3340"/>
      <c r="AC179" s="3340"/>
      <c r="AD179" s="3340"/>
      <c r="AE179" s="3340"/>
      <c r="AF179" s="3340"/>
      <c r="AG179" s="3340"/>
      <c r="AH179" s="3340"/>
      <c r="AI179" s="3340"/>
      <c r="AJ179" s="3340"/>
      <c r="AK179" s="3340"/>
      <c r="AL179" s="3340"/>
      <c r="AM179" s="3340"/>
      <c r="AN179" s="3340"/>
      <c r="AO179" s="3340"/>
      <c r="AP179" s="3340"/>
      <c r="AQ179" s="3340"/>
      <c r="AR179" s="3340"/>
      <c r="AS179" s="3340"/>
    </row>
    <row r="180" spans="1:45">
      <c r="A180" s="3340"/>
      <c r="B180" s="3340"/>
      <c r="C180" s="3340"/>
      <c r="D180" s="3340"/>
      <c r="E180" s="3340"/>
      <c r="F180" s="3340"/>
      <c r="G180" s="3340"/>
      <c r="H180" s="3340"/>
      <c r="I180" s="3340"/>
      <c r="J180" s="3340"/>
      <c r="K180" s="3340"/>
      <c r="L180" s="3340"/>
      <c r="M180" s="3340"/>
      <c r="N180" s="3340"/>
      <c r="O180" s="3340"/>
      <c r="P180" s="3340"/>
      <c r="Q180" s="3340"/>
      <c r="R180" s="3340"/>
      <c r="S180" s="3340"/>
      <c r="T180" s="3340"/>
      <c r="U180" s="3340"/>
      <c r="V180" s="3340"/>
      <c r="W180" s="3340"/>
      <c r="X180" s="3340"/>
      <c r="Y180" s="3340"/>
      <c r="Z180" s="3340"/>
      <c r="AA180" s="3340"/>
      <c r="AB180" s="3340"/>
      <c r="AC180" s="3340"/>
      <c r="AD180" s="3340"/>
      <c r="AE180" s="3340"/>
      <c r="AF180" s="3340"/>
      <c r="AG180" s="3340"/>
      <c r="AH180" s="3340"/>
      <c r="AI180" s="3340"/>
      <c r="AJ180" s="3340"/>
      <c r="AK180" s="3340"/>
      <c r="AL180" s="3340"/>
      <c r="AM180" s="3340"/>
      <c r="AN180" s="3340"/>
      <c r="AO180" s="3340"/>
      <c r="AP180" s="3340"/>
      <c r="AQ180" s="3340"/>
      <c r="AR180" s="3340"/>
      <c r="AS180" s="3340"/>
    </row>
    <row r="181" spans="1:45">
      <c r="A181" s="3340"/>
      <c r="B181" s="3340"/>
      <c r="C181" s="3340"/>
      <c r="D181" s="3340"/>
      <c r="E181" s="3340"/>
      <c r="F181" s="3340"/>
      <c r="G181" s="3340"/>
      <c r="H181" s="3340"/>
      <c r="I181" s="3340"/>
      <c r="J181" s="3340"/>
      <c r="K181" s="3340"/>
      <c r="L181" s="3340"/>
      <c r="M181" s="3340"/>
      <c r="N181" s="3340"/>
      <c r="O181" s="3340"/>
      <c r="P181" s="3340"/>
      <c r="Q181" s="3340"/>
      <c r="R181" s="3340"/>
      <c r="S181" s="3340"/>
      <c r="T181" s="3340"/>
      <c r="U181" s="3340"/>
      <c r="V181" s="3340"/>
      <c r="W181" s="3340"/>
      <c r="X181" s="3340"/>
      <c r="Y181" s="3340"/>
      <c r="Z181" s="3340"/>
      <c r="AA181" s="3340"/>
      <c r="AB181" s="3340"/>
      <c r="AC181" s="3340"/>
      <c r="AD181" s="3340"/>
      <c r="AE181" s="3340"/>
      <c r="AF181" s="3340"/>
      <c r="AG181" s="3340"/>
      <c r="AH181" s="3340"/>
      <c r="AI181" s="3340"/>
      <c r="AJ181" s="3340"/>
      <c r="AK181" s="3340"/>
      <c r="AL181" s="3340"/>
      <c r="AM181" s="3340"/>
      <c r="AN181" s="3340"/>
      <c r="AO181" s="3340"/>
      <c r="AP181" s="3340"/>
      <c r="AQ181" s="3340"/>
      <c r="AR181" s="3340"/>
      <c r="AS181" s="3340"/>
    </row>
    <row r="182" spans="1:45">
      <c r="A182" s="3340"/>
      <c r="B182" s="3340"/>
      <c r="C182" s="3340"/>
      <c r="D182" s="3340"/>
      <c r="E182" s="3340"/>
      <c r="F182" s="3340"/>
      <c r="G182" s="3340"/>
      <c r="H182" s="3340"/>
      <c r="I182" s="3340"/>
      <c r="J182" s="3340"/>
      <c r="K182" s="3340"/>
      <c r="L182" s="3340"/>
      <c r="M182" s="3340"/>
      <c r="N182" s="3340"/>
      <c r="O182" s="3340"/>
      <c r="P182" s="3340"/>
      <c r="Q182" s="3340"/>
      <c r="R182" s="3340"/>
      <c r="S182" s="3340"/>
      <c r="T182" s="3340"/>
      <c r="U182" s="3340"/>
      <c r="V182" s="3340"/>
      <c r="W182" s="3340"/>
      <c r="X182" s="3340"/>
      <c r="Y182" s="3340"/>
      <c r="Z182" s="3340"/>
      <c r="AA182" s="3340"/>
      <c r="AB182" s="3340"/>
      <c r="AC182" s="3340"/>
      <c r="AD182" s="3340"/>
      <c r="AE182" s="3340"/>
      <c r="AF182" s="3340"/>
      <c r="AG182" s="3340"/>
      <c r="AH182" s="3340"/>
      <c r="AI182" s="3340"/>
      <c r="AJ182" s="3340"/>
      <c r="AK182" s="3340"/>
      <c r="AL182" s="3340"/>
      <c r="AM182" s="3340"/>
      <c r="AN182" s="3340"/>
      <c r="AO182" s="3340"/>
      <c r="AP182" s="3340"/>
      <c r="AQ182" s="3340"/>
      <c r="AR182" s="3340"/>
      <c r="AS182" s="3340"/>
    </row>
    <row r="183" spans="1:45">
      <c r="A183" s="3340"/>
      <c r="B183" s="3340"/>
      <c r="C183" s="3340"/>
      <c r="D183" s="3340"/>
      <c r="E183" s="3340"/>
      <c r="F183" s="3340"/>
      <c r="G183" s="3340"/>
      <c r="H183" s="3340"/>
      <c r="I183" s="3340"/>
      <c r="J183" s="3340"/>
      <c r="K183" s="3340"/>
      <c r="L183" s="3340"/>
      <c r="M183" s="3340"/>
      <c r="N183" s="3340"/>
      <c r="O183" s="3340"/>
      <c r="P183" s="3340"/>
      <c r="Q183" s="3340"/>
      <c r="R183" s="3340"/>
      <c r="S183" s="3340"/>
      <c r="T183" s="3340"/>
      <c r="U183" s="3340"/>
      <c r="V183" s="3340"/>
      <c r="W183" s="3340"/>
      <c r="X183" s="3340"/>
      <c r="Y183" s="3340"/>
      <c r="Z183" s="3340"/>
      <c r="AA183" s="3340"/>
      <c r="AB183" s="3340"/>
      <c r="AC183" s="3340"/>
      <c r="AD183" s="3340"/>
      <c r="AE183" s="3340"/>
      <c r="AF183" s="3340"/>
      <c r="AG183" s="3340"/>
      <c r="AH183" s="3340"/>
      <c r="AI183" s="3340"/>
      <c r="AJ183" s="3340"/>
      <c r="AK183" s="3340"/>
      <c r="AL183" s="3340"/>
      <c r="AM183" s="3340"/>
      <c r="AN183" s="3340"/>
      <c r="AO183" s="3340"/>
      <c r="AP183" s="3340"/>
      <c r="AQ183" s="3340"/>
      <c r="AR183" s="3340"/>
      <c r="AS183" s="3340"/>
    </row>
    <row r="184" spans="1:45">
      <c r="A184" s="3340"/>
      <c r="B184" s="3340"/>
      <c r="C184" s="3340"/>
      <c r="D184" s="3340"/>
      <c r="E184" s="3340"/>
      <c r="F184" s="3340"/>
      <c r="G184" s="3340"/>
      <c r="H184" s="3340"/>
      <c r="I184" s="3340"/>
      <c r="J184" s="3340"/>
      <c r="K184" s="3340"/>
      <c r="L184" s="3340"/>
      <c r="M184" s="3340"/>
      <c r="N184" s="3340"/>
      <c r="O184" s="3340"/>
      <c r="P184" s="3340"/>
      <c r="Q184" s="3340"/>
      <c r="R184" s="3340"/>
      <c r="S184" s="3340"/>
      <c r="T184" s="3340"/>
      <c r="U184" s="3340"/>
      <c r="V184" s="3340"/>
      <c r="W184" s="3340"/>
      <c r="X184" s="3340"/>
      <c r="Y184" s="3340"/>
      <c r="Z184" s="3340"/>
      <c r="AA184" s="3340"/>
      <c r="AB184" s="3340"/>
      <c r="AC184" s="3340"/>
      <c r="AD184" s="3340"/>
      <c r="AE184" s="3340"/>
      <c r="AF184" s="3340"/>
      <c r="AG184" s="3340"/>
      <c r="AH184" s="3340"/>
      <c r="AI184" s="3340"/>
      <c r="AJ184" s="3340"/>
      <c r="AK184" s="3340"/>
      <c r="AL184" s="3340"/>
      <c r="AM184" s="3340"/>
      <c r="AN184" s="3340"/>
      <c r="AO184" s="3340"/>
      <c r="AP184" s="3340"/>
      <c r="AQ184" s="3340"/>
      <c r="AR184" s="3340"/>
      <c r="AS184" s="3340"/>
    </row>
    <row r="185" spans="1:45">
      <c r="A185" s="3340"/>
      <c r="B185" s="3340"/>
      <c r="C185" s="3340"/>
      <c r="D185" s="3340"/>
      <c r="E185" s="3340"/>
      <c r="F185" s="3340"/>
      <c r="G185" s="3340"/>
      <c r="H185" s="3340"/>
      <c r="I185" s="3340"/>
      <c r="J185" s="3340"/>
      <c r="K185" s="3340"/>
      <c r="L185" s="3340"/>
      <c r="M185" s="3340"/>
      <c r="N185" s="3340"/>
      <c r="O185" s="3340"/>
      <c r="P185" s="3340"/>
      <c r="Q185" s="3340"/>
      <c r="R185" s="3340"/>
      <c r="S185" s="3340"/>
      <c r="T185" s="3340"/>
      <c r="U185" s="3340"/>
      <c r="V185" s="3340"/>
      <c r="W185" s="3340"/>
      <c r="X185" s="3340"/>
      <c r="Y185" s="3340"/>
      <c r="Z185" s="3340"/>
      <c r="AA185" s="3340"/>
      <c r="AB185" s="3340"/>
      <c r="AC185" s="3340"/>
      <c r="AD185" s="3340"/>
      <c r="AE185" s="3340"/>
      <c r="AF185" s="3340"/>
      <c r="AG185" s="3340"/>
      <c r="AH185" s="3340"/>
      <c r="AI185" s="3340"/>
      <c r="AJ185" s="3340"/>
      <c r="AK185" s="3340"/>
      <c r="AL185" s="3340"/>
      <c r="AM185" s="3340"/>
      <c r="AN185" s="3340"/>
      <c r="AO185" s="3340"/>
      <c r="AP185" s="3340"/>
      <c r="AQ185" s="3340"/>
      <c r="AR185" s="3340"/>
      <c r="AS185" s="3340"/>
    </row>
    <row r="186" spans="1:45">
      <c r="A186" s="3340"/>
      <c r="B186" s="3340"/>
      <c r="C186" s="3340"/>
      <c r="D186" s="3340"/>
      <c r="E186" s="3340"/>
      <c r="F186" s="3340"/>
      <c r="G186" s="3340"/>
      <c r="H186" s="3340"/>
      <c r="I186" s="3340"/>
      <c r="J186" s="3340"/>
      <c r="K186" s="3340"/>
      <c r="L186" s="3340"/>
      <c r="M186" s="3340"/>
      <c r="N186" s="3340"/>
      <c r="O186" s="3340"/>
      <c r="P186" s="3340"/>
      <c r="Q186" s="3340"/>
      <c r="R186" s="3340"/>
      <c r="S186" s="3340"/>
      <c r="T186" s="3340"/>
      <c r="U186" s="3340"/>
      <c r="V186" s="3340"/>
      <c r="W186" s="3340"/>
      <c r="X186" s="3340"/>
      <c r="Y186" s="3340"/>
      <c r="Z186" s="3340"/>
      <c r="AA186" s="3340"/>
      <c r="AB186" s="3340"/>
      <c r="AC186" s="3340"/>
      <c r="AD186" s="3340"/>
      <c r="AE186" s="3340"/>
      <c r="AF186" s="3340"/>
      <c r="AG186" s="3340"/>
      <c r="AH186" s="3340"/>
      <c r="AI186" s="3340"/>
      <c r="AJ186" s="3340"/>
      <c r="AK186" s="3340"/>
      <c r="AL186" s="3340"/>
      <c r="AM186" s="3340"/>
      <c r="AN186" s="3340"/>
      <c r="AO186" s="3340"/>
      <c r="AP186" s="3340"/>
      <c r="AQ186" s="3340"/>
      <c r="AR186" s="3340"/>
      <c r="AS186" s="3340"/>
    </row>
    <row r="187" spans="1:45">
      <c r="A187" s="3340"/>
      <c r="B187" s="3340"/>
      <c r="C187" s="3340"/>
      <c r="D187" s="3340"/>
      <c r="E187" s="3340"/>
      <c r="F187" s="3340"/>
      <c r="G187" s="3340"/>
      <c r="H187" s="3340"/>
      <c r="I187" s="3340"/>
      <c r="J187" s="3340"/>
      <c r="K187" s="3340"/>
      <c r="L187" s="3340"/>
      <c r="M187" s="3340"/>
      <c r="N187" s="3340"/>
      <c r="O187" s="3340"/>
      <c r="P187" s="3340"/>
      <c r="Q187" s="3340"/>
      <c r="R187" s="3340"/>
      <c r="S187" s="3340"/>
      <c r="T187" s="3340"/>
      <c r="U187" s="3340"/>
      <c r="V187" s="3340"/>
      <c r="W187" s="3340"/>
      <c r="X187" s="3340"/>
      <c r="Y187" s="3340"/>
      <c r="Z187" s="3340"/>
      <c r="AA187" s="3340"/>
      <c r="AB187" s="3340"/>
      <c r="AC187" s="3340"/>
      <c r="AD187" s="3340"/>
      <c r="AE187" s="3340"/>
      <c r="AF187" s="3340"/>
      <c r="AG187" s="3340"/>
      <c r="AH187" s="3340"/>
      <c r="AI187" s="3340"/>
      <c r="AJ187" s="3340"/>
      <c r="AK187" s="3340"/>
      <c r="AL187" s="3340"/>
      <c r="AM187" s="3340"/>
      <c r="AN187" s="3340"/>
      <c r="AO187" s="3340"/>
      <c r="AP187" s="3340"/>
      <c r="AQ187" s="3340"/>
      <c r="AR187" s="3340"/>
      <c r="AS187" s="3340"/>
    </row>
    <row r="188" spans="1:45">
      <c r="A188" s="3340"/>
      <c r="B188" s="3340"/>
      <c r="C188" s="3340"/>
      <c r="D188" s="3340"/>
      <c r="E188" s="3340"/>
      <c r="F188" s="3340"/>
      <c r="G188" s="3340"/>
      <c r="H188" s="3340"/>
      <c r="I188" s="3340"/>
      <c r="J188" s="3340"/>
      <c r="K188" s="3340"/>
      <c r="L188" s="3340"/>
      <c r="M188" s="3340"/>
      <c r="N188" s="3340"/>
      <c r="O188" s="3340"/>
      <c r="P188" s="3340"/>
      <c r="Q188" s="3340"/>
      <c r="R188" s="3340"/>
      <c r="S188" s="3340"/>
      <c r="T188" s="3340"/>
      <c r="U188" s="3340"/>
      <c r="V188" s="3340"/>
      <c r="W188" s="3340"/>
      <c r="X188" s="3340"/>
      <c r="Y188" s="3340"/>
      <c r="Z188" s="3340"/>
      <c r="AA188" s="3340"/>
      <c r="AB188" s="3340"/>
      <c r="AC188" s="3340"/>
      <c r="AD188" s="3340"/>
      <c r="AE188" s="3340"/>
      <c r="AF188" s="3340"/>
      <c r="AG188" s="3340"/>
      <c r="AH188" s="3340"/>
      <c r="AI188" s="3340"/>
      <c r="AJ188" s="3340"/>
      <c r="AK188" s="3340"/>
      <c r="AL188" s="3340"/>
      <c r="AM188" s="3340"/>
      <c r="AN188" s="3340"/>
      <c r="AO188" s="3340"/>
      <c r="AP188" s="3340"/>
      <c r="AQ188" s="3340"/>
      <c r="AR188" s="3340"/>
      <c r="AS188" s="3340"/>
    </row>
    <row r="189" spans="1:45">
      <c r="A189" s="3340"/>
      <c r="B189" s="3340"/>
      <c r="C189" s="3340"/>
      <c r="D189" s="3340"/>
      <c r="E189" s="3340"/>
      <c r="F189" s="3340"/>
      <c r="G189" s="3340"/>
      <c r="H189" s="3340"/>
      <c r="I189" s="3340"/>
      <c r="J189" s="3340"/>
      <c r="K189" s="3340"/>
      <c r="L189" s="3340"/>
      <c r="M189" s="3340"/>
      <c r="N189" s="3340"/>
      <c r="O189" s="3340"/>
      <c r="P189" s="3340"/>
      <c r="Q189" s="3340"/>
      <c r="R189" s="3340"/>
      <c r="S189" s="3340"/>
      <c r="T189" s="3340"/>
      <c r="U189" s="3340"/>
      <c r="V189" s="3340"/>
      <c r="W189" s="3340"/>
      <c r="X189" s="3340"/>
      <c r="Y189" s="3340"/>
      <c r="Z189" s="3340"/>
      <c r="AA189" s="3340"/>
      <c r="AB189" s="3340"/>
      <c r="AC189" s="3340"/>
      <c r="AD189" s="3340"/>
      <c r="AE189" s="3340"/>
      <c r="AF189" s="3340"/>
      <c r="AG189" s="3340"/>
      <c r="AH189" s="3340"/>
      <c r="AI189" s="3340"/>
      <c r="AJ189" s="3340"/>
      <c r="AK189" s="3340"/>
      <c r="AL189" s="3340"/>
      <c r="AM189" s="3340"/>
      <c r="AN189" s="3340"/>
      <c r="AO189" s="3340"/>
      <c r="AP189" s="3340"/>
      <c r="AQ189" s="3340"/>
      <c r="AR189" s="3340"/>
      <c r="AS189" s="3340"/>
    </row>
    <row r="190" spans="1:45">
      <c r="A190" s="3340"/>
      <c r="B190" s="3340"/>
      <c r="C190" s="3340"/>
      <c r="D190" s="3340"/>
      <c r="E190" s="3340"/>
      <c r="F190" s="3340"/>
      <c r="G190" s="3340"/>
      <c r="H190" s="3340"/>
      <c r="I190" s="3340"/>
      <c r="J190" s="3340"/>
      <c r="K190" s="3340"/>
      <c r="L190" s="3340"/>
      <c r="M190" s="3340"/>
      <c r="N190" s="3340"/>
      <c r="O190" s="3340"/>
      <c r="P190" s="3340"/>
      <c r="Q190" s="3340"/>
      <c r="R190" s="3340"/>
      <c r="S190" s="3340"/>
      <c r="T190" s="3340"/>
      <c r="U190" s="3340"/>
      <c r="V190" s="3340"/>
      <c r="W190" s="3340"/>
      <c r="X190" s="3340"/>
      <c r="Y190" s="3340"/>
      <c r="Z190" s="3340"/>
      <c r="AA190" s="3340"/>
      <c r="AB190" s="3340"/>
      <c r="AC190" s="3340"/>
      <c r="AD190" s="3340"/>
      <c r="AE190" s="3340"/>
      <c r="AF190" s="3340"/>
      <c r="AG190" s="3340"/>
      <c r="AH190" s="3340"/>
      <c r="AI190" s="3340"/>
      <c r="AJ190" s="3340"/>
      <c r="AK190" s="3340"/>
      <c r="AL190" s="3340"/>
      <c r="AM190" s="3340"/>
      <c r="AN190" s="3340"/>
      <c r="AO190" s="3340"/>
      <c r="AP190" s="3340"/>
      <c r="AQ190" s="3340"/>
      <c r="AR190" s="3340"/>
      <c r="AS190" s="3340"/>
    </row>
    <row r="191" spans="1:45">
      <c r="A191" s="3340"/>
      <c r="B191" s="3340"/>
      <c r="C191" s="3340"/>
      <c r="D191" s="3340"/>
      <c r="E191" s="3340"/>
      <c r="F191" s="3340"/>
      <c r="G191" s="3340"/>
      <c r="H191" s="3340"/>
      <c r="I191" s="3340"/>
      <c r="J191" s="3340"/>
      <c r="K191" s="3340"/>
      <c r="L191" s="3340"/>
      <c r="M191" s="3340"/>
      <c r="N191" s="3340"/>
      <c r="O191" s="3340"/>
      <c r="P191" s="3340"/>
      <c r="Q191" s="3340"/>
      <c r="R191" s="3340"/>
      <c r="S191" s="3340"/>
      <c r="T191" s="3340"/>
      <c r="U191" s="3340"/>
      <c r="V191" s="3340"/>
      <c r="W191" s="3340"/>
      <c r="X191" s="3340"/>
      <c r="Y191" s="3340"/>
      <c r="Z191" s="3340"/>
      <c r="AA191" s="3340"/>
      <c r="AB191" s="3340"/>
      <c r="AC191" s="3340"/>
      <c r="AD191" s="3340"/>
      <c r="AE191" s="3340"/>
      <c r="AF191" s="3340"/>
      <c r="AG191" s="3340"/>
      <c r="AH191" s="3340"/>
      <c r="AI191" s="3340"/>
      <c r="AJ191" s="3340"/>
      <c r="AK191" s="3340"/>
      <c r="AL191" s="3340"/>
      <c r="AM191" s="3340"/>
      <c r="AN191" s="3340"/>
      <c r="AO191" s="3340"/>
      <c r="AP191" s="3340"/>
      <c r="AQ191" s="3340"/>
      <c r="AR191" s="3340"/>
      <c r="AS191" s="3340"/>
    </row>
    <row r="192" spans="1:45">
      <c r="A192" s="3340"/>
      <c r="B192" s="3340"/>
      <c r="C192" s="3340"/>
      <c r="D192" s="3340"/>
      <c r="E192" s="3340"/>
      <c r="F192" s="3340"/>
      <c r="G192" s="3340"/>
      <c r="H192" s="3340"/>
      <c r="I192" s="3340"/>
      <c r="J192" s="3340"/>
      <c r="K192" s="3340"/>
      <c r="L192" s="3340"/>
      <c r="M192" s="3340"/>
      <c r="N192" s="3340"/>
      <c r="O192" s="3340"/>
      <c r="P192" s="3340"/>
      <c r="Q192" s="3340"/>
      <c r="R192" s="3340"/>
      <c r="S192" s="3340"/>
      <c r="T192" s="3340"/>
      <c r="U192" s="3340"/>
      <c r="V192" s="3340"/>
      <c r="W192" s="3340"/>
      <c r="X192" s="3340"/>
      <c r="Y192" s="3340"/>
      <c r="Z192" s="3340"/>
      <c r="AA192" s="3340"/>
      <c r="AB192" s="3340"/>
      <c r="AC192" s="3340"/>
      <c r="AD192" s="3340"/>
      <c r="AE192" s="3340"/>
      <c r="AF192" s="3340"/>
      <c r="AG192" s="3340"/>
      <c r="AH192" s="3340"/>
      <c r="AI192" s="3340"/>
      <c r="AJ192" s="3340"/>
      <c r="AK192" s="3340"/>
      <c r="AL192" s="3340"/>
      <c r="AM192" s="3340"/>
      <c r="AN192" s="3340"/>
      <c r="AO192" s="3340"/>
      <c r="AP192" s="3340"/>
      <c r="AQ192" s="3340"/>
      <c r="AR192" s="3340"/>
      <c r="AS192" s="3340"/>
    </row>
    <row r="193" spans="1:45">
      <c r="A193" s="3340"/>
      <c r="B193" s="3340"/>
      <c r="C193" s="3340"/>
      <c r="D193" s="3340"/>
      <c r="E193" s="3340"/>
      <c r="F193" s="3340"/>
      <c r="G193" s="3340"/>
      <c r="H193" s="3340"/>
      <c r="I193" s="3340"/>
      <c r="J193" s="3340"/>
      <c r="K193" s="3340"/>
      <c r="L193" s="3340"/>
      <c r="M193" s="3340"/>
      <c r="N193" s="3340"/>
      <c r="O193" s="3340"/>
      <c r="P193" s="3340"/>
      <c r="Q193" s="3340"/>
      <c r="R193" s="3340"/>
      <c r="S193" s="3340"/>
      <c r="T193" s="3340"/>
      <c r="U193" s="3340"/>
      <c r="V193" s="3340"/>
      <c r="W193" s="3340"/>
      <c r="X193" s="3340"/>
      <c r="Y193" s="3340"/>
      <c r="Z193" s="3340"/>
      <c r="AA193" s="3340"/>
      <c r="AB193" s="3340"/>
      <c r="AC193" s="3340"/>
      <c r="AD193" s="3340"/>
      <c r="AE193" s="3340"/>
      <c r="AF193" s="3340"/>
      <c r="AG193" s="3340"/>
      <c r="AH193" s="3340"/>
      <c r="AI193" s="3340"/>
      <c r="AJ193" s="3340"/>
      <c r="AK193" s="3340"/>
      <c r="AL193" s="3340"/>
      <c r="AM193" s="3340"/>
      <c r="AN193" s="3340"/>
      <c r="AO193" s="3340"/>
      <c r="AP193" s="3340"/>
      <c r="AQ193" s="3340"/>
      <c r="AR193" s="3340"/>
      <c r="AS193" s="3340"/>
    </row>
    <row r="194" spans="1:45">
      <c r="A194" s="3340"/>
      <c r="B194" s="3340"/>
      <c r="C194" s="3340"/>
      <c r="D194" s="3340"/>
      <c r="E194" s="3340"/>
      <c r="F194" s="3340"/>
      <c r="G194" s="3340"/>
      <c r="H194" s="3340"/>
      <c r="I194" s="3340"/>
      <c r="J194" s="3340"/>
      <c r="K194" s="3340"/>
      <c r="L194" s="3340"/>
      <c r="M194" s="3340"/>
      <c r="N194" s="3340"/>
      <c r="O194" s="3340"/>
      <c r="P194" s="3340"/>
      <c r="Q194" s="3340"/>
      <c r="R194" s="3340"/>
      <c r="S194" s="3340"/>
      <c r="T194" s="3340"/>
      <c r="U194" s="3340"/>
      <c r="V194" s="3340"/>
      <c r="W194" s="3340"/>
      <c r="X194" s="3340"/>
      <c r="Y194" s="3340"/>
      <c r="Z194" s="3340"/>
      <c r="AA194" s="3340"/>
      <c r="AB194" s="3340"/>
      <c r="AC194" s="3340"/>
      <c r="AD194" s="3340"/>
      <c r="AE194" s="3340"/>
      <c r="AF194" s="3340"/>
      <c r="AG194" s="3340"/>
      <c r="AH194" s="3340"/>
      <c r="AI194" s="3340"/>
      <c r="AJ194" s="3340"/>
      <c r="AK194" s="3340"/>
      <c r="AL194" s="3340"/>
      <c r="AM194" s="3340"/>
      <c r="AN194" s="3340"/>
      <c r="AO194" s="3340"/>
      <c r="AP194" s="3340"/>
      <c r="AQ194" s="3340"/>
      <c r="AR194" s="3340"/>
      <c r="AS194" s="3340"/>
    </row>
    <row r="195" spans="1:45">
      <c r="A195" s="3340"/>
      <c r="B195" s="3340"/>
      <c r="C195" s="3340"/>
      <c r="D195" s="3340"/>
      <c r="E195" s="3340"/>
      <c r="F195" s="3340"/>
      <c r="G195" s="3340"/>
      <c r="H195" s="3340"/>
      <c r="I195" s="3340"/>
      <c r="J195" s="3340"/>
      <c r="K195" s="3340"/>
      <c r="L195" s="3340"/>
      <c r="M195" s="3340"/>
      <c r="N195" s="3340"/>
      <c r="O195" s="3340"/>
      <c r="P195" s="3340"/>
      <c r="Q195" s="3340"/>
      <c r="R195" s="3340"/>
      <c r="S195" s="3340"/>
      <c r="T195" s="3340"/>
      <c r="U195" s="3340"/>
      <c r="V195" s="3340"/>
      <c r="W195" s="3340"/>
      <c r="X195" s="3340"/>
      <c r="Y195" s="3340"/>
      <c r="Z195" s="3340"/>
      <c r="AA195" s="3340"/>
      <c r="AB195" s="3340"/>
      <c r="AC195" s="3340"/>
      <c r="AD195" s="3340"/>
      <c r="AE195" s="3340"/>
      <c r="AF195" s="3340"/>
      <c r="AG195" s="3340"/>
      <c r="AH195" s="3340"/>
      <c r="AI195" s="3340"/>
      <c r="AJ195" s="3340"/>
      <c r="AK195" s="3340"/>
      <c r="AL195" s="3340"/>
      <c r="AM195" s="3340"/>
      <c r="AN195" s="3340"/>
      <c r="AO195" s="3340"/>
      <c r="AP195" s="3340"/>
      <c r="AQ195" s="3340"/>
      <c r="AR195" s="3340"/>
      <c r="AS195" s="3340"/>
    </row>
    <row r="196" spans="1:45">
      <c r="A196" s="3340"/>
      <c r="B196" s="3340"/>
      <c r="C196" s="3340"/>
      <c r="D196" s="3340"/>
      <c r="E196" s="3340"/>
      <c r="F196" s="3340"/>
      <c r="G196" s="3340"/>
      <c r="H196" s="3340"/>
      <c r="I196" s="3340"/>
      <c r="J196" s="3340"/>
      <c r="K196" s="3340"/>
      <c r="L196" s="3340"/>
      <c r="M196" s="3340"/>
      <c r="N196" s="3340"/>
      <c r="O196" s="3340"/>
      <c r="P196" s="3340"/>
      <c r="Q196" s="3340"/>
      <c r="R196" s="3340"/>
      <c r="S196" s="3340"/>
      <c r="T196" s="3340"/>
      <c r="U196" s="3340"/>
      <c r="V196" s="3340"/>
      <c r="W196" s="3340"/>
      <c r="X196" s="3340"/>
      <c r="Y196" s="3340"/>
      <c r="Z196" s="3340"/>
      <c r="AA196" s="3340"/>
      <c r="AB196" s="3340"/>
      <c r="AC196" s="3340"/>
      <c r="AD196" s="3340"/>
      <c r="AE196" s="3340"/>
      <c r="AF196" s="3340"/>
      <c r="AG196" s="3340"/>
      <c r="AH196" s="3340"/>
      <c r="AI196" s="3340"/>
      <c r="AJ196" s="3340"/>
      <c r="AK196" s="3340"/>
      <c r="AL196" s="3340"/>
      <c r="AM196" s="3340"/>
      <c r="AN196" s="3340"/>
      <c r="AO196" s="3340"/>
      <c r="AP196" s="3340"/>
      <c r="AQ196" s="3340"/>
      <c r="AR196" s="3340"/>
      <c r="AS196" s="3340"/>
    </row>
    <row r="197" spans="1:45">
      <c r="A197" s="3340"/>
      <c r="B197" s="3340"/>
      <c r="C197" s="3340"/>
      <c r="D197" s="3340"/>
      <c r="E197" s="3340"/>
      <c r="F197" s="3340"/>
      <c r="G197" s="3340"/>
      <c r="H197" s="3340"/>
      <c r="I197" s="3340"/>
      <c r="J197" s="3340"/>
      <c r="K197" s="3340"/>
      <c r="L197" s="3340"/>
      <c r="M197" s="3340"/>
      <c r="N197" s="3340"/>
      <c r="O197" s="3340"/>
      <c r="P197" s="3340"/>
      <c r="Q197" s="3340"/>
      <c r="R197" s="3340"/>
      <c r="S197" s="3340"/>
      <c r="T197" s="3340"/>
      <c r="U197" s="3340"/>
      <c r="V197" s="3340"/>
      <c r="W197" s="3340"/>
      <c r="X197" s="3340"/>
      <c r="Y197" s="3340"/>
      <c r="Z197" s="3340"/>
      <c r="AA197" s="3340"/>
      <c r="AB197" s="3340"/>
      <c r="AC197" s="3340"/>
      <c r="AD197" s="3340"/>
      <c r="AE197" s="3340"/>
      <c r="AF197" s="3340"/>
      <c r="AG197" s="3340"/>
      <c r="AH197" s="3340"/>
      <c r="AI197" s="3340"/>
      <c r="AJ197" s="3340"/>
      <c r="AK197" s="3340"/>
      <c r="AL197" s="3340"/>
      <c r="AM197" s="3340"/>
      <c r="AN197" s="3340"/>
      <c r="AO197" s="3340"/>
      <c r="AP197" s="3340"/>
      <c r="AQ197" s="3340"/>
      <c r="AR197" s="3340"/>
      <c r="AS197" s="3340"/>
    </row>
    <row r="198" spans="1:45">
      <c r="A198" s="3340"/>
      <c r="B198" s="3340"/>
      <c r="C198" s="3340"/>
      <c r="D198" s="3340"/>
      <c r="E198" s="3340"/>
      <c r="F198" s="3340"/>
      <c r="G198" s="3340"/>
      <c r="H198" s="3340"/>
      <c r="I198" s="3340"/>
      <c r="J198" s="3340"/>
      <c r="K198" s="3340"/>
      <c r="L198" s="3340"/>
      <c r="M198" s="3340"/>
      <c r="N198" s="3340"/>
      <c r="O198" s="3340"/>
      <c r="P198" s="3340"/>
      <c r="Q198" s="3340"/>
      <c r="R198" s="3340"/>
      <c r="S198" s="3340"/>
      <c r="T198" s="3340"/>
      <c r="U198" s="3340"/>
      <c r="V198" s="3340"/>
      <c r="W198" s="3340"/>
      <c r="X198" s="3340"/>
      <c r="Y198" s="3340"/>
      <c r="Z198" s="3340"/>
      <c r="AA198" s="3340"/>
      <c r="AB198" s="3340"/>
      <c r="AC198" s="3340"/>
      <c r="AD198" s="3340"/>
      <c r="AE198" s="3340"/>
      <c r="AF198" s="3340"/>
      <c r="AG198" s="3340"/>
      <c r="AH198" s="3340"/>
      <c r="AI198" s="3340"/>
      <c r="AJ198" s="3340"/>
      <c r="AK198" s="3340"/>
      <c r="AL198" s="3340"/>
      <c r="AM198" s="3340"/>
      <c r="AN198" s="3340"/>
      <c r="AO198" s="3340"/>
      <c r="AP198" s="3340"/>
      <c r="AQ198" s="3340"/>
      <c r="AR198" s="3340"/>
      <c r="AS198" s="3340"/>
    </row>
    <row r="199" spans="1:45">
      <c r="A199" s="3340"/>
      <c r="B199" s="3340"/>
      <c r="C199" s="3340"/>
      <c r="D199" s="3340"/>
      <c r="E199" s="3340"/>
      <c r="F199" s="3340"/>
      <c r="G199" s="3340"/>
      <c r="H199" s="3340"/>
      <c r="I199" s="3340"/>
      <c r="J199" s="3340"/>
      <c r="K199" s="3340"/>
      <c r="L199" s="3340"/>
      <c r="M199" s="3340"/>
      <c r="N199" s="3340"/>
      <c r="O199" s="3340"/>
      <c r="P199" s="3340"/>
      <c r="Q199" s="3340"/>
      <c r="R199" s="3340"/>
      <c r="S199" s="3340"/>
      <c r="T199" s="3340"/>
      <c r="U199" s="3340"/>
      <c r="V199" s="3340"/>
      <c r="W199" s="3340"/>
      <c r="X199" s="3340"/>
      <c r="Y199" s="3340"/>
      <c r="Z199" s="3340"/>
      <c r="AA199" s="3340"/>
      <c r="AB199" s="3340"/>
      <c r="AC199" s="3340"/>
      <c r="AD199" s="3340"/>
      <c r="AE199" s="3340"/>
      <c r="AF199" s="3340"/>
      <c r="AG199" s="3340"/>
      <c r="AH199" s="3340"/>
      <c r="AI199" s="3340"/>
      <c r="AJ199" s="3340"/>
      <c r="AK199" s="3340"/>
      <c r="AL199" s="3340"/>
      <c r="AM199" s="3340"/>
      <c r="AN199" s="3340"/>
      <c r="AO199" s="3340"/>
      <c r="AP199" s="3340"/>
      <c r="AQ199" s="3340"/>
      <c r="AR199" s="3340"/>
      <c r="AS199" s="3340"/>
    </row>
  </sheetData>
  <mergeCells count="35">
    <mergeCell ref="A1:A4"/>
    <mergeCell ref="B1:B4"/>
    <mergeCell ref="C1:C4"/>
    <mergeCell ref="D1:D4"/>
    <mergeCell ref="E1:E4"/>
    <mergeCell ref="AC1:AM1"/>
    <mergeCell ref="AN1:AN4"/>
    <mergeCell ref="F2:S2"/>
    <mergeCell ref="U2:U4"/>
    <mergeCell ref="V2:Z2"/>
    <mergeCell ref="AA2:AA4"/>
    <mergeCell ref="AB2:AB4"/>
    <mergeCell ref="AC2:AD3"/>
    <mergeCell ref="AE2:AE4"/>
    <mergeCell ref="AF2:AF4"/>
    <mergeCell ref="F1:AB1"/>
    <mergeCell ref="X3:X4"/>
    <mergeCell ref="Y3:Y4"/>
    <mergeCell ref="Z3:Z4"/>
    <mergeCell ref="AM2:AM4"/>
    <mergeCell ref="F3:F4"/>
    <mergeCell ref="G3:J3"/>
    <mergeCell ref="K3:K4"/>
    <mergeCell ref="L3:L4"/>
    <mergeCell ref="M3:M4"/>
    <mergeCell ref="N3:N4"/>
    <mergeCell ref="AI2:AI4"/>
    <mergeCell ref="AJ2:AJ4"/>
    <mergeCell ref="AK2:AK4"/>
    <mergeCell ref="AL2:AL4"/>
    <mergeCell ref="O3:S3"/>
    <mergeCell ref="V3:V4"/>
    <mergeCell ref="W3:W4"/>
    <mergeCell ref="AG2:AG4"/>
    <mergeCell ref="AH2:AH4"/>
  </mergeCells>
  <phoneticPr fontId="229" type="noConversion"/>
  <pageMargins left="0.7" right="0.7" top="0.75" bottom="0.75" header="0.3" footer="0.3"/>
  <pageSetup paperSize="9" scale="3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62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410" t="str">
        <f>项目基本情况!B1</f>
        <v>河北省出让国有建设用地使用权市场价格预评估</v>
      </c>
      <c r="C37" s="3410"/>
      <c r="D37" s="3410"/>
      <c r="E37" s="3410"/>
      <c r="F37" s="3410"/>
      <c r="G37" s="3410"/>
      <c r="H37" s="3410"/>
      <c r="I37" s="3410"/>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8" sqref="F8:F9"/>
    </sheetView>
  </sheetViews>
  <sheetFormatPr defaultColWidth="9" defaultRowHeight="13.5"/>
  <cols>
    <col min="1" max="1" width="9.5" style="3120" customWidth="1"/>
    <col min="2" max="2" width="23.5" style="3153" customWidth="1"/>
    <col min="3" max="3" width="32.125" style="3155" customWidth="1"/>
    <col min="4" max="4" width="2.625" style="3155" customWidth="1"/>
    <col min="5" max="5" width="5.875" style="3155" customWidth="1"/>
    <col min="6" max="6" width="23.625" style="3153" customWidth="1"/>
    <col min="7" max="7" width="33.375" style="3154" customWidth="1"/>
    <col min="8" max="8" width="11.875" style="3153" customWidth="1"/>
    <col min="9" max="9" width="16.625" style="3154" customWidth="1"/>
    <col min="10" max="10" width="2.625" style="3155" customWidth="1"/>
    <col min="11" max="11" width="11.875" style="3153" customWidth="1"/>
    <col min="12" max="12" width="16.625" style="3154" customWidth="1"/>
    <col min="13" max="13" width="2.625" style="3155" customWidth="1"/>
    <col min="14" max="14" width="11.875" style="3153" customWidth="1"/>
    <col min="15" max="15" width="16.625" style="3154" customWidth="1"/>
    <col min="16" max="16" width="2.625" style="3155" customWidth="1"/>
    <col min="17" max="17" width="11.875" style="3153" customWidth="1"/>
    <col min="18" max="18" width="16.625" style="3156" customWidth="1"/>
    <col min="19" max="16384" width="9" style="3120"/>
  </cols>
  <sheetData>
    <row r="1" spans="1:18" s="3114" customFormat="1" ht="19.5" thickBot="1">
      <c r="A1" s="3620" t="s">
        <v>1654</v>
      </c>
      <c r="B1" s="3621"/>
      <c r="C1" s="3621"/>
      <c r="D1" s="3621"/>
      <c r="E1" s="3621"/>
      <c r="F1" s="3621"/>
      <c r="G1" s="3621"/>
      <c r="H1" s="3109"/>
      <c r="I1" s="3110"/>
      <c r="J1" s="3111"/>
      <c r="K1" s="3109"/>
      <c r="L1" s="3110"/>
      <c r="M1" s="3111"/>
      <c r="N1" s="3109"/>
      <c r="O1" s="3110"/>
      <c r="P1" s="3111"/>
      <c r="Q1" s="3112"/>
      <c r="R1" s="3113"/>
    </row>
    <row r="2" spans="1:18" ht="14.25" thickBot="1">
      <c r="A2" s="3115"/>
      <c r="B2" s="3116"/>
      <c r="C2" s="3117" t="s">
        <v>1655</v>
      </c>
      <c r="D2" s="3118"/>
      <c r="E2" s="3115"/>
      <c r="F2" s="3119"/>
      <c r="G2" s="3117" t="s">
        <v>1656</v>
      </c>
      <c r="H2" s="3120"/>
      <c r="I2" s="3120"/>
      <c r="J2" s="3120"/>
      <c r="K2" s="3120"/>
      <c r="L2" s="3120"/>
      <c r="M2" s="3120"/>
      <c r="N2" s="3120"/>
      <c r="O2" s="3120"/>
      <c r="P2" s="3120"/>
      <c r="Q2" s="3120"/>
      <c r="R2" s="3120"/>
    </row>
    <row r="3" spans="1:18" ht="28.5">
      <c r="A3" s="3121" t="s">
        <v>1657</v>
      </c>
      <c r="B3" s="3122" t="s">
        <v>1644</v>
      </c>
      <c r="C3" s="3303" t="s">
        <v>3223</v>
      </c>
      <c r="D3" s="3123"/>
      <c r="E3" s="3124" t="s">
        <v>1657</v>
      </c>
      <c r="F3" s="3125" t="s">
        <v>1645</v>
      </c>
      <c r="G3" s="3126" t="s">
        <v>2880</v>
      </c>
      <c r="H3" s="3120"/>
      <c r="I3" s="3120"/>
      <c r="J3" s="3120"/>
      <c r="K3" s="3120"/>
      <c r="L3" s="3120"/>
      <c r="M3" s="3120"/>
      <c r="N3" s="3120"/>
      <c r="O3" s="3120"/>
      <c r="P3" s="3120"/>
      <c r="Q3" s="3120"/>
      <c r="R3" s="3120"/>
    </row>
    <row r="4" spans="1:18" ht="40.5">
      <c r="A4" s="3124"/>
      <c r="B4" s="3127" t="s">
        <v>1658</v>
      </c>
      <c r="C4" s="3304" t="s">
        <v>3224</v>
      </c>
      <c r="D4" s="3123"/>
      <c r="E4" s="3128"/>
      <c r="F4" s="3129" t="s">
        <v>1659</v>
      </c>
      <c r="G4" s="3130" t="s">
        <v>2877</v>
      </c>
      <c r="H4" s="3120"/>
      <c r="I4" s="3120"/>
      <c r="J4" s="3120"/>
      <c r="K4" s="3120"/>
      <c r="L4" s="3120"/>
      <c r="M4" s="3120"/>
      <c r="N4" s="3120"/>
      <c r="O4" s="3120"/>
      <c r="P4" s="3120"/>
      <c r="Q4" s="3120"/>
      <c r="R4" s="3120"/>
    </row>
    <row r="5" spans="1:18" ht="27">
      <c r="A5" s="3124"/>
      <c r="B5" s="3127" t="s">
        <v>1660</v>
      </c>
      <c r="C5" s="3305" t="s">
        <v>3224</v>
      </c>
      <c r="D5" s="3123"/>
      <c r="E5" s="3128"/>
      <c r="F5" s="3127" t="s">
        <v>2520</v>
      </c>
      <c r="G5" s="3130" t="s">
        <v>2878</v>
      </c>
      <c r="H5" s="3120"/>
      <c r="I5" s="3120"/>
      <c r="J5" s="3120"/>
      <c r="K5" s="3120"/>
      <c r="L5" s="3120"/>
      <c r="M5" s="3120"/>
      <c r="N5" s="3120"/>
      <c r="O5" s="3120"/>
      <c r="P5" s="3120"/>
      <c r="Q5" s="3120"/>
      <c r="R5" s="3120"/>
    </row>
    <row r="6" spans="1:18">
      <c r="A6" s="3124"/>
      <c r="B6" s="3127" t="s">
        <v>1646</v>
      </c>
      <c r="C6" s="3304" t="s">
        <v>3224</v>
      </c>
      <c r="D6" s="3123"/>
      <c r="E6" s="3128"/>
      <c r="F6" s="3127" t="s">
        <v>2521</v>
      </c>
      <c r="G6" s="3130" t="s">
        <v>2876</v>
      </c>
      <c r="H6" s="3120"/>
      <c r="I6" s="3120"/>
      <c r="J6" s="3120"/>
      <c r="K6" s="3120"/>
      <c r="L6" s="3120"/>
      <c r="M6" s="3120"/>
      <c r="N6" s="3120"/>
      <c r="O6" s="3120"/>
      <c r="P6" s="3120"/>
      <c r="Q6" s="3120"/>
      <c r="R6" s="3120"/>
    </row>
    <row r="7" spans="1:18" ht="27.75" thickBot="1">
      <c r="A7" s="3124"/>
      <c r="B7" s="3127" t="s">
        <v>2520</v>
      </c>
      <c r="C7" s="3306" t="str">
        <f>C3</f>
        <v>现状差，未来好</v>
      </c>
      <c r="D7" s="3131"/>
      <c r="E7" s="3132"/>
      <c r="F7" s="3133" t="s">
        <v>1661</v>
      </c>
      <c r="G7" s="3134" t="s">
        <v>2879</v>
      </c>
      <c r="H7" s="3120"/>
      <c r="I7" s="3120"/>
      <c r="J7" s="3120"/>
      <c r="K7" s="3120"/>
      <c r="L7" s="3120"/>
      <c r="M7" s="3120"/>
      <c r="N7" s="3120"/>
      <c r="O7" s="3120"/>
      <c r="P7" s="3120"/>
      <c r="Q7" s="3120"/>
      <c r="R7" s="3120"/>
    </row>
    <row r="8" spans="1:18" ht="14.25">
      <c r="A8" s="3124"/>
      <c r="B8" s="3127" t="s">
        <v>2521</v>
      </c>
      <c r="C8" s="3307" t="s">
        <v>3225</v>
      </c>
      <c r="D8" s="3131"/>
      <c r="E8" s="3131"/>
      <c r="F8" s="3135"/>
      <c r="G8" s="3135"/>
      <c r="H8" s="3120"/>
      <c r="I8" s="3120"/>
      <c r="J8" s="3120"/>
      <c r="K8" s="3120"/>
      <c r="L8" s="3120"/>
      <c r="M8" s="3120"/>
      <c r="N8" s="3120"/>
      <c r="O8" s="3120"/>
      <c r="P8" s="3120"/>
      <c r="Q8" s="3120"/>
      <c r="R8" s="3120"/>
    </row>
    <row r="9" spans="1:18">
      <c r="A9" s="3124"/>
      <c r="B9" s="3127" t="s">
        <v>1647</v>
      </c>
      <c r="C9" s="3304" t="s">
        <v>3226</v>
      </c>
      <c r="D9" s="3123"/>
      <c r="E9" s="3131"/>
      <c r="F9" s="3135"/>
      <c r="G9" s="3135"/>
      <c r="H9" s="3120"/>
      <c r="I9" s="3120"/>
      <c r="J9" s="3120"/>
      <c r="K9" s="3120"/>
      <c r="L9" s="3120"/>
      <c r="M9" s="3120"/>
      <c r="N9" s="3120"/>
      <c r="O9" s="3120"/>
      <c r="P9" s="3120"/>
      <c r="Q9" s="3120"/>
      <c r="R9" s="3120"/>
    </row>
    <row r="10" spans="1:18" s="3142" customFormat="1" ht="15" thickBot="1">
      <c r="A10" s="3136"/>
      <c r="B10" s="3137" t="s">
        <v>1662</v>
      </c>
      <c r="C10" s="3138"/>
      <c r="D10" s="3123"/>
      <c r="E10" s="3123"/>
      <c r="F10" s="3135"/>
      <c r="G10" s="3135"/>
      <c r="H10" s="3139"/>
      <c r="I10" s="3140"/>
      <c r="J10" s="3141"/>
      <c r="K10" s="3139"/>
      <c r="L10" s="3140"/>
      <c r="M10" s="3141"/>
      <c r="N10" s="3139"/>
      <c r="O10" s="3140"/>
      <c r="P10" s="3141"/>
      <c r="Q10" s="3139"/>
      <c r="R10" s="3140"/>
    </row>
    <row r="11" spans="1:18" s="3142" customFormat="1">
      <c r="A11" s="3143"/>
      <c r="B11" s="3131"/>
      <c r="C11" s="3123"/>
      <c r="D11" s="3123"/>
      <c r="E11" s="3123"/>
      <c r="F11" s="3131"/>
      <c r="G11" s="3144"/>
      <c r="H11" s="3139"/>
      <c r="I11" s="3140"/>
      <c r="J11" s="3141"/>
      <c r="K11" s="3139"/>
      <c r="L11" s="3140"/>
      <c r="M11" s="3141"/>
      <c r="N11" s="3139"/>
      <c r="O11" s="3140"/>
      <c r="P11" s="3141"/>
      <c r="Q11" s="3139"/>
      <c r="R11" s="3140"/>
    </row>
    <row r="12" spans="1:18" s="3114" customFormat="1" ht="18.75">
      <c r="A12" s="3143"/>
      <c r="B12" s="3131"/>
      <c r="C12" s="3123"/>
      <c r="D12" s="3145"/>
      <c r="E12" s="3123"/>
      <c r="F12" s="3131"/>
      <c r="G12" s="3144"/>
      <c r="H12" s="3146"/>
      <c r="I12" s="3147"/>
      <c r="J12" s="3146"/>
      <c r="K12" s="3146"/>
      <c r="L12" s="3148"/>
      <c r="M12" s="3146"/>
      <c r="N12" s="3149"/>
      <c r="O12" s="3150"/>
      <c r="P12" s="3151"/>
      <c r="Q12" s="3149"/>
      <c r="R12" s="3113"/>
    </row>
    <row r="13" spans="1:18" ht="19.5" thickBot="1">
      <c r="A13" s="3152" t="s">
        <v>1663</v>
      </c>
      <c r="B13" s="3145"/>
      <c r="C13" s="3145"/>
      <c r="D13" s="3118"/>
      <c r="E13" s="3145"/>
      <c r="F13" s="3145"/>
      <c r="G13" s="3145"/>
    </row>
    <row r="14" spans="1:18" ht="14.25" thickBot="1">
      <c r="A14" s="3157"/>
      <c r="B14" s="3157"/>
      <c r="C14" s="3158" t="s">
        <v>1655</v>
      </c>
      <c r="D14" s="3123"/>
      <c r="E14" s="3159"/>
      <c r="F14" s="3159"/>
      <c r="G14" s="3117" t="s">
        <v>1656</v>
      </c>
    </row>
    <row r="15" spans="1:18" ht="27">
      <c r="A15" s="3160" t="s">
        <v>1648</v>
      </c>
      <c r="B15" s="3161" t="s">
        <v>1644</v>
      </c>
      <c r="C15" s="3162" t="str">
        <f>C3</f>
        <v>现状差，未来好</v>
      </c>
      <c r="D15" s="3123"/>
      <c r="E15" s="3163" t="s">
        <v>1649</v>
      </c>
      <c r="F15" s="3161" t="s">
        <v>1664</v>
      </c>
      <c r="G15" s="3164" t="str">
        <f>G3</f>
        <v>估价对象位于XX开发区，园区建设成熟度XX，产业集聚程度XX</v>
      </c>
    </row>
    <row r="16" spans="1:18" ht="40.5">
      <c r="A16" s="3165"/>
      <c r="B16" s="3166" t="s">
        <v>1658</v>
      </c>
      <c r="C16" s="3167" t="str">
        <f>C4</f>
        <v>现状差，未来较好</v>
      </c>
      <c r="D16" s="3123"/>
      <c r="E16" s="3168"/>
      <c r="F16" s="3169" t="s">
        <v>1659</v>
      </c>
      <c r="G16" s="3170" t="str">
        <f>G4</f>
        <v>估价对象周边道路状况、公共交通通达情况、停车便捷程度，综合评价交通便捷度较好</v>
      </c>
    </row>
    <row r="17" spans="1:7" ht="14.25">
      <c r="A17" s="3165"/>
      <c r="B17" s="3166" t="s">
        <v>1660</v>
      </c>
      <c r="C17" s="3167" t="str">
        <f>C5</f>
        <v>现状差，未来较好</v>
      </c>
      <c r="D17" s="3131"/>
      <c r="E17" s="3168"/>
      <c r="F17" s="3169" t="s">
        <v>1665</v>
      </c>
      <c r="G17" s="3171"/>
    </row>
    <row r="18" spans="1:7" ht="27">
      <c r="A18" s="3165"/>
      <c r="B18" s="3169" t="s">
        <v>1646</v>
      </c>
      <c r="C18" s="3170" t="str">
        <f>C6</f>
        <v>现状差，未来较好</v>
      </c>
      <c r="D18" s="3131"/>
      <c r="E18" s="3168"/>
      <c r="F18" s="3169" t="s">
        <v>1661</v>
      </c>
      <c r="G18" s="3170" t="str">
        <f>G7</f>
        <v>该园区内是否有污染型企业，绿化情况，卫生条件，整体环境状况判断</v>
      </c>
    </row>
    <row r="19" spans="1:7" ht="27">
      <c r="A19" s="3165"/>
      <c r="B19" s="3169" t="s">
        <v>1650</v>
      </c>
      <c r="C19" s="3171"/>
      <c r="D19" s="3123"/>
      <c r="E19" s="3168"/>
      <c r="F19" s="3127" t="s">
        <v>2520</v>
      </c>
      <c r="G19" s="3170" t="str">
        <f>G5</f>
        <v>估价对象所在区域公共配套设施齐备情况</v>
      </c>
    </row>
    <row r="20" spans="1:7">
      <c r="A20" s="3165"/>
      <c r="B20" s="3169" t="s">
        <v>1651</v>
      </c>
      <c r="C20" s="3167" t="str">
        <f>C9</f>
        <v>现状一般，未来较好</v>
      </c>
      <c r="D20" s="3131"/>
      <c r="E20" s="3168"/>
      <c r="F20" s="3127" t="s">
        <v>2521</v>
      </c>
      <c r="G20" s="3170" t="str">
        <f>G6</f>
        <v>估价对象所在区域基础设施水平</v>
      </c>
    </row>
    <row r="21" spans="1:7" ht="14.25">
      <c r="A21" s="3165"/>
      <c r="B21" s="3127" t="s">
        <v>2520</v>
      </c>
      <c r="C21" s="3170" t="str">
        <f>C7</f>
        <v>现状差，未来好</v>
      </c>
      <c r="D21" s="3123"/>
      <c r="E21" s="3168"/>
      <c r="F21" s="3169" t="s">
        <v>1652</v>
      </c>
      <c r="G21" s="3172"/>
    </row>
    <row r="22" spans="1:7" ht="14.25">
      <c r="A22" s="3165"/>
      <c r="B22" s="3127" t="s">
        <v>2521</v>
      </c>
      <c r="C22" s="3170" t="str">
        <f>C8</f>
        <v>七桶</v>
      </c>
      <c r="D22" s="3123"/>
      <c r="E22" s="3168"/>
      <c r="F22" s="3169" t="s">
        <v>1662</v>
      </c>
      <c r="G22" s="3171"/>
    </row>
    <row r="23" spans="1:7" ht="15" thickBot="1">
      <c r="A23" s="3165"/>
      <c r="B23" s="3169" t="s">
        <v>1652</v>
      </c>
      <c r="C23" s="3172"/>
      <c r="E23" s="3173"/>
      <c r="F23" s="3174" t="s">
        <v>1666</v>
      </c>
      <c r="G23" s="3175"/>
    </row>
    <row r="24" spans="1:7" ht="14.25" thickBot="1">
      <c r="A24" s="3176"/>
      <c r="B24" s="3174" t="s">
        <v>1653</v>
      </c>
      <c r="C24" s="3177">
        <f>C10</f>
        <v>0</v>
      </c>
      <c r="E24" s="3178"/>
      <c r="F24" s="3178"/>
      <c r="G24" s="3179"/>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47" sqref="S47"/>
    </sheetView>
  </sheetViews>
  <sheetFormatPr defaultColWidth="6.625" defaultRowHeight="12.75"/>
  <cols>
    <col min="1" max="1" width="10.125" style="2004" customWidth="1"/>
    <col min="2" max="2" width="25.62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3"/>
      <c r="C1" s="1984"/>
      <c r="D1" s="1984"/>
      <c r="E1" s="1984"/>
      <c r="F1" s="1984"/>
      <c r="G1" s="1984"/>
      <c r="H1" s="1984"/>
      <c r="I1" s="1984"/>
      <c r="J1" s="1984"/>
      <c r="K1" s="415">
        <f>MATCH(B1,'数据-取费表'!A6:A16,0)+5</f>
        <v>13</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1674</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2625</v>
      </c>
      <c r="B6" s="426"/>
      <c r="C6" s="1550">
        <f>SUM(C10:K10)</f>
        <v>0</v>
      </c>
      <c r="D6" s="1989"/>
      <c r="E6" s="1989"/>
      <c r="F6" s="1989"/>
      <c r="G6" s="1989"/>
      <c r="H6" s="1989"/>
      <c r="I6" s="1989"/>
      <c r="J6" s="1989"/>
      <c r="K6" s="1990"/>
      <c r="L6" s="3192"/>
      <c r="M6" s="3192"/>
      <c r="N6" s="3192"/>
      <c r="O6" s="3192"/>
      <c r="P6" s="3192"/>
      <c r="Q6" s="3192"/>
      <c r="R6" s="3192"/>
      <c r="S6" s="3192"/>
      <c r="T6" s="3192"/>
      <c r="U6" s="3192"/>
      <c r="V6" s="3192"/>
      <c r="W6" s="3192"/>
      <c r="X6" s="3192"/>
      <c r="Y6" s="3192"/>
      <c r="Z6" s="3192"/>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1835</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1837</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1854</v>
      </c>
      <c r="B11" s="1548"/>
      <c r="C11" s="1548"/>
      <c r="D11" s="1548"/>
      <c r="E11" s="1548"/>
      <c r="F11" s="1548"/>
      <c r="G11" s="1548"/>
      <c r="H11" s="1548"/>
      <c r="I11" s="1548"/>
      <c r="J11" s="1548"/>
      <c r="K11" s="1549"/>
      <c r="L11" s="3192"/>
      <c r="M11" s="3192"/>
      <c r="N11" s="3192"/>
      <c r="O11" s="3192"/>
      <c r="P11" s="3192"/>
      <c r="Q11" s="3192"/>
      <c r="R11" s="3192"/>
      <c r="S11" s="3192"/>
      <c r="T11" s="3192"/>
      <c r="U11" s="3192"/>
      <c r="V11" s="3192"/>
      <c r="W11" s="3192"/>
      <c r="X11" s="3192"/>
      <c r="Y11" s="3192"/>
      <c r="Z11" s="3192"/>
    </row>
    <row r="12" spans="1:41" s="1965" customFormat="1" ht="13.5" customHeight="1">
      <c r="A12" s="427" t="s">
        <v>464</v>
      </c>
      <c r="B12" s="437" t="s">
        <v>465</v>
      </c>
      <c r="C12" s="438" t="s">
        <v>469</v>
      </c>
      <c r="D12" s="439" t="s">
        <v>470</v>
      </c>
      <c r="E12" s="439" t="s">
        <v>471</v>
      </c>
      <c r="F12" s="439" t="s">
        <v>472</v>
      </c>
      <c r="G12" s="437"/>
      <c r="H12" s="440"/>
      <c r="I12" s="440"/>
      <c r="J12" s="440"/>
      <c r="K12" s="441"/>
      <c r="L12" s="3193"/>
      <c r="M12" s="3193"/>
      <c r="N12" s="3193"/>
      <c r="O12" s="3193"/>
      <c r="P12" s="3193"/>
      <c r="Q12" s="3193"/>
      <c r="R12" s="3193"/>
      <c r="S12" s="3193"/>
      <c r="T12" s="3193"/>
      <c r="U12" s="3193"/>
      <c r="V12" s="3193"/>
      <c r="W12" s="3193"/>
      <c r="X12" s="3193"/>
      <c r="Y12" s="3193"/>
      <c r="Z12" s="3193"/>
    </row>
    <row r="13" spans="1:41" s="1996" customFormat="1" ht="13.5" customHeight="1">
      <c r="A13" s="1560" t="s">
        <v>1838</v>
      </c>
      <c r="B13" s="442" t="s">
        <v>473</v>
      </c>
      <c r="C13" s="443">
        <f ca="1">IF(B1="",'数据-取费表'!M16,INDIRECT("'数据-取费表'!M"&amp;$K$1)+INDIRECT("'数据-取费表'!t"&amp;$K$1))</f>
        <v>88501</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1839</v>
      </c>
      <c r="B14" s="442" t="s">
        <v>474</v>
      </c>
      <c r="C14" s="53">
        <f ca="1">ROUND(C13*F14,0)</f>
        <v>4425</v>
      </c>
      <c r="D14" s="444"/>
      <c r="E14" s="362"/>
      <c r="F14" s="446">
        <f>'数据-取费表'!B33</f>
        <v>0.05</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1840</v>
      </c>
      <c r="B15" s="442" t="s">
        <v>476</v>
      </c>
      <c r="C15" s="53">
        <f ca="1">ROUND(IF(B1="",SUMIF('数据-取费表'!C:C,"住宅",'数据-取费表'!M:M)*F15,IF(INDIRECT("'数据-取费表'!c"&amp;$K$1)="住宅",INDIRECT("'数据-取费表'!M"&amp;$K$1)*F15,0)),0)</f>
        <v>4385</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1841</v>
      </c>
      <c r="B16" s="442" t="s">
        <v>478</v>
      </c>
      <c r="C16" s="53">
        <f ca="1">ROUND(D16*E16/10000,0)</f>
        <v>6881</v>
      </c>
      <c r="D16" s="444">
        <f ca="1">IF(B1="",'数据-汇总表'!E3,INDIRECT("'数据-取费表'!K"&amp;$K$1)+INDIRECT("'数据-取费表'!S"&amp;$K$1))</f>
        <v>196602</v>
      </c>
      <c r="E16" s="53">
        <f>'数据-取费表'!B35</f>
        <v>350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1842</v>
      </c>
      <c r="B17" s="442" t="s">
        <v>479</v>
      </c>
      <c r="C17" s="447">
        <f ca="1">ROUND(C13*F17,0)</f>
        <v>1328</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1843</v>
      </c>
      <c r="B18" s="452" t="s">
        <v>481</v>
      </c>
      <c r="C18" s="453">
        <f ca="1">SUM(C13:C17)</f>
        <v>105520</v>
      </c>
      <c r="D18" s="454"/>
      <c r="E18" s="455"/>
      <c r="F18" s="455"/>
      <c r="G18" s="1279" t="s">
        <v>2415</v>
      </c>
      <c r="H18" s="440"/>
      <c r="I18" s="440"/>
      <c r="J18" s="440"/>
      <c r="K18" s="441"/>
      <c r="L18" s="3195"/>
      <c r="M18" s="3195"/>
      <c r="N18" s="3195"/>
      <c r="O18" s="3195"/>
      <c r="P18" s="3195"/>
      <c r="Q18" s="3195"/>
      <c r="R18" s="3195"/>
      <c r="S18" s="3195"/>
      <c r="T18" s="3195"/>
      <c r="U18" s="3195"/>
      <c r="V18" s="3195"/>
      <c r="W18" s="3195"/>
      <c r="X18" s="3195"/>
      <c r="Y18" s="3195"/>
      <c r="Z18" s="3195"/>
    </row>
    <row r="19" spans="1:26" s="1999" customFormat="1" ht="13.5" customHeight="1">
      <c r="A19" s="1561" t="s">
        <v>1844</v>
      </c>
      <c r="B19" s="452" t="s">
        <v>487</v>
      </c>
      <c r="C19" s="453">
        <f ca="1">ROUND(C18*F19,0)</f>
        <v>1055</v>
      </c>
      <c r="D19" s="455"/>
      <c r="E19" s="455"/>
      <c r="F19" s="459">
        <f>'数据-取费表'!B37</f>
        <v>0.01</v>
      </c>
      <c r="G19" s="437" t="s">
        <v>497</v>
      </c>
      <c r="H19" s="440"/>
      <c r="I19" s="440"/>
      <c r="J19" s="440"/>
      <c r="K19" s="441"/>
      <c r="L19" s="3197"/>
      <c r="M19" s="3197"/>
      <c r="N19" s="3197"/>
      <c r="O19" s="3195"/>
      <c r="P19" s="3195"/>
      <c r="Q19" s="3195"/>
      <c r="R19" s="3195"/>
      <c r="S19" s="3195"/>
      <c r="T19" s="3195"/>
      <c r="U19" s="3195"/>
      <c r="V19" s="3195"/>
      <c r="W19" s="3195"/>
      <c r="X19" s="3195"/>
      <c r="Y19" s="3195"/>
      <c r="Z19" s="3195"/>
    </row>
    <row r="20" spans="1:26" s="1999" customFormat="1" ht="13.5" customHeight="1">
      <c r="A20" s="1561" t="s">
        <v>1845</v>
      </c>
      <c r="B20" s="452" t="s">
        <v>498</v>
      </c>
      <c r="C20" s="2740">
        <f>F20</f>
        <v>0.01</v>
      </c>
      <c r="D20" s="462" t="s">
        <v>499</v>
      </c>
      <c r="E20" s="462"/>
      <c r="F20" s="479">
        <f>'数据-取费表'!B38</f>
        <v>0.01</v>
      </c>
      <c r="G20" s="1279" t="s">
        <v>500</v>
      </c>
      <c r="H20" s="440"/>
      <c r="I20" s="440"/>
      <c r="J20" s="440"/>
      <c r="K20" s="441"/>
      <c r="L20" s="3197"/>
      <c r="M20" s="3197"/>
      <c r="N20" s="3197"/>
      <c r="O20" s="3195"/>
      <c r="P20" s="3195"/>
      <c r="Q20" s="3195"/>
      <c r="R20" s="3195"/>
      <c r="S20" s="3195"/>
      <c r="T20" s="3195"/>
      <c r="U20" s="3195"/>
      <c r="V20" s="3195"/>
      <c r="W20" s="3195"/>
      <c r="X20" s="3195"/>
      <c r="Y20" s="3195"/>
      <c r="Z20" s="3195"/>
    </row>
    <row r="21" spans="1:26" s="2001" customFormat="1" ht="13.5" customHeight="1">
      <c r="A21" s="1561" t="s">
        <v>1848</v>
      </c>
      <c r="B21" s="454" t="s">
        <v>488</v>
      </c>
      <c r="C21" s="463">
        <f ca="1">C22</f>
        <v>3775</v>
      </c>
      <c r="D21" s="460">
        <f ca="1">C23</f>
        <v>4.0000000000000002E-4</v>
      </c>
      <c r="E21" s="462" t="s">
        <v>501</v>
      </c>
      <c r="F21" s="464">
        <f ca="1">'数据-取费表'!B40</f>
        <v>4.7500000000000001E-2</v>
      </c>
      <c r="G21" s="1279" t="str">
        <f>IF('数据-取费表'!B22&lt;=1,"单利计息。","复利计息。")&amp;"建造成本、管理费用及销售费用产生的利息。"</f>
        <v>复利计息。建造成本、管理费用及销售费用产生的利息。</v>
      </c>
      <c r="H21" s="440"/>
      <c r="I21" s="440"/>
      <c r="J21" s="440"/>
      <c r="K21" s="441"/>
      <c r="L21" s="3203" t="s">
        <v>2436</v>
      </c>
      <c r="M21" s="3204"/>
      <c r="N21" s="3204"/>
      <c r="O21" s="3204"/>
      <c r="P21" s="3204"/>
      <c r="Q21" s="3197"/>
      <c r="R21" s="3197"/>
      <c r="S21" s="3197"/>
      <c r="T21" s="3197"/>
      <c r="U21" s="3197"/>
      <c r="V21" s="3197"/>
      <c r="W21" s="3197"/>
      <c r="X21" s="3197"/>
      <c r="Y21" s="3197"/>
      <c r="Z21" s="3197"/>
    </row>
    <row r="22" spans="1:26" s="2000" customFormat="1" ht="13.5" customHeight="1">
      <c r="A22" s="1560" t="s">
        <v>1838</v>
      </c>
      <c r="B22" s="1280" t="s">
        <v>2418</v>
      </c>
      <c r="C22" s="480">
        <f ca="1">ROUND(IF('数据-取费表'!B22&lt;=1,(C18+C19)*F21*'数据-取费表'!B20/2,(C18+C19)*(POWER((1+F21),'数据-取费表'!B20/2)-1)),0)</f>
        <v>3775</v>
      </c>
      <c r="D22" s="465"/>
      <c r="E22" s="466"/>
      <c r="F22" s="467"/>
      <c r="G22" s="2417" t="str">
        <f>IF('数据-取费表'!B22&lt;=1,"((1)+(2))×年利率×建设期÷2","((1)+(2))×((1+年利率)^(建设期÷2)-1)")</f>
        <v>((1)+(2))×((1+年利率)^(建设期÷2)-1)</v>
      </c>
      <c r="H22" s="450"/>
      <c r="I22" s="450"/>
      <c r="J22" s="450"/>
      <c r="K22" s="451"/>
      <c r="L22" s="3196"/>
      <c r="M22" s="3196"/>
      <c r="N22" s="3196"/>
      <c r="O22" s="3196"/>
      <c r="P22" s="3196"/>
      <c r="Q22" s="3196"/>
      <c r="R22" s="3196"/>
      <c r="S22" s="3196"/>
      <c r="T22" s="3196"/>
      <c r="U22" s="3196"/>
      <c r="V22" s="3196"/>
      <c r="W22" s="3196"/>
      <c r="X22" s="3196"/>
      <c r="Y22" s="3196"/>
      <c r="Z22" s="3196"/>
    </row>
    <row r="23" spans="1:26" s="2000" customFormat="1" ht="13.5" customHeight="1">
      <c r="A23" s="1560" t="s">
        <v>1839</v>
      </c>
      <c r="B23" s="1280" t="s">
        <v>502</v>
      </c>
      <c r="C23" s="481">
        <f ca="1">ROUND(IF('数据-取费表'!B22&lt;=1,F20*F21*'数据-取费表'!B20/2,F20*(POWER((1+F21),'数据-取费表'!B20/2)-1)),4)</f>
        <v>4.0000000000000002E-4</v>
      </c>
      <c r="D23" s="465"/>
      <c r="E23" s="466"/>
      <c r="F23" s="467"/>
      <c r="G23" s="2417" t="str">
        <f>IF('数据-取费表'!B22&lt;=1,"销售费用率×年利率×建设期÷2","销售费用率×((1+年利率)^(建设期÷2)-1)")</f>
        <v>销售费用率×((1+年利率)^(建设期÷2)-1)</v>
      </c>
      <c r="H23" s="450"/>
      <c r="I23" s="450"/>
      <c r="J23" s="450"/>
      <c r="K23" s="451"/>
      <c r="L23" s="3196"/>
      <c r="M23" s="3196"/>
      <c r="N23" s="3196"/>
      <c r="O23" s="3196"/>
      <c r="P23" s="3196"/>
      <c r="Q23" s="3196"/>
      <c r="R23" s="3196"/>
      <c r="S23" s="3196"/>
      <c r="T23" s="3196"/>
      <c r="U23" s="3196"/>
      <c r="V23" s="3196"/>
      <c r="W23" s="3196"/>
      <c r="X23" s="3196"/>
      <c r="Y23" s="3196"/>
      <c r="Z23" s="3196"/>
    </row>
    <row r="24" spans="1:26" s="2000" customFormat="1" ht="13.5" customHeight="1">
      <c r="A24" s="1561" t="s">
        <v>1849</v>
      </c>
      <c r="B24" s="2742" t="s">
        <v>2804</v>
      </c>
      <c r="C24" s="471">
        <f ca="1">C25</f>
        <v>3197</v>
      </c>
      <c r="D24" s="482">
        <f ca="1">C26</f>
        <v>2.9999999999999997E-4</v>
      </c>
      <c r="E24" s="462" t="s">
        <v>501</v>
      </c>
      <c r="F24" s="472">
        <f ca="1">IF(B1="",'数据-取费表'!Q16,INDIRECT("'数据-取费表'!q"&amp;$K$1))</f>
        <v>0.03</v>
      </c>
      <c r="G24" s="437"/>
      <c r="H24" s="440"/>
      <c r="I24" s="440"/>
      <c r="J24" s="440"/>
      <c r="K24" s="441"/>
      <c r="L24" s="3196"/>
      <c r="M24" s="3196"/>
      <c r="N24" s="3196"/>
      <c r="O24" s="3196"/>
      <c r="P24" s="3196"/>
      <c r="Q24" s="3196"/>
      <c r="R24" s="3196"/>
      <c r="S24" s="3196"/>
      <c r="T24" s="3196"/>
      <c r="U24" s="3196"/>
      <c r="V24" s="3196"/>
      <c r="W24" s="3196"/>
      <c r="X24" s="3196"/>
      <c r="Y24" s="3196"/>
      <c r="Z24" s="3196"/>
    </row>
    <row r="25" spans="1:26" s="2000" customFormat="1" ht="13.5" customHeight="1">
      <c r="A25" s="1560" t="s">
        <v>1838</v>
      </c>
      <c r="B25" s="1280" t="s">
        <v>2419</v>
      </c>
      <c r="C25" s="483">
        <f ca="1">ROUND((C18+C19)*F24,0)</f>
        <v>3197</v>
      </c>
      <c r="D25" s="465"/>
      <c r="E25" s="466"/>
      <c r="F25" s="473"/>
      <c r="G25" s="1278" t="s">
        <v>2416</v>
      </c>
      <c r="H25" s="450"/>
      <c r="I25" s="450"/>
      <c r="J25" s="450"/>
      <c r="K25" s="451"/>
      <c r="L25" s="3196"/>
      <c r="M25" s="3196"/>
      <c r="N25" s="3196"/>
      <c r="O25" s="3196"/>
      <c r="P25" s="3196"/>
      <c r="Q25" s="3196"/>
      <c r="R25" s="3196"/>
      <c r="S25" s="3196"/>
      <c r="T25" s="3196"/>
      <c r="U25" s="3196"/>
      <c r="V25" s="3196"/>
      <c r="W25" s="3196"/>
      <c r="X25" s="3196"/>
      <c r="Y25" s="3196"/>
      <c r="Z25" s="3196"/>
    </row>
    <row r="26" spans="1:26" s="2000" customFormat="1" ht="13.5" customHeight="1">
      <c r="A26" s="1560" t="s">
        <v>1839</v>
      </c>
      <c r="B26" s="1280" t="s">
        <v>503</v>
      </c>
      <c r="C26" s="484">
        <f ca="1">ROUND(F20*F24,4)</f>
        <v>2.9999999999999997E-4</v>
      </c>
      <c r="D26" s="465"/>
      <c r="E26" s="474"/>
      <c r="F26" s="473"/>
      <c r="G26" s="1278" t="s">
        <v>504</v>
      </c>
      <c r="H26" s="450"/>
      <c r="I26" s="450"/>
      <c r="J26" s="450"/>
      <c r="K26" s="451"/>
      <c r="L26" s="3196"/>
      <c r="M26" s="3196"/>
      <c r="N26" s="3196"/>
      <c r="O26" s="3196"/>
      <c r="P26" s="3196"/>
      <c r="Q26" s="3196"/>
      <c r="R26" s="3196"/>
      <c r="S26" s="3196"/>
      <c r="T26" s="3196"/>
      <c r="U26" s="3196"/>
      <c r="V26" s="3196"/>
      <c r="W26" s="3196"/>
      <c r="X26" s="3196"/>
      <c r="Y26" s="3196"/>
      <c r="Z26" s="3196"/>
    </row>
    <row r="27" spans="1:26" s="2000" customFormat="1" ht="13.5" customHeight="1">
      <c r="A27" s="1564" t="s">
        <v>1857</v>
      </c>
      <c r="B27" s="452" t="s">
        <v>505</v>
      </c>
      <c r="C27" s="2741">
        <f>ROUND(F27/(1+'数据-取费表'!C42),4)</f>
        <v>5.2400000000000002E-2</v>
      </c>
      <c r="D27" s="455" t="s">
        <v>2802</v>
      </c>
      <c r="E27" s="455"/>
      <c r="F27" s="459">
        <f>'数据-取费表'!B41</f>
        <v>5.5000000000000007E-2</v>
      </c>
      <c r="G27" s="1872" t="s">
        <v>2278</v>
      </c>
      <c r="H27" s="440"/>
      <c r="I27" s="440"/>
      <c r="J27" s="440"/>
      <c r="K27" s="441"/>
      <c r="L27" s="3196"/>
      <c r="M27" s="3196"/>
      <c r="N27" s="3196"/>
      <c r="O27" s="3196"/>
      <c r="P27" s="3196"/>
      <c r="Q27" s="3196"/>
      <c r="R27" s="3196"/>
      <c r="S27" s="3196"/>
      <c r="T27" s="3196"/>
      <c r="U27" s="3196"/>
      <c r="V27" s="3196"/>
      <c r="W27" s="3196"/>
      <c r="X27" s="3196"/>
      <c r="Y27" s="3196"/>
      <c r="Z27" s="3196"/>
    </row>
    <row r="28" spans="1:26" s="2001" customFormat="1" ht="13.5" customHeight="1">
      <c r="A28" s="1564" t="s">
        <v>1858</v>
      </c>
      <c r="B28" s="469" t="s">
        <v>506</v>
      </c>
      <c r="C28" s="463">
        <f ca="1">ROUND((C18+C19+C21+C24)/(1-C20-D21-D24-C27),0)</f>
        <v>121194</v>
      </c>
      <c r="D28" s="470"/>
      <c r="E28" s="462"/>
      <c r="F28" s="464"/>
      <c r="G28" s="1279" t="s">
        <v>2417</v>
      </c>
      <c r="H28" s="440"/>
      <c r="I28" s="440"/>
      <c r="J28" s="440"/>
      <c r="K28" s="441"/>
      <c r="L28" s="3197"/>
      <c r="M28" s="3197"/>
      <c r="N28" s="3197"/>
      <c r="O28" s="3197"/>
      <c r="P28" s="3197"/>
      <c r="Q28" s="3197"/>
      <c r="R28" s="3197"/>
      <c r="S28" s="3197"/>
      <c r="T28" s="3197"/>
      <c r="U28" s="3197"/>
      <c r="V28" s="3197"/>
      <c r="W28" s="3197"/>
      <c r="X28" s="3197"/>
      <c r="Y28" s="3197"/>
      <c r="Z28" s="3197"/>
    </row>
    <row r="29" spans="1:26" s="2001" customFormat="1" ht="13.5" customHeight="1">
      <c r="A29" s="1564" t="s">
        <v>1859</v>
      </c>
      <c r="B29" s="469" t="s">
        <v>507</v>
      </c>
      <c r="C29" s="485">
        <f ca="1">IF(B1="",'数据-取费表'!N16,INDIRECT("'数据-取费表'!N"&amp;$K$1))</f>
        <v>0</v>
      </c>
      <c r="D29" s="486"/>
      <c r="E29" s="487"/>
      <c r="F29" s="488"/>
      <c r="G29" s="437"/>
      <c r="H29" s="440"/>
      <c r="I29" s="440"/>
      <c r="J29" s="440"/>
      <c r="K29" s="441"/>
      <c r="L29" s="3197"/>
      <c r="M29" s="3197"/>
      <c r="N29" s="3197"/>
      <c r="O29" s="3197"/>
      <c r="P29" s="3197"/>
      <c r="Q29" s="3197"/>
      <c r="R29" s="3197"/>
      <c r="S29" s="3197"/>
      <c r="T29" s="3197"/>
      <c r="U29" s="3197"/>
      <c r="V29" s="3197"/>
      <c r="W29" s="3197"/>
      <c r="X29" s="3197"/>
      <c r="Y29" s="3197"/>
      <c r="Z29" s="3197"/>
    </row>
    <row r="30" spans="1:26" s="2001" customFormat="1" ht="13.5" customHeight="1">
      <c r="A30" s="436">
        <v>2</v>
      </c>
      <c r="B30" s="469" t="s">
        <v>508</v>
      </c>
      <c r="C30" s="490">
        <f ca="1">ROUND(C28*C29,0)</f>
        <v>0</v>
      </c>
      <c r="D30" s="486"/>
      <c r="E30" s="491"/>
      <c r="F30" s="492"/>
      <c r="G30" s="1281" t="s">
        <v>509</v>
      </c>
      <c r="H30" s="489"/>
      <c r="I30" s="489"/>
      <c r="J30" s="440"/>
      <c r="K30" s="441"/>
      <c r="L30" s="3197"/>
      <c r="M30" s="3197"/>
      <c r="N30" s="3197"/>
      <c r="O30" s="3197"/>
      <c r="P30" s="3197"/>
      <c r="Q30" s="3197"/>
      <c r="R30" s="3197"/>
      <c r="S30" s="3197"/>
      <c r="T30" s="3197"/>
      <c r="U30" s="3197"/>
      <c r="V30" s="3197"/>
      <c r="W30" s="3197"/>
      <c r="X30" s="3197"/>
      <c r="Y30" s="3197"/>
      <c r="Z30" s="3197"/>
    </row>
    <row r="31" spans="1:26" s="2006" customFormat="1" ht="13.5" customHeight="1">
      <c r="A31" s="2333" t="s">
        <v>1855</v>
      </c>
      <c r="B31" s="1282"/>
      <c r="C31" s="493">
        <f>ROUND(C6*F31/(1+'数据-取费表'!C42),0)</f>
        <v>0</v>
      </c>
      <c r="D31" s="1283"/>
      <c r="E31" s="1283"/>
      <c r="F31" s="494">
        <f>'数据-取费表'!B41</f>
        <v>5.5000000000000007E-2</v>
      </c>
      <c r="G31" s="1284"/>
      <c r="H31" s="1284"/>
      <c r="I31" s="1284"/>
      <c r="J31" s="1285"/>
      <c r="K31" s="1286"/>
      <c r="L31" s="3202"/>
      <c r="M31" s="3202"/>
      <c r="N31" s="3202"/>
      <c r="O31" s="3202"/>
      <c r="P31" s="3202"/>
      <c r="Q31" s="3202"/>
      <c r="R31" s="3202"/>
      <c r="S31" s="3202"/>
      <c r="T31" s="3202"/>
      <c r="U31" s="3202"/>
      <c r="V31" s="3202"/>
      <c r="W31" s="3202"/>
      <c r="X31" s="3202"/>
      <c r="Y31" s="3202"/>
      <c r="Z31" s="3202"/>
    </row>
    <row r="32" spans="1:26" s="1965"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4" t="s">
        <v>2926</v>
      </c>
      <c r="H32" s="476"/>
      <c r="I32" s="476"/>
      <c r="J32" s="476"/>
      <c r="K32" s="478"/>
      <c r="L32" s="3193"/>
      <c r="M32" s="3193"/>
      <c r="N32" s="3193"/>
      <c r="O32" s="3193"/>
      <c r="P32" s="3193"/>
      <c r="Q32" s="3193"/>
      <c r="R32" s="3193"/>
      <c r="S32" s="3193"/>
      <c r="T32" s="3193"/>
      <c r="U32" s="3193"/>
      <c r="V32" s="3193"/>
      <c r="W32" s="3193"/>
      <c r="X32" s="3193"/>
      <c r="Y32" s="3193"/>
      <c r="Z32" s="3193"/>
    </row>
    <row r="33" spans="1:5" s="1995" customFormat="1">
      <c r="A33" s="3200"/>
      <c r="C33" s="3201"/>
      <c r="E33" s="3200"/>
    </row>
    <row r="34" spans="1:5" s="1995" customFormat="1" ht="12.75" customHeight="1">
      <c r="A34" s="3200"/>
      <c r="C34" s="3201"/>
      <c r="E34" s="3200"/>
    </row>
    <row r="35" spans="1:5" s="1995" customFormat="1">
      <c r="A35" s="3200"/>
      <c r="C35" s="3201"/>
      <c r="E35" s="3200"/>
    </row>
    <row r="36" spans="1:5" s="1995" customFormat="1">
      <c r="A36" s="3200"/>
      <c r="C36" s="3201"/>
      <c r="E36" s="3200"/>
    </row>
    <row r="37" spans="1:5" s="1995" customFormat="1">
      <c r="A37" s="3200"/>
      <c r="C37" s="3201"/>
      <c r="E37" s="3200"/>
    </row>
    <row r="38" spans="1:5" s="1995" customFormat="1">
      <c r="A38" s="3200"/>
      <c r="C38" s="3201"/>
      <c r="E38" s="3200"/>
    </row>
    <row r="39" spans="1:5" s="1995" customFormat="1">
      <c r="A39" s="3200"/>
      <c r="C39" s="3201"/>
      <c r="E39" s="3200"/>
    </row>
    <row r="40" spans="1:5" s="1995" customFormat="1">
      <c r="A40" s="3200"/>
      <c r="C40" s="3201"/>
      <c r="E40" s="3200"/>
    </row>
    <row r="41" spans="1:5" s="1995" customFormat="1">
      <c r="A41" s="3200"/>
      <c r="C41" s="3201"/>
      <c r="E41" s="3200"/>
    </row>
    <row r="42" spans="1:5" s="1995" customFormat="1">
      <c r="A42" s="3200"/>
      <c r="C42" s="3201"/>
      <c r="E42" s="3200"/>
    </row>
    <row r="43" spans="1:5" s="1995" customFormat="1">
      <c r="A43" s="3200"/>
      <c r="C43" s="3201"/>
      <c r="E43" s="3200"/>
    </row>
    <row r="44" spans="1:5" s="1995" customFormat="1">
      <c r="A44" s="3200"/>
      <c r="C44" s="3201"/>
      <c r="E44" s="3200"/>
    </row>
    <row r="45" spans="1:5" s="1995" customFormat="1">
      <c r="A45" s="3200"/>
      <c r="C45" s="3201"/>
      <c r="E45" s="3200"/>
    </row>
    <row r="46" spans="1:5" s="1995" customFormat="1">
      <c r="A46" s="3200"/>
      <c r="C46" s="3201"/>
      <c r="E46" s="3200"/>
    </row>
    <row r="47" spans="1:5" s="1995" customFormat="1">
      <c r="A47" s="3200"/>
      <c r="C47" s="3201"/>
      <c r="E47" s="3200"/>
    </row>
    <row r="48" spans="1:5"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89" customWidth="1"/>
    <col min="3" max="3" width="15.12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5"/>
      <c r="M1" s="3206"/>
      <c r="N1" s="3206"/>
      <c r="O1" s="3206"/>
      <c r="P1" s="2012"/>
      <c r="Q1" s="2012"/>
      <c r="R1" s="2012"/>
      <c r="S1" s="2012"/>
      <c r="T1" s="2012"/>
      <c r="U1" s="2012"/>
      <c r="V1" s="2012"/>
      <c r="W1" s="2012"/>
      <c r="X1" s="2012"/>
      <c r="Y1" s="2012"/>
      <c r="Z1" s="2012"/>
      <c r="AA1" s="2012"/>
      <c r="AB1" s="2012"/>
      <c r="AC1" s="3207"/>
      <c r="AD1" s="1287"/>
    </row>
    <row r="2" spans="1:30" s="1288" customFormat="1" ht="28.5" customHeight="1">
      <c r="A2" s="416" t="s">
        <v>461</v>
      </c>
      <c r="B2" s="501" t="e">
        <f>F68</f>
        <v>#DIV/0!</v>
      </c>
      <c r="C2" s="3215"/>
      <c r="D2" s="3215"/>
      <c r="E2" s="3217"/>
      <c r="F2" s="3218"/>
      <c r="G2" s="3217"/>
      <c r="H2" s="3217"/>
      <c r="I2" s="3217"/>
      <c r="J2" s="3217"/>
      <c r="K2" s="3219"/>
      <c r="L2" s="2011"/>
      <c r="M2" s="2012"/>
      <c r="N2" s="2012"/>
      <c r="O2" s="2012"/>
      <c r="P2" s="2012"/>
      <c r="Q2" s="2012"/>
      <c r="R2" s="2012"/>
      <c r="S2" s="2012"/>
      <c r="T2" s="2012"/>
      <c r="U2" s="2012"/>
      <c r="V2" s="2012"/>
      <c r="W2" s="2012"/>
      <c r="X2" s="2012"/>
      <c r="Y2" s="2012"/>
      <c r="Z2" s="2012"/>
      <c r="AA2" s="2012"/>
      <c r="AB2" s="2012"/>
      <c r="AC2" s="3207"/>
      <c r="AD2" s="1287"/>
    </row>
    <row r="3" spans="1:30" s="1288" customFormat="1" ht="28.5" customHeight="1">
      <c r="A3" s="1329" t="s">
        <v>1674</v>
      </c>
      <c r="B3" s="503" t="e">
        <f>ROUND(B2*10000/'数据-汇总表'!E3,0)</f>
        <v>#DIV/0!</v>
      </c>
      <c r="C3" s="3216"/>
      <c r="D3" s="3220"/>
      <c r="E3" s="3216"/>
      <c r="F3" s="3216"/>
      <c r="G3" s="3217"/>
      <c r="H3" s="3217"/>
      <c r="I3" s="3217"/>
      <c r="J3" s="3217"/>
      <c r="K3" s="3219"/>
      <c r="L3" s="2011"/>
      <c r="M3" s="2012"/>
      <c r="N3" s="2012"/>
      <c r="O3" s="2012"/>
      <c r="P3" s="2012"/>
      <c r="Q3" s="2012"/>
      <c r="R3" s="2012"/>
      <c r="S3" s="2012"/>
      <c r="T3" s="2012"/>
      <c r="U3" s="2012"/>
      <c r="V3" s="2012"/>
      <c r="W3" s="2012"/>
      <c r="X3" s="2012"/>
      <c r="Y3" s="2012"/>
      <c r="Z3" s="2012"/>
      <c r="AA3" s="2012"/>
      <c r="AB3" s="3208"/>
      <c r="AC3" s="1942"/>
    </row>
    <row r="4" spans="1:30" s="1288" customFormat="1" ht="28.5" customHeight="1">
      <c r="A4" s="504" t="s">
        <v>514</v>
      </c>
      <c r="B4" s="420" t="e">
        <f>IF(B48="单位面积地价",C50,ROUND(B2*10000/'数据-汇总表'!D3,0))</f>
        <v>#DIV/0!</v>
      </c>
      <c r="C4" s="3216"/>
      <c r="D4" s="3220"/>
      <c r="E4" s="3216"/>
      <c r="F4" s="3216"/>
      <c r="G4" s="3217"/>
      <c r="H4" s="3217"/>
      <c r="I4" s="3217"/>
      <c r="J4" s="3217"/>
      <c r="K4" s="3219"/>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t="e">
        <f>ROUND(B2/('数据-汇总表'!D3/666.67),0)</f>
        <v>#DIV/0!</v>
      </c>
      <c r="C5" s="424" t="s">
        <v>463</v>
      </c>
      <c r="D5" s="3216"/>
      <c r="E5" s="3216"/>
      <c r="F5" s="3216"/>
      <c r="G5" s="3217"/>
      <c r="H5" s="3217"/>
      <c r="I5" s="3217"/>
      <c r="J5" s="3217"/>
      <c r="K5" s="3219"/>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631" t="s">
        <v>516</v>
      </c>
      <c r="D6" s="3632"/>
      <c r="E6" s="3631" t="s">
        <v>517</v>
      </c>
      <c r="F6" s="3632"/>
      <c r="G6" s="3631" t="s">
        <v>518</v>
      </c>
      <c r="H6" s="3632"/>
      <c r="I6" s="3631" t="s">
        <v>519</v>
      </c>
      <c r="J6" s="3632"/>
      <c r="K6" s="507" t="s">
        <v>520</v>
      </c>
      <c r="L6" s="2013"/>
      <c r="M6" s="2012"/>
      <c r="N6" s="2012"/>
      <c r="O6" s="2014"/>
      <c r="P6" s="3633" t="s">
        <v>521</v>
      </c>
      <c r="Q6" s="3634"/>
      <c r="R6" s="3639" t="s">
        <v>517</v>
      </c>
      <c r="S6" s="3640"/>
      <c r="T6" s="3639" t="s">
        <v>518</v>
      </c>
      <c r="U6" s="3640"/>
      <c r="V6" s="3626" t="s">
        <v>519</v>
      </c>
      <c r="W6" s="3626"/>
      <c r="X6" s="1500"/>
      <c r="Y6" s="3639" t="s">
        <v>521</v>
      </c>
      <c r="Z6" s="3640"/>
      <c r="AA6" s="3628" t="s">
        <v>517</v>
      </c>
      <c r="AB6" s="3629" t="s">
        <v>518</v>
      </c>
      <c r="AC6" s="3628" t="s">
        <v>519</v>
      </c>
    </row>
    <row r="7" spans="1:30" ht="20.25">
      <c r="A7" s="508"/>
      <c r="B7" s="509"/>
      <c r="C7" s="3647" t="s">
        <v>2886</v>
      </c>
      <c r="D7" s="3648"/>
      <c r="E7" s="3647" t="s">
        <v>2887</v>
      </c>
      <c r="F7" s="3648"/>
      <c r="G7" s="3647" t="s">
        <v>2888</v>
      </c>
      <c r="H7" s="3648"/>
      <c r="I7" s="3647" t="s">
        <v>2889</v>
      </c>
      <c r="J7" s="3648"/>
      <c r="K7" s="507"/>
      <c r="L7" s="2013"/>
      <c r="M7" s="2012"/>
      <c r="N7" s="2012"/>
      <c r="O7" s="2014"/>
      <c r="P7" s="3635"/>
      <c r="Q7" s="3636"/>
      <c r="R7" s="3641"/>
      <c r="S7" s="3642"/>
      <c r="T7" s="3641"/>
      <c r="U7" s="3642"/>
      <c r="V7" s="3626"/>
      <c r="W7" s="3626"/>
      <c r="X7" s="1500"/>
      <c r="Y7" s="3641"/>
      <c r="Z7" s="3642"/>
      <c r="AA7" s="3629"/>
      <c r="AB7" s="3629"/>
      <c r="AC7" s="3629"/>
    </row>
    <row r="8" spans="1:30" ht="21" thickBot="1">
      <c r="A8" s="508"/>
      <c r="B8" s="509"/>
      <c r="C8" s="3649" t="s">
        <v>2890</v>
      </c>
      <c r="D8" s="3650"/>
      <c r="E8" s="3649" t="s">
        <v>2890</v>
      </c>
      <c r="F8" s="3650"/>
      <c r="G8" s="3645" t="s">
        <v>2890</v>
      </c>
      <c r="H8" s="3646"/>
      <c r="I8" s="3645" t="s">
        <v>2890</v>
      </c>
      <c r="J8" s="3646"/>
      <c r="K8" s="507" t="s">
        <v>522</v>
      </c>
      <c r="L8" s="2013"/>
      <c r="M8" s="2012"/>
      <c r="N8" s="2012"/>
      <c r="O8" s="2014"/>
      <c r="P8" s="3637"/>
      <c r="Q8" s="3638"/>
      <c r="R8" s="3641"/>
      <c r="S8" s="3642"/>
      <c r="T8" s="3643"/>
      <c r="U8" s="3644"/>
      <c r="V8" s="3626"/>
      <c r="W8" s="3626"/>
      <c r="X8" s="1500"/>
      <c r="Y8" s="3643"/>
      <c r="Z8" s="3644"/>
      <c r="AA8" s="3630"/>
      <c r="AB8" s="3630"/>
      <c r="AC8" s="3630"/>
    </row>
    <row r="9" spans="1:30" s="1201" customFormat="1" ht="21" thickBot="1">
      <c r="A9" s="2626"/>
      <c r="B9" s="2633" t="s">
        <v>523</v>
      </c>
      <c r="C9" s="2625">
        <f>'数据-取费表'!B2</f>
        <v>44125</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656" t="s">
        <v>524</v>
      </c>
      <c r="Q9" s="3658"/>
      <c r="R9" s="1501" t="s">
        <v>8</v>
      </c>
      <c r="S9" s="1502">
        <f t="shared" ref="S9:S17" si="0">F9</f>
        <v>0</v>
      </c>
      <c r="T9" s="1501" t="s">
        <v>8</v>
      </c>
      <c r="U9" s="1502">
        <f t="shared" ref="U9:U17" si="1">H9</f>
        <v>0</v>
      </c>
      <c r="V9" s="1501" t="s">
        <v>8</v>
      </c>
      <c r="W9" s="1502">
        <f t="shared" ref="W9:W17" si="2">J9</f>
        <v>0</v>
      </c>
      <c r="X9" s="1503"/>
      <c r="Y9" s="3656" t="s">
        <v>524</v>
      </c>
      <c r="Z9" s="3657"/>
      <c r="AA9" s="1504" t="e">
        <f>D9/F9</f>
        <v>#DIV/0!</v>
      </c>
      <c r="AB9" s="1504" t="e">
        <f>D9/H9</f>
        <v>#DIV/0!</v>
      </c>
      <c r="AC9" s="1504" t="e">
        <f>D9/J9</f>
        <v>#DIV/0!</v>
      </c>
    </row>
    <row r="10" spans="1:30" s="1201" customFormat="1" ht="21" thickBot="1">
      <c r="A10" s="2627"/>
      <c r="B10" s="2634"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656" t="s">
        <v>527</v>
      </c>
      <c r="Q10" s="3657"/>
      <c r="R10" s="1501" t="s">
        <v>8</v>
      </c>
      <c r="S10" s="1502">
        <f t="shared" si="0"/>
        <v>0</v>
      </c>
      <c r="T10" s="1501" t="s">
        <v>8</v>
      </c>
      <c r="U10" s="1502">
        <f t="shared" si="1"/>
        <v>0</v>
      </c>
      <c r="V10" s="1501" t="s">
        <v>8</v>
      </c>
      <c r="W10" s="1502">
        <f t="shared" si="2"/>
        <v>0</v>
      </c>
      <c r="X10" s="1503"/>
      <c r="Y10" s="3656" t="s">
        <v>527</v>
      </c>
      <c r="Z10" s="3657"/>
      <c r="AA10" s="1504" t="e">
        <f t="shared" ref="AA10:AA47" si="3">D10/F10</f>
        <v>#DIV/0!</v>
      </c>
      <c r="AB10" s="1504" t="e">
        <f t="shared" ref="AB10:AB47" si="4">D10/H10</f>
        <v>#DIV/0!</v>
      </c>
      <c r="AC10" s="1504" t="e">
        <f t="shared" ref="AC10:AC47" si="5">D10/J10</f>
        <v>#DIV/0!</v>
      </c>
    </row>
    <row r="11" spans="1:30" s="1201" customFormat="1" ht="20.25">
      <c r="A11" s="2628"/>
      <c r="B11" s="2635" t="s">
        <v>2729</v>
      </c>
      <c r="C11" s="2622"/>
      <c r="D11" s="251">
        <v>100</v>
      </c>
      <c r="E11" s="519"/>
      <c r="F11" s="251">
        <f>SUMIF(77:77,E11,78:78)-SUMIF(77:77,C11,78:78)+100</f>
        <v>100</v>
      </c>
      <c r="G11" s="519"/>
      <c r="H11" s="251">
        <f>SUMIF(77:77,G11,78:78)-SUMIF(77:77,C11,78:78)+100</f>
        <v>100</v>
      </c>
      <c r="I11" s="519"/>
      <c r="J11" s="251">
        <f>SUMIF(77:77,I11,78:78)-SUMIF(77:77,C11,78:78)+100</f>
        <v>100</v>
      </c>
      <c r="K11" s="517"/>
      <c r="L11" s="2015"/>
      <c r="M11" s="2012"/>
      <c r="N11" s="2012"/>
      <c r="O11" s="2017"/>
      <c r="P11" s="3625" t="s">
        <v>529</v>
      </c>
      <c r="Q11" s="1132" t="str">
        <f t="shared" ref="Q11:Q17" si="6">B11</f>
        <v>用途</v>
      </c>
      <c r="R11" s="1501" t="s">
        <v>8</v>
      </c>
      <c r="S11" s="1502">
        <f t="shared" si="0"/>
        <v>100</v>
      </c>
      <c r="T11" s="1501" t="s">
        <v>8</v>
      </c>
      <c r="U11" s="1502">
        <f t="shared" si="1"/>
        <v>100</v>
      </c>
      <c r="V11" s="1501" t="s">
        <v>8</v>
      </c>
      <c r="W11" s="1502">
        <f t="shared" si="2"/>
        <v>100</v>
      </c>
      <c r="X11" s="1503"/>
      <c r="Y11" s="3530" t="s">
        <v>530</v>
      </c>
      <c r="Z11" s="1131" t="str">
        <f t="shared" ref="Z11:Z17" si="7">Q11</f>
        <v>用途</v>
      </c>
      <c r="AA11" s="1504">
        <f t="shared" si="3"/>
        <v>1</v>
      </c>
      <c r="AB11" s="1504">
        <f t="shared" si="4"/>
        <v>1</v>
      </c>
      <c r="AC11" s="1504">
        <f t="shared" si="5"/>
        <v>1</v>
      </c>
    </row>
    <row r="12" spans="1:30" s="1290" customFormat="1" ht="27">
      <c r="A12" s="2629"/>
      <c r="B12" s="2634" t="s">
        <v>2730</v>
      </c>
      <c r="C12" s="898"/>
      <c r="D12" s="252">
        <v>100</v>
      </c>
      <c r="E12" s="522"/>
      <c r="F12" s="252">
        <f>ROUND(100/'数据-取费表'!G16,0)</f>
        <v>100</v>
      </c>
      <c r="G12" s="523"/>
      <c r="H12" s="252">
        <f>ROUND(100/'数据-取费表'!G16,0)</f>
        <v>100</v>
      </c>
      <c r="I12" s="523"/>
      <c r="J12" s="252">
        <f>ROUND(100/'数据-取费表'!G16,0)</f>
        <v>100</v>
      </c>
      <c r="K12" s="524"/>
      <c r="L12" s="2018"/>
      <c r="M12" s="2012"/>
      <c r="N12" s="2012"/>
      <c r="O12" s="2019"/>
      <c r="P12" s="3625"/>
      <c r="Q12" s="1132" t="str">
        <f t="shared" si="6"/>
        <v>土地使用年限（年）</v>
      </c>
      <c r="R12" s="1501" t="s">
        <v>8</v>
      </c>
      <c r="S12" s="1502">
        <f t="shared" si="0"/>
        <v>100</v>
      </c>
      <c r="T12" s="1501" t="s">
        <v>8</v>
      </c>
      <c r="U12" s="1502">
        <f t="shared" si="1"/>
        <v>100</v>
      </c>
      <c r="V12" s="1501" t="s">
        <v>8</v>
      </c>
      <c r="W12" s="1502">
        <f t="shared" si="2"/>
        <v>100</v>
      </c>
      <c r="X12" s="1503"/>
      <c r="Y12" s="3530"/>
      <c r="Z12" s="1131" t="str">
        <f t="shared" si="7"/>
        <v>土地使用年限（年）</v>
      </c>
      <c r="AA12" s="1504">
        <f t="shared" si="3"/>
        <v>1</v>
      </c>
      <c r="AB12" s="1504">
        <f t="shared" si="4"/>
        <v>1</v>
      </c>
      <c r="AC12" s="1504">
        <f t="shared" si="5"/>
        <v>1</v>
      </c>
    </row>
    <row r="13" spans="1:30" ht="20.25">
      <c r="A13" s="2630"/>
      <c r="B13" s="2634" t="s">
        <v>2731</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0"/>
      <c r="M13" s="2012"/>
      <c r="N13" s="2012"/>
      <c r="O13" s="2021"/>
      <c r="P13" s="3625"/>
      <c r="Q13" s="1132" t="str">
        <f t="shared" si="6"/>
        <v>容积率</v>
      </c>
      <c r="R13" s="1501" t="s">
        <v>8</v>
      </c>
      <c r="S13" s="1502" t="e">
        <f t="shared" si="0"/>
        <v>#N/A</v>
      </c>
      <c r="T13" s="1501" t="s">
        <v>8</v>
      </c>
      <c r="U13" s="1502" t="e">
        <f t="shared" si="1"/>
        <v>#N/A</v>
      </c>
      <c r="V13" s="1501" t="s">
        <v>8</v>
      </c>
      <c r="W13" s="1502" t="e">
        <f t="shared" si="2"/>
        <v>#N/A</v>
      </c>
      <c r="X13" s="1503"/>
      <c r="Y13" s="3530"/>
      <c r="Z13" s="1131" t="str">
        <f t="shared" si="7"/>
        <v>容积率</v>
      </c>
      <c r="AA13" s="1504" t="e">
        <f t="shared" si="3"/>
        <v>#N/A</v>
      </c>
      <c r="AB13" s="1504" t="e">
        <f t="shared" si="4"/>
        <v>#N/A</v>
      </c>
      <c r="AC13" s="1504" t="e">
        <f t="shared" si="5"/>
        <v>#N/A</v>
      </c>
    </row>
    <row r="14" spans="1:30" s="1201" customFormat="1" ht="20.25">
      <c r="A14" s="2627"/>
      <c r="B14" s="2636" t="s">
        <v>2732</v>
      </c>
      <c r="C14" s="2623"/>
      <c r="D14" s="531">
        <v>100</v>
      </c>
      <c r="E14" s="1324"/>
      <c r="F14" s="252">
        <f>SUMIF(84:84,E14,85:85)-SUMIF(84:84,C14,85:85)+100</f>
        <v>100</v>
      </c>
      <c r="G14" s="523"/>
      <c r="H14" s="252">
        <f>SUMIF(84:84,G14,85:85)-SUMIF(84:84,C14,85:85)+100</f>
        <v>100</v>
      </c>
      <c r="I14" s="522"/>
      <c r="J14" s="252">
        <f>SUMIF(84:84,I14,85:85)-SUMIF(84:84,C14,85:85)+100</f>
        <v>100</v>
      </c>
      <c r="K14" s="524"/>
      <c r="L14" s="2015"/>
      <c r="M14" s="2012"/>
      <c r="N14" s="2012"/>
      <c r="O14" s="2017"/>
      <c r="P14" s="3625"/>
      <c r="Q14" s="1132" t="str">
        <f t="shared" si="6"/>
        <v>配建</v>
      </c>
      <c r="R14" s="1501" t="s">
        <v>8</v>
      </c>
      <c r="S14" s="1502">
        <f t="shared" si="0"/>
        <v>100</v>
      </c>
      <c r="T14" s="1501" t="s">
        <v>8</v>
      </c>
      <c r="U14" s="1502">
        <f t="shared" si="1"/>
        <v>100</v>
      </c>
      <c r="V14" s="1501" t="s">
        <v>8</v>
      </c>
      <c r="W14" s="1502">
        <f t="shared" si="2"/>
        <v>100</v>
      </c>
      <c r="X14" s="1503"/>
      <c r="Y14" s="3530"/>
      <c r="Z14" s="1131" t="str">
        <f t="shared" si="7"/>
        <v>配建</v>
      </c>
      <c r="AA14" s="1504">
        <f>D14/F14</f>
        <v>1</v>
      </c>
      <c r="AB14" s="1504">
        <f>D14/H14</f>
        <v>1</v>
      </c>
      <c r="AC14" s="1504">
        <f>D14/J14</f>
        <v>1</v>
      </c>
    </row>
    <row r="15" spans="1:30" ht="20.25">
      <c r="A15" s="2631"/>
      <c r="B15" s="2637">
        <v>111</v>
      </c>
      <c r="C15" s="900"/>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625"/>
      <c r="Q15" s="1132">
        <f t="shared" si="6"/>
        <v>111</v>
      </c>
      <c r="R15" s="1501" t="s">
        <v>8</v>
      </c>
      <c r="S15" s="1502">
        <f t="shared" si="0"/>
        <v>100</v>
      </c>
      <c r="T15" s="1501" t="s">
        <v>8</v>
      </c>
      <c r="U15" s="1502">
        <f t="shared" si="1"/>
        <v>100</v>
      </c>
      <c r="V15" s="1501" t="s">
        <v>8</v>
      </c>
      <c r="W15" s="1502">
        <f t="shared" si="2"/>
        <v>100</v>
      </c>
      <c r="X15" s="1503"/>
      <c r="Y15" s="3530"/>
      <c r="Z15" s="1131">
        <f t="shared" si="7"/>
        <v>111</v>
      </c>
      <c r="AA15" s="1504">
        <f>D15/F15</f>
        <v>1</v>
      </c>
      <c r="AB15" s="1504">
        <f>D15/H15</f>
        <v>1</v>
      </c>
      <c r="AC15" s="1504">
        <f>D15/J15</f>
        <v>1</v>
      </c>
    </row>
    <row r="16" spans="1:30" ht="21" thickBot="1">
      <c r="A16" s="2632"/>
      <c r="B16" s="2638">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625"/>
      <c r="Q16" s="1132">
        <f t="shared" si="6"/>
        <v>111</v>
      </c>
      <c r="R16" s="1501" t="s">
        <v>8</v>
      </c>
      <c r="S16" s="1502">
        <f t="shared" si="0"/>
        <v>100</v>
      </c>
      <c r="T16" s="1501" t="s">
        <v>8</v>
      </c>
      <c r="U16" s="1502">
        <f t="shared" si="1"/>
        <v>100</v>
      </c>
      <c r="V16" s="1501" t="s">
        <v>8</v>
      </c>
      <c r="W16" s="1502">
        <f t="shared" si="2"/>
        <v>100</v>
      </c>
      <c r="X16" s="1503"/>
      <c r="Y16" s="3530"/>
      <c r="Z16" s="1131">
        <f t="shared" si="7"/>
        <v>111</v>
      </c>
      <c r="AA16" s="1504">
        <f>D16/F16</f>
        <v>1</v>
      </c>
      <c r="AB16" s="1504">
        <f>D16/H16</f>
        <v>1</v>
      </c>
      <c r="AC16" s="1504">
        <f>D16/J16</f>
        <v>1</v>
      </c>
    </row>
    <row r="17" spans="1:29" ht="20.25">
      <c r="A17" s="2624" t="s">
        <v>2727</v>
      </c>
      <c r="B17" s="571" t="s">
        <v>295</v>
      </c>
      <c r="C17" s="541" t="str">
        <f>估价对象房地状况!C15</f>
        <v>现状差，未来好</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659" t="s">
        <v>534</v>
      </c>
      <c r="Q17" s="1505" t="str">
        <f t="shared" si="6"/>
        <v>居住社区成熟度</v>
      </c>
      <c r="R17" s="1506" t="s">
        <v>8</v>
      </c>
      <c r="S17" s="1507">
        <f t="shared" si="0"/>
        <v>100</v>
      </c>
      <c r="T17" s="1506" t="s">
        <v>8</v>
      </c>
      <c r="U17" s="1507">
        <f t="shared" si="1"/>
        <v>100</v>
      </c>
      <c r="V17" s="1506" t="s">
        <v>8</v>
      </c>
      <c r="W17" s="1507">
        <f t="shared" si="2"/>
        <v>100</v>
      </c>
      <c r="X17" s="1500"/>
      <c r="Y17" s="3659"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660"/>
      <c r="Q18" s="1505"/>
      <c r="R18" s="1506"/>
      <c r="S18" s="1507"/>
      <c r="T18" s="1506"/>
      <c r="U18" s="1507"/>
      <c r="V18" s="1506"/>
      <c r="W18" s="1507"/>
      <c r="X18" s="1500"/>
      <c r="Y18" s="3660"/>
      <c r="Z18" s="1508"/>
      <c r="AA18" s="1509">
        <v>1</v>
      </c>
      <c r="AB18" s="1509">
        <v>1</v>
      </c>
      <c r="AC18" s="1509">
        <v>1</v>
      </c>
    </row>
    <row r="19" spans="1:29" ht="28.5">
      <c r="A19" s="525"/>
      <c r="B19" s="553" t="s">
        <v>535</v>
      </c>
      <c r="C19" s="554" t="str">
        <f>估价对象房地状况!C16</f>
        <v>现状差，未来较好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660"/>
      <c r="Q19" s="1505" t="str">
        <f>B19</f>
        <v>商业繁华度</v>
      </c>
      <c r="R19" s="1506" t="s">
        <v>8</v>
      </c>
      <c r="S19" s="1507">
        <f>F19</f>
        <v>100</v>
      </c>
      <c r="T19" s="1506" t="s">
        <v>8</v>
      </c>
      <c r="U19" s="1507">
        <f>H19</f>
        <v>100</v>
      </c>
      <c r="V19" s="1506" t="s">
        <v>8</v>
      </c>
      <c r="W19" s="1507">
        <f>J19</f>
        <v>100</v>
      </c>
      <c r="X19" s="1500"/>
      <c r="Y19" s="3660"/>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660"/>
      <c r="Q20" s="1505"/>
      <c r="R20" s="1506"/>
      <c r="S20" s="1507"/>
      <c r="T20" s="1506"/>
      <c r="U20" s="1507"/>
      <c r="V20" s="1506"/>
      <c r="W20" s="1507"/>
      <c r="X20" s="1500"/>
      <c r="Y20" s="3660"/>
      <c r="Z20" s="1508"/>
      <c r="AA20" s="1509">
        <v>1</v>
      </c>
      <c r="AB20" s="1509">
        <v>1</v>
      </c>
      <c r="AC20" s="1509">
        <v>1</v>
      </c>
    </row>
    <row r="21" spans="1:29" ht="28.5">
      <c r="A21" s="525"/>
      <c r="B21" s="553" t="s">
        <v>536</v>
      </c>
      <c r="C21" s="554" t="str">
        <f>估价对象房地状况!C17</f>
        <v>现状差，未来较好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660"/>
      <c r="Q21" s="1505" t="str">
        <f>B21</f>
        <v>办公集聚程度</v>
      </c>
      <c r="R21" s="1506" t="s">
        <v>8</v>
      </c>
      <c r="S21" s="1507">
        <f>F21</f>
        <v>100</v>
      </c>
      <c r="T21" s="1506" t="s">
        <v>8</v>
      </c>
      <c r="U21" s="1507">
        <f>H21</f>
        <v>100</v>
      </c>
      <c r="V21" s="1506" t="s">
        <v>8</v>
      </c>
      <c r="W21" s="1507">
        <f>J21</f>
        <v>100</v>
      </c>
      <c r="X21" s="1500"/>
      <c r="Y21" s="3660"/>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660"/>
      <c r="Q22" s="1505"/>
      <c r="R22" s="1506"/>
      <c r="S22" s="1507"/>
      <c r="T22" s="1506"/>
      <c r="U22" s="1507"/>
      <c r="V22" s="1506"/>
      <c r="W22" s="1507"/>
      <c r="X22" s="1500"/>
      <c r="Y22" s="3660"/>
      <c r="Z22" s="1508"/>
      <c r="AA22" s="1509">
        <v>1</v>
      </c>
      <c r="AB22" s="1509">
        <v>1</v>
      </c>
      <c r="AC22" s="1509">
        <v>1</v>
      </c>
    </row>
    <row r="23" spans="1:29" ht="28.5">
      <c r="A23" s="525"/>
      <c r="B23" s="553" t="s">
        <v>537</v>
      </c>
      <c r="C23" s="566" t="str">
        <f>估价对象房地状况!C18</f>
        <v>现状差，未来较好</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660"/>
      <c r="Q23" s="1505" t="str">
        <f>B23</f>
        <v>交通便捷度</v>
      </c>
      <c r="R23" s="1506" t="s">
        <v>8</v>
      </c>
      <c r="S23" s="1507">
        <f>F23</f>
        <v>100</v>
      </c>
      <c r="T23" s="1506" t="s">
        <v>8</v>
      </c>
      <c r="U23" s="1507">
        <f>H23</f>
        <v>100</v>
      </c>
      <c r="V23" s="1506" t="s">
        <v>8</v>
      </c>
      <c r="W23" s="1507">
        <f>J23</f>
        <v>100</v>
      </c>
      <c r="X23" s="1500"/>
      <c r="Y23" s="3660"/>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660"/>
      <c r="Q24" s="1505"/>
      <c r="R24" s="1506"/>
      <c r="S24" s="1507"/>
      <c r="T24" s="1506"/>
      <c r="U24" s="1507"/>
      <c r="V24" s="1506"/>
      <c r="W24" s="1507"/>
      <c r="X24" s="1500"/>
      <c r="Y24" s="3660"/>
      <c r="Z24" s="1508"/>
      <c r="AA24" s="1509">
        <v>1</v>
      </c>
      <c r="AB24" s="1509">
        <v>1</v>
      </c>
      <c r="AC24" s="1509">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660"/>
      <c r="Q25" s="1505" t="str">
        <f t="shared" ref="Q25:Q39" si="8">B25</f>
        <v>区域土地利用方向</v>
      </c>
      <c r="R25" s="1506" t="s">
        <v>8</v>
      </c>
      <c r="S25" s="1507">
        <f>F25</f>
        <v>100</v>
      </c>
      <c r="T25" s="1506" t="s">
        <v>8</v>
      </c>
      <c r="U25" s="1507">
        <f>H25</f>
        <v>100</v>
      </c>
      <c r="V25" s="1506" t="s">
        <v>8</v>
      </c>
      <c r="W25" s="1507">
        <f>J25</f>
        <v>100</v>
      </c>
      <c r="X25" s="1500"/>
      <c r="Y25" s="3660"/>
      <c r="Z25" s="1508" t="str">
        <f>Q25</f>
        <v>区域土地利用方向</v>
      </c>
      <c r="AA25" s="1509">
        <f t="shared" si="3"/>
        <v>1</v>
      </c>
      <c r="AB25" s="1509">
        <f t="shared" si="4"/>
        <v>1</v>
      </c>
      <c r="AC25" s="1509">
        <f t="shared" si="5"/>
        <v>1</v>
      </c>
    </row>
    <row r="26" spans="1:29" ht="20.25">
      <c r="A26" s="508"/>
      <c r="B26" s="992"/>
      <c r="C26" s="547"/>
      <c r="D26" s="550"/>
      <c r="E26" s="551"/>
      <c r="F26" s="548"/>
      <c r="G26" s="549"/>
      <c r="H26" s="548"/>
      <c r="I26" s="551"/>
      <c r="J26" s="548"/>
      <c r="K26" s="524"/>
      <c r="L26" s="2022"/>
      <c r="M26" s="2012"/>
      <c r="N26" s="2012"/>
      <c r="O26" s="2021"/>
      <c r="P26" s="3660"/>
      <c r="Q26" s="1505"/>
      <c r="R26" s="1506"/>
      <c r="S26" s="1507"/>
      <c r="T26" s="1506"/>
      <c r="U26" s="1507"/>
      <c r="V26" s="1506"/>
      <c r="W26" s="1507"/>
      <c r="X26" s="1500"/>
      <c r="Y26" s="3660"/>
      <c r="Z26" s="1508"/>
      <c r="AA26" s="1509"/>
      <c r="AB26" s="1509"/>
      <c r="AC26" s="1509"/>
    </row>
    <row r="27" spans="1:29" ht="28.5">
      <c r="A27" s="508"/>
      <c r="B27" s="571" t="s">
        <v>539</v>
      </c>
      <c r="C27" s="554" t="str">
        <f>估价对象房地状况!C20</f>
        <v>现状一般，未来较好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660"/>
      <c r="Q27" s="1505" t="str">
        <f t="shared" si="8"/>
        <v>自然及人文环境状况</v>
      </c>
      <c r="R27" s="1506" t="s">
        <v>8</v>
      </c>
      <c r="S27" s="1507">
        <f>F27</f>
        <v>100</v>
      </c>
      <c r="T27" s="1506" t="s">
        <v>8</v>
      </c>
      <c r="U27" s="1507">
        <f>H27</f>
        <v>100</v>
      </c>
      <c r="V27" s="1506" t="s">
        <v>8</v>
      </c>
      <c r="W27" s="1507">
        <f>J27</f>
        <v>100</v>
      </c>
      <c r="X27" s="1500"/>
      <c r="Y27" s="3660"/>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660"/>
      <c r="Q28" s="1505"/>
      <c r="R28" s="1506"/>
      <c r="S28" s="1507"/>
      <c r="T28" s="1506"/>
      <c r="U28" s="1507"/>
      <c r="V28" s="1506"/>
      <c r="W28" s="1507"/>
      <c r="X28" s="1500"/>
      <c r="Y28" s="3660"/>
      <c r="Z28" s="1508"/>
      <c r="AA28" s="1509">
        <v>1</v>
      </c>
      <c r="AB28" s="1509">
        <v>1</v>
      </c>
      <c r="AC28" s="1509">
        <v>1</v>
      </c>
    </row>
    <row r="29" spans="1:29" s="1201" customFormat="1" ht="20.25">
      <c r="A29" s="570"/>
      <c r="B29" s="2432" t="s">
        <v>2522</v>
      </c>
      <c r="C29" s="566" t="str">
        <f>估价对象房地状况!C21</f>
        <v>现状差，未来好</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660"/>
      <c r="Q29" s="1132" t="str">
        <f t="shared" si="8"/>
        <v>公共配套设施</v>
      </c>
      <c r="R29" s="1501" t="s">
        <v>8</v>
      </c>
      <c r="S29" s="1502">
        <f>F29</f>
        <v>100</v>
      </c>
      <c r="T29" s="1501" t="s">
        <v>8</v>
      </c>
      <c r="U29" s="1502">
        <f>H29</f>
        <v>100</v>
      </c>
      <c r="V29" s="1501" t="s">
        <v>8</v>
      </c>
      <c r="W29" s="1502">
        <f>J29</f>
        <v>100</v>
      </c>
      <c r="X29" s="1503"/>
      <c r="Y29" s="3660"/>
      <c r="Z29" s="1131" t="str">
        <f>Q29</f>
        <v>公共配套设施</v>
      </c>
      <c r="AA29" s="1509">
        <f>D29/F29</f>
        <v>1</v>
      </c>
      <c r="AB29" s="1509">
        <f>D29/H29</f>
        <v>1</v>
      </c>
      <c r="AC29" s="1509">
        <f>D29/J29</f>
        <v>1</v>
      </c>
    </row>
    <row r="30" spans="1:29" s="1201" customFormat="1" ht="20.25">
      <c r="A30" s="570"/>
      <c r="B30" s="559"/>
      <c r="C30" s="572"/>
      <c r="D30" s="550"/>
      <c r="E30" s="569"/>
      <c r="F30" s="548"/>
      <c r="G30" s="547"/>
      <c r="H30" s="548"/>
      <c r="I30" s="569"/>
      <c r="J30" s="548"/>
      <c r="K30" s="524"/>
      <c r="L30" s="2015"/>
      <c r="M30" s="2012"/>
      <c r="N30" s="2012"/>
      <c r="O30" s="2017"/>
      <c r="P30" s="3660"/>
      <c r="Q30" s="1132"/>
      <c r="R30" s="1501"/>
      <c r="S30" s="1502"/>
      <c r="T30" s="1501"/>
      <c r="U30" s="1502"/>
      <c r="V30" s="1501"/>
      <c r="W30" s="1502"/>
      <c r="X30" s="1503"/>
      <c r="Y30" s="3660"/>
      <c r="Z30" s="1131"/>
      <c r="AA30" s="1509">
        <v>1</v>
      </c>
      <c r="AB30" s="1509">
        <v>1</v>
      </c>
      <c r="AC30" s="1509">
        <v>1</v>
      </c>
    </row>
    <row r="31" spans="1:29" s="1201" customFormat="1" ht="20.25">
      <c r="A31" s="570"/>
      <c r="B31" s="2432" t="s">
        <v>2523</v>
      </c>
      <c r="C31" s="566" t="str">
        <f>估价对象房地状况!C22</f>
        <v>七桶</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660"/>
      <c r="Q31" s="2425" t="str">
        <f t="shared" ref="Q31" si="9">B31</f>
        <v>基础设施水平</v>
      </c>
      <c r="R31" s="1501" t="s">
        <v>8</v>
      </c>
      <c r="S31" s="1502">
        <f>F31</f>
        <v>100</v>
      </c>
      <c r="T31" s="1501" t="s">
        <v>8</v>
      </c>
      <c r="U31" s="1502">
        <f>H31</f>
        <v>100</v>
      </c>
      <c r="V31" s="1501" t="s">
        <v>8</v>
      </c>
      <c r="W31" s="1502">
        <f>J31</f>
        <v>100</v>
      </c>
      <c r="X31" s="1503"/>
      <c r="Y31" s="3660"/>
      <c r="Z31" s="2424" t="str">
        <f>Q31</f>
        <v>基础设施水平</v>
      </c>
      <c r="AA31" s="1509">
        <f>D31/F31</f>
        <v>1</v>
      </c>
      <c r="AB31" s="1509">
        <f>D31/H31</f>
        <v>1</v>
      </c>
      <c r="AC31" s="1509">
        <f>D31/J31</f>
        <v>1</v>
      </c>
    </row>
    <row r="32" spans="1:29" s="1201" customFormat="1" ht="20.25">
      <c r="A32" s="570"/>
      <c r="B32" s="559"/>
      <c r="C32" s="572"/>
      <c r="D32" s="550"/>
      <c r="E32" s="2433"/>
      <c r="F32" s="548"/>
      <c r="G32" s="572"/>
      <c r="H32" s="548"/>
      <c r="I32" s="572"/>
      <c r="J32" s="548"/>
      <c r="K32" s="524"/>
      <c r="L32" s="2015"/>
      <c r="M32" s="2012"/>
      <c r="N32" s="2012"/>
      <c r="O32" s="2017"/>
      <c r="P32" s="3660"/>
      <c r="Q32" s="2425"/>
      <c r="R32" s="1501"/>
      <c r="S32" s="1502"/>
      <c r="T32" s="1501"/>
      <c r="U32" s="1502"/>
      <c r="V32" s="1501"/>
      <c r="W32" s="1502"/>
      <c r="X32" s="1503"/>
      <c r="Y32" s="3660"/>
      <c r="Z32" s="2424"/>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66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60"/>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660"/>
      <c r="Q34" s="1505" t="str">
        <f t="shared" si="8"/>
        <v>毗邻道路的类型与等级</v>
      </c>
      <c r="R34" s="1506" t="s">
        <v>8</v>
      </c>
      <c r="S34" s="1507">
        <f t="shared" si="10"/>
        <v>100</v>
      </c>
      <c r="T34" s="1506" t="s">
        <v>8</v>
      </c>
      <c r="U34" s="1507">
        <f t="shared" si="11"/>
        <v>100</v>
      </c>
      <c r="V34" s="1506" t="s">
        <v>8</v>
      </c>
      <c r="W34" s="1507">
        <f t="shared" si="12"/>
        <v>100</v>
      </c>
      <c r="X34" s="1500"/>
      <c r="Y34" s="3660"/>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660"/>
      <c r="Q35" s="1505"/>
      <c r="R35" s="1506"/>
      <c r="S35" s="1507"/>
      <c r="T35" s="1506"/>
      <c r="U35" s="1507"/>
      <c r="V35" s="1506"/>
      <c r="W35" s="1507"/>
      <c r="X35" s="1500"/>
      <c r="Y35" s="3660"/>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660"/>
      <c r="Q36" s="1505" t="str">
        <f t="shared" si="8"/>
        <v>土地级别</v>
      </c>
      <c r="R36" s="1506" t="s">
        <v>8</v>
      </c>
      <c r="S36" s="1507">
        <f t="shared" si="10"/>
        <v>100</v>
      </c>
      <c r="T36" s="1506" t="s">
        <v>8</v>
      </c>
      <c r="U36" s="1507">
        <f t="shared" si="11"/>
        <v>100</v>
      </c>
      <c r="V36" s="1506" t="s">
        <v>8</v>
      </c>
      <c r="W36" s="1507">
        <f t="shared" si="12"/>
        <v>100</v>
      </c>
      <c r="X36" s="1500"/>
      <c r="Y36" s="3660"/>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660"/>
      <c r="Q37" s="1505">
        <f t="shared" si="8"/>
        <v>111</v>
      </c>
      <c r="R37" s="1506" t="s">
        <v>8</v>
      </c>
      <c r="S37" s="1507">
        <f t="shared" si="10"/>
        <v>100</v>
      </c>
      <c r="T37" s="1506" t="s">
        <v>8</v>
      </c>
      <c r="U37" s="1507">
        <f t="shared" si="11"/>
        <v>100</v>
      </c>
      <c r="V37" s="1506" t="s">
        <v>8</v>
      </c>
      <c r="W37" s="1507">
        <f t="shared" si="12"/>
        <v>100</v>
      </c>
      <c r="X37" s="1500"/>
      <c r="Y37" s="3660"/>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661" t="s">
        <v>544</v>
      </c>
      <c r="Q38" s="1505">
        <f t="shared" si="8"/>
        <v>111</v>
      </c>
      <c r="R38" s="1506" t="s">
        <v>8</v>
      </c>
      <c r="S38" s="1507">
        <f t="shared" si="10"/>
        <v>100</v>
      </c>
      <c r="T38" s="1506" t="s">
        <v>8</v>
      </c>
      <c r="U38" s="1507">
        <f t="shared" si="11"/>
        <v>100</v>
      </c>
      <c r="V38" s="1506" t="s">
        <v>8</v>
      </c>
      <c r="W38" s="1507">
        <f t="shared" si="12"/>
        <v>100</v>
      </c>
      <c r="X38" s="1500"/>
      <c r="Y38" s="3662" t="s">
        <v>544</v>
      </c>
      <c r="Z38" s="1508">
        <f t="shared" si="13"/>
        <v>111</v>
      </c>
      <c r="AA38" s="1509">
        <f t="shared" si="3"/>
        <v>1</v>
      </c>
      <c r="AB38" s="1509">
        <f t="shared" si="4"/>
        <v>1</v>
      </c>
      <c r="AC38" s="1509">
        <f t="shared" si="5"/>
        <v>1</v>
      </c>
    </row>
    <row r="39" spans="1:29" s="1291"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662"/>
      <c r="Q39" s="1505">
        <f t="shared" si="8"/>
        <v>111</v>
      </c>
      <c r="R39" s="1510" t="s">
        <v>8</v>
      </c>
      <c r="S39" s="1511">
        <f t="shared" si="10"/>
        <v>100</v>
      </c>
      <c r="T39" s="1510" t="s">
        <v>8</v>
      </c>
      <c r="U39" s="1511">
        <f t="shared" si="11"/>
        <v>100</v>
      </c>
      <c r="V39" s="1510" t="s">
        <v>8</v>
      </c>
      <c r="W39" s="1511">
        <f t="shared" si="12"/>
        <v>100</v>
      </c>
      <c r="X39" s="1512"/>
      <c r="Y39" s="3662"/>
      <c r="Z39" s="1513">
        <f t="shared" si="13"/>
        <v>111</v>
      </c>
      <c r="AA39" s="1509">
        <f t="shared" si="3"/>
        <v>1</v>
      </c>
      <c r="AB39" s="1509">
        <f t="shared" si="4"/>
        <v>1</v>
      </c>
      <c r="AC39" s="1509">
        <f t="shared" si="5"/>
        <v>1</v>
      </c>
    </row>
    <row r="40" spans="1:29" ht="20.25">
      <c r="A40" s="2621" t="s">
        <v>2728</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662"/>
      <c r="Q40" s="1505" t="str">
        <f>B40</f>
        <v>宗地面积</v>
      </c>
      <c r="R40" s="1506" t="s">
        <v>8</v>
      </c>
      <c r="S40" s="1507" t="e">
        <f t="shared" si="10"/>
        <v>#N/A</v>
      </c>
      <c r="T40" s="1506" t="s">
        <v>8</v>
      </c>
      <c r="U40" s="1507" t="e">
        <f t="shared" si="11"/>
        <v>#N/A</v>
      </c>
      <c r="V40" s="1506" t="s">
        <v>8</v>
      </c>
      <c r="W40" s="1507" t="e">
        <f t="shared" si="12"/>
        <v>#N/A</v>
      </c>
      <c r="X40" s="1500"/>
      <c r="Y40" s="3662"/>
      <c r="Z40" s="1508" t="str">
        <f t="shared" si="13"/>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662"/>
      <c r="Q41" s="1505" t="str">
        <f t="shared" ref="Q41:Q47" si="14">B41</f>
        <v>宗地形状</v>
      </c>
      <c r="R41" s="1506" t="s">
        <v>8</v>
      </c>
      <c r="S41" s="1507">
        <f t="shared" si="10"/>
        <v>100</v>
      </c>
      <c r="T41" s="1506" t="s">
        <v>8</v>
      </c>
      <c r="U41" s="1507">
        <f t="shared" si="11"/>
        <v>100</v>
      </c>
      <c r="V41" s="1506" t="s">
        <v>8</v>
      </c>
      <c r="W41" s="1507">
        <f t="shared" si="12"/>
        <v>100</v>
      </c>
      <c r="X41" s="1500"/>
      <c r="Y41" s="3662"/>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662"/>
      <c r="Q42" s="1505" t="str">
        <f t="shared" si="14"/>
        <v>临街宽度及深度</v>
      </c>
      <c r="R42" s="1506" t="s">
        <v>8</v>
      </c>
      <c r="S42" s="1507">
        <f t="shared" si="10"/>
        <v>100</v>
      </c>
      <c r="T42" s="1506" t="s">
        <v>8</v>
      </c>
      <c r="U42" s="1507">
        <f t="shared" si="11"/>
        <v>100</v>
      </c>
      <c r="V42" s="1506" t="s">
        <v>8</v>
      </c>
      <c r="W42" s="1507">
        <f t="shared" si="12"/>
        <v>100</v>
      </c>
      <c r="X42" s="1500"/>
      <c r="Y42" s="3662"/>
      <c r="Z42" s="1508" t="str">
        <f t="shared" si="13"/>
        <v>临街宽度及深度</v>
      </c>
      <c r="AA42" s="1509">
        <f t="shared" si="3"/>
        <v>1</v>
      </c>
      <c r="AB42" s="1509">
        <f t="shared" si="4"/>
        <v>1</v>
      </c>
      <c r="AC42" s="1509">
        <f t="shared" si="5"/>
        <v>1</v>
      </c>
    </row>
    <row r="43" spans="1:29" s="1201" customFormat="1" ht="20.25">
      <c r="A43" s="593"/>
      <c r="B43" s="1807" t="s">
        <v>2408</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662"/>
      <c r="Q43" s="1505" t="str">
        <f t="shared" si="14"/>
        <v>宗地开发程度</v>
      </c>
      <c r="R43" s="1501" t="s">
        <v>8</v>
      </c>
      <c r="S43" s="1502">
        <f t="shared" si="10"/>
        <v>100</v>
      </c>
      <c r="T43" s="1501" t="s">
        <v>8</v>
      </c>
      <c r="U43" s="1502">
        <f t="shared" si="11"/>
        <v>100</v>
      </c>
      <c r="V43" s="1501" t="s">
        <v>8</v>
      </c>
      <c r="W43" s="1502">
        <f t="shared" si="12"/>
        <v>100</v>
      </c>
      <c r="X43" s="1503"/>
      <c r="Y43" s="3662"/>
      <c r="Z43" s="1131" t="str">
        <f t="shared" si="13"/>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662" t="s">
        <v>544</v>
      </c>
      <c r="Q44" s="1505" t="str">
        <f t="shared" si="14"/>
        <v>工程地质条件</v>
      </c>
      <c r="R44" s="1506" t="s">
        <v>8</v>
      </c>
      <c r="S44" s="1507">
        <f t="shared" si="10"/>
        <v>100</v>
      </c>
      <c r="T44" s="1506" t="s">
        <v>8</v>
      </c>
      <c r="U44" s="1507">
        <f t="shared" si="11"/>
        <v>100</v>
      </c>
      <c r="V44" s="1506" t="s">
        <v>8</v>
      </c>
      <c r="W44" s="1507">
        <f t="shared" si="12"/>
        <v>100</v>
      </c>
      <c r="X44" s="1500"/>
      <c r="Y44" s="3662"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662"/>
      <c r="Q45" s="1505">
        <f t="shared" si="14"/>
        <v>111</v>
      </c>
      <c r="R45" s="1506" t="s">
        <v>8</v>
      </c>
      <c r="S45" s="1507">
        <f t="shared" si="10"/>
        <v>100</v>
      </c>
      <c r="T45" s="1506" t="s">
        <v>8</v>
      </c>
      <c r="U45" s="1507">
        <f t="shared" si="11"/>
        <v>100</v>
      </c>
      <c r="V45" s="1506" t="s">
        <v>8</v>
      </c>
      <c r="W45" s="1507">
        <f t="shared" si="12"/>
        <v>100</v>
      </c>
      <c r="X45" s="1500"/>
      <c r="Y45" s="3662"/>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662"/>
      <c r="Q46" s="1505">
        <f t="shared" si="14"/>
        <v>111</v>
      </c>
      <c r="R46" s="1506" t="s">
        <v>8</v>
      </c>
      <c r="S46" s="1507">
        <f t="shared" si="10"/>
        <v>100</v>
      </c>
      <c r="T46" s="1506" t="s">
        <v>8</v>
      </c>
      <c r="U46" s="1507">
        <f t="shared" si="11"/>
        <v>100</v>
      </c>
      <c r="V46" s="1506" t="s">
        <v>8</v>
      </c>
      <c r="W46" s="1507">
        <f t="shared" si="12"/>
        <v>100</v>
      </c>
      <c r="X46" s="1500"/>
      <c r="Y46" s="3662"/>
      <c r="Z46" s="1508">
        <f t="shared" si="13"/>
        <v>111</v>
      </c>
      <c r="AA46" s="1509">
        <f t="shared" si="3"/>
        <v>1</v>
      </c>
      <c r="AB46" s="1509">
        <f t="shared" si="4"/>
        <v>1</v>
      </c>
      <c r="AC46" s="1509">
        <f t="shared" si="5"/>
        <v>1</v>
      </c>
    </row>
    <row r="47" spans="1:29" s="129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662"/>
      <c r="Q47" s="1505">
        <f t="shared" si="14"/>
        <v>111</v>
      </c>
      <c r="R47" s="1510" t="s">
        <v>8</v>
      </c>
      <c r="S47" s="1511">
        <f t="shared" si="10"/>
        <v>100</v>
      </c>
      <c r="T47" s="1510" t="s">
        <v>8</v>
      </c>
      <c r="U47" s="1511">
        <f t="shared" si="11"/>
        <v>100</v>
      </c>
      <c r="V47" s="1510" t="s">
        <v>8</v>
      </c>
      <c r="W47" s="1511">
        <f t="shared" si="12"/>
        <v>100</v>
      </c>
      <c r="X47" s="1512"/>
      <c r="Y47" s="3662"/>
      <c r="Z47" s="1513">
        <f t="shared" si="13"/>
        <v>111</v>
      </c>
      <c r="AA47" s="1509">
        <f t="shared" si="3"/>
        <v>1</v>
      </c>
      <c r="AB47" s="1509">
        <f t="shared" si="4"/>
        <v>1</v>
      </c>
      <c r="AC47" s="1509">
        <f t="shared" si="5"/>
        <v>1</v>
      </c>
    </row>
    <row r="48" spans="1:29" ht="20.25">
      <c r="A48" s="600" t="s">
        <v>550</v>
      </c>
      <c r="B48" s="601" t="s">
        <v>2891</v>
      </c>
      <c r="C48" s="602" t="s">
        <v>1</v>
      </c>
      <c r="D48" s="603"/>
      <c r="E48" s="604"/>
      <c r="F48" s="605"/>
      <c r="G48" s="606"/>
      <c r="H48" s="607"/>
      <c r="I48" s="604"/>
      <c r="J48" s="607"/>
      <c r="K48" s="1292"/>
      <c r="L48" s="2024"/>
      <c r="M48" s="2012"/>
      <c r="N48" s="2012"/>
      <c r="O48" s="2025"/>
      <c r="P48" s="3625" t="str">
        <f>A48</f>
        <v>成交单价</v>
      </c>
      <c r="Q48" s="3625"/>
      <c r="R48" s="3626">
        <f>E48</f>
        <v>0</v>
      </c>
      <c r="S48" s="3626"/>
      <c r="T48" s="3626">
        <f>G48</f>
        <v>0</v>
      </c>
      <c r="U48" s="3626"/>
      <c r="V48" s="3626">
        <f>I48</f>
        <v>0</v>
      </c>
      <c r="W48" s="3626"/>
      <c r="X48" s="1495"/>
      <c r="Y48" s="1514"/>
      <c r="Z48" s="1495"/>
      <c r="AA48" s="1495"/>
      <c r="AB48" s="1495"/>
      <c r="AC48" s="1495"/>
    </row>
    <row r="49" spans="1:29" ht="21" thickBot="1">
      <c r="A49" s="608" t="s">
        <v>2666</v>
      </c>
      <c r="B49" s="609"/>
      <c r="C49" s="610" t="e">
        <f>R50</f>
        <v>#DIV/0!</v>
      </c>
      <c r="D49" s="3011" t="s">
        <v>2957</v>
      </c>
      <c r="E49" s="610" t="e">
        <f>R49</f>
        <v>#DIV/0!</v>
      </c>
      <c r="F49" s="3012"/>
      <c r="G49" s="611" t="e">
        <f>T49</f>
        <v>#DIV/0!</v>
      </c>
      <c r="H49" s="3012"/>
      <c r="I49" s="610" t="e">
        <f>V49</f>
        <v>#DIV/0!</v>
      </c>
      <c r="J49" s="3012"/>
      <c r="K49" s="3013">
        <f>F49+H49+J49</f>
        <v>0</v>
      </c>
      <c r="L49" s="2024"/>
      <c r="M49" s="2012"/>
      <c r="N49" s="2012"/>
      <c r="O49" s="2025"/>
      <c r="P49" s="3625" t="str">
        <f>A49</f>
        <v>比较价格（元/平方米）</v>
      </c>
      <c r="Q49" s="3625"/>
      <c r="R49" s="3627" t="e">
        <f>ROUND(PRODUCT(R48,AA9:AA47),0)</f>
        <v>#DIV/0!</v>
      </c>
      <c r="S49" s="3627"/>
      <c r="T49" s="3627" t="e">
        <f>ROUND(PRODUCT(T48,AB9:AB47),0)</f>
        <v>#DIV/0!</v>
      </c>
      <c r="U49" s="3627"/>
      <c r="V49" s="3627" t="e">
        <f>ROUND(PRODUCT(V48,AC9:AC47),0)</f>
        <v>#DIV/0!</v>
      </c>
      <c r="W49" s="3627"/>
      <c r="X49" s="1495"/>
      <c r="Y49" s="1495"/>
      <c r="Z49" s="1495"/>
      <c r="AA49" s="1495"/>
      <c r="AB49" s="1495"/>
      <c r="AC49" s="1495"/>
    </row>
    <row r="50" spans="1:29" ht="21" thickBot="1">
      <c r="A50" s="612" t="s">
        <v>2892</v>
      </c>
      <c r="B50" s="613"/>
      <c r="C50" s="614" t="e">
        <f>R50</f>
        <v>#DIV/0!</v>
      </c>
      <c r="D50" s="614"/>
      <c r="E50" s="614"/>
      <c r="F50" s="614"/>
      <c r="G50" s="614"/>
      <c r="H50" s="614"/>
      <c r="I50" s="614"/>
      <c r="J50" s="614"/>
      <c r="K50" s="1293"/>
      <c r="L50" s="2024"/>
      <c r="M50" s="2012"/>
      <c r="N50" s="2012"/>
      <c r="O50" s="2025"/>
      <c r="P50" s="3622" t="str">
        <f>A50</f>
        <v>估价对象XX用房的比较价格（楼面单价，元/平方米）</v>
      </c>
      <c r="Q50" s="3623"/>
      <c r="R50" s="3624" t="e">
        <f>ROUND(IF(D49="简单平均",AVERAGE(R49:W49),R49*F49+T49*H49+V49*J49),0)</f>
        <v>#DIV/0!</v>
      </c>
      <c r="S50" s="3624"/>
      <c r="T50" s="3624"/>
      <c r="U50" s="3624"/>
      <c r="V50" s="3624"/>
      <c r="W50" s="3624"/>
      <c r="X50" s="1495"/>
      <c r="Y50" s="1495"/>
      <c r="Z50" s="1495"/>
      <c r="AA50" s="1495"/>
      <c r="AB50" s="1495"/>
      <c r="AC50" s="1495"/>
    </row>
    <row r="51" spans="1:29" ht="20.25">
      <c r="A51" s="3209"/>
      <c r="B51" s="3209"/>
      <c r="C51" s="3209"/>
      <c r="D51" s="3209"/>
      <c r="E51" s="3209"/>
      <c r="F51" s="3209"/>
      <c r="G51" s="3211"/>
      <c r="H51" s="3209"/>
      <c r="I51" s="3209"/>
      <c r="J51" s="3209"/>
      <c r="K51" s="3212"/>
      <c r="L51" s="2029"/>
      <c r="M51" s="2012"/>
      <c r="N51" s="2012"/>
      <c r="O51" s="2025"/>
      <c r="P51" s="2025"/>
      <c r="Q51" s="2025"/>
      <c r="R51" s="2025"/>
      <c r="S51" s="2025"/>
      <c r="T51" s="2025"/>
      <c r="U51" s="2025"/>
      <c r="V51" s="2025"/>
      <c r="W51" s="2025"/>
      <c r="X51" s="2025"/>
      <c r="Y51" s="2025"/>
      <c r="Z51" s="2025"/>
      <c r="AA51" s="2025"/>
      <c r="AB51" s="2025"/>
      <c r="AC51" s="2025"/>
    </row>
    <row r="52" spans="1:29" ht="20.25">
      <c r="A52" s="3209"/>
      <c r="B52" s="3209"/>
      <c r="C52" s="3209"/>
      <c r="D52" s="3209"/>
      <c r="E52" s="3209"/>
      <c r="F52" s="3209"/>
      <c r="G52" s="3209"/>
      <c r="H52" s="3209"/>
      <c r="I52" s="3209"/>
      <c r="J52" s="3209"/>
      <c r="K52" s="3212"/>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2"/>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9"/>
      <c r="B54" s="3209"/>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2"/>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0"/>
      <c r="B55" s="3210"/>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3"/>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3"/>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1714</v>
      </c>
      <c r="D57" s="2105" t="s">
        <v>2280</v>
      </c>
      <c r="E57" s="622" t="s">
        <v>556</v>
      </c>
      <c r="F57" s="623" t="s">
        <v>557</v>
      </c>
      <c r="G57" s="3651" t="s">
        <v>2268</v>
      </c>
      <c r="H57" s="3652"/>
      <c r="I57" s="1492" t="s">
        <v>1712</v>
      </c>
      <c r="J57" s="1492" t="str">
        <f>项目基本情况!F41</f>
        <v>河北省</v>
      </c>
      <c r="K57" s="2033" t="s">
        <v>1713</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t="e">
        <f>C50</f>
        <v>#DIV/0!</v>
      </c>
      <c r="C58" s="626">
        <v>1</v>
      </c>
      <c r="D58" s="2106">
        <v>1</v>
      </c>
      <c r="E58" s="626">
        <f>'数据-汇总表'!E8+'数据-汇总表'!E9</f>
        <v>190768</v>
      </c>
      <c r="F58" s="627" t="e">
        <f t="shared" ref="F58:F67" si="15">ROUND(B58*E58/10000,0)</f>
        <v>#DIV/0!</v>
      </c>
      <c r="G58" s="3653"/>
      <c r="H58" s="3654"/>
      <c r="I58" s="1493">
        <v>1</v>
      </c>
      <c r="J58" s="1493">
        <v>1</v>
      </c>
      <c r="K58" s="3214"/>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t="e">
        <f>ROUND($C$50*C59*D59,0)</f>
        <v>#DIV/0!</v>
      </c>
      <c r="C59" s="371">
        <f t="shared" ref="C59:C67" si="16">IF($C$57="北京市系数",I59,J59)</f>
        <v>0</v>
      </c>
      <c r="D59" s="2107">
        <v>0.25</v>
      </c>
      <c r="E59" s="630">
        <v>0</v>
      </c>
      <c r="F59" s="627" t="e">
        <f t="shared" si="15"/>
        <v>#DIV/0!</v>
      </c>
      <c r="G59" s="3655" t="s">
        <v>2269</v>
      </c>
      <c r="H59" s="1860">
        <f>项目基本情况!B43</f>
        <v>0</v>
      </c>
      <c r="I59" s="1493">
        <f>SUMIF(修正!$A$45:$A$56,H59,修正!B45:B56)</f>
        <v>0</v>
      </c>
      <c r="J59" s="1494"/>
      <c r="K59" s="3214"/>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t="e">
        <f t="shared" ref="B60:B67" si="17">ROUND($C$50*C60*D60,0)</f>
        <v>#DIV/0!</v>
      </c>
      <c r="C60" s="371">
        <f t="shared" si="16"/>
        <v>0</v>
      </c>
      <c r="D60" s="2107">
        <v>0.25</v>
      </c>
      <c r="E60" s="630">
        <v>0</v>
      </c>
      <c r="F60" s="627" t="e">
        <f t="shared" si="15"/>
        <v>#DIV/0!</v>
      </c>
      <c r="G60" s="3655"/>
      <c r="H60" s="1860">
        <f>项目基本情况!B43</f>
        <v>0</v>
      </c>
      <c r="I60" s="1493">
        <f>SUMIF(修正!$A$45:$A$56,H60,修正!C45:C56)</f>
        <v>0</v>
      </c>
      <c r="J60" s="1494"/>
      <c r="K60" s="3214"/>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t="e">
        <f t="shared" si="17"/>
        <v>#DIV/0!</v>
      </c>
      <c r="C61" s="371">
        <f t="shared" si="16"/>
        <v>0</v>
      </c>
      <c r="D61" s="2107">
        <v>0.25</v>
      </c>
      <c r="E61" s="630">
        <v>0</v>
      </c>
      <c r="F61" s="627" t="e">
        <f t="shared" si="15"/>
        <v>#DIV/0!</v>
      </c>
      <c r="G61" s="3655"/>
      <c r="H61" s="1860">
        <f>项目基本情况!B43</f>
        <v>0</v>
      </c>
      <c r="I61" s="1493">
        <f>SUMIF(修正!$A$45:$A$56,H61,修正!D45:D56)</f>
        <v>0</v>
      </c>
      <c r="J61" s="1494"/>
      <c r="K61" s="3214"/>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t="e">
        <f t="shared" si="17"/>
        <v>#DIV/0!</v>
      </c>
      <c r="C62" s="371">
        <f t="shared" si="16"/>
        <v>0</v>
      </c>
      <c r="D62" s="2107">
        <v>0.25</v>
      </c>
      <c r="E62" s="630">
        <v>0</v>
      </c>
      <c r="F62" s="627" t="e">
        <f t="shared" si="15"/>
        <v>#DIV/0!</v>
      </c>
      <c r="G62" s="3655"/>
      <c r="H62" s="1860">
        <f>项目基本情况!B43</f>
        <v>0</v>
      </c>
      <c r="I62" s="1493">
        <f>SUMIF(修正!$A$45:$A$56,H62,修正!E45:E56)</f>
        <v>0</v>
      </c>
      <c r="J62" s="1494"/>
      <c r="K62" s="3214"/>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2315</v>
      </c>
      <c r="B63" s="629" t="e">
        <f t="shared" si="17"/>
        <v>#DIV/0!</v>
      </c>
      <c r="C63" s="371">
        <f t="shared" si="16"/>
        <v>0</v>
      </c>
      <c r="D63" s="2107">
        <v>0.25</v>
      </c>
      <c r="E63" s="632">
        <f>'数据-汇总表'!E11</f>
        <v>0</v>
      </c>
      <c r="F63" s="627" t="e">
        <f t="shared" si="15"/>
        <v>#DIV/0!</v>
      </c>
      <c r="G63" s="1857" t="s">
        <v>2270</v>
      </c>
      <c r="H63" s="1860">
        <f>项目基本情况!C43</f>
        <v>0</v>
      </c>
      <c r="I63" s="1493">
        <f>SUMIF(修正!$A$45:$A$56,H63,修正!F45:F56)</f>
        <v>0</v>
      </c>
      <c r="J63" s="1494"/>
      <c r="K63" s="3214"/>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t="e">
        <f t="shared" si="17"/>
        <v>#DIV/0!</v>
      </c>
      <c r="C64" s="371">
        <f t="shared" si="16"/>
        <v>0</v>
      </c>
      <c r="D64" s="2107">
        <v>0.25</v>
      </c>
      <c r="E64" s="632">
        <f>'数据-汇总表'!E12</f>
        <v>0</v>
      </c>
      <c r="F64" s="627" t="e">
        <f t="shared" si="15"/>
        <v>#DIV/0!</v>
      </c>
      <c r="G64" s="1858" t="s">
        <v>1668</v>
      </c>
      <c r="H64" s="1856">
        <f>IF(G64="商业",项目基本情况!B43,IF(G64="办公",项目基本情况!C43,IF(G64="住宅",项目基本情况!D43,项目基本情况!E43)))</f>
        <v>0</v>
      </c>
      <c r="I64" s="1493">
        <f>SUMIF(修正!$A$45:$A$56,H64,修正!G45:G56)</f>
        <v>0</v>
      </c>
      <c r="J64" s="1494"/>
      <c r="K64" s="3214"/>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t="e">
        <f t="shared" si="17"/>
        <v>#DIV/0!</v>
      </c>
      <c r="C65" s="371">
        <f t="shared" si="16"/>
        <v>0</v>
      </c>
      <c r="D65" s="2107">
        <v>0.25</v>
      </c>
      <c r="E65" s="632">
        <f>'数据-汇总表'!E13</f>
        <v>0</v>
      </c>
      <c r="F65" s="627" t="e">
        <f t="shared" si="15"/>
        <v>#DIV/0!</v>
      </c>
      <c r="G65" s="1858" t="s">
        <v>914</v>
      </c>
      <c r="H65" s="1856">
        <f>IF(G65="商业",项目基本情况!B43,IF(G65="办公",项目基本情况!C43,IF(G65="住宅",项目基本情况!D43,项目基本情况!E43)))</f>
        <v>0</v>
      </c>
      <c r="I65" s="1493">
        <f>SUMIF(修正!$A$45:$A$56,H65,修正!H45:H56)</f>
        <v>0</v>
      </c>
      <c r="J65" s="1494"/>
      <c r="K65" s="3214"/>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t="e">
        <f t="shared" si="17"/>
        <v>#DIV/0!</v>
      </c>
      <c r="C66" s="371">
        <f t="shared" si="16"/>
        <v>0</v>
      </c>
      <c r="D66" s="2107">
        <v>0.25</v>
      </c>
      <c r="E66" s="632">
        <f>'数据-汇总表'!E14</f>
        <v>0</v>
      </c>
      <c r="F66" s="627" t="e">
        <f t="shared" si="15"/>
        <v>#DIV/0!</v>
      </c>
      <c r="G66" s="1857" t="s">
        <v>2269</v>
      </c>
      <c r="H66" s="1860">
        <f>项目基本情况!B43</f>
        <v>0</v>
      </c>
      <c r="I66" s="1493">
        <f>SUMIF(修正!$A$45:$A$56,H66,修正!H45:H56)</f>
        <v>0</v>
      </c>
      <c r="J66" s="1494"/>
      <c r="K66" s="3214"/>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t="e">
        <f t="shared" si="17"/>
        <v>#DIV/0!</v>
      </c>
      <c r="C67" s="371">
        <f t="shared" si="16"/>
        <v>0</v>
      </c>
      <c r="D67" s="2107">
        <v>0.25</v>
      </c>
      <c r="E67" s="632">
        <f>'数据-汇总表'!E15</f>
        <v>0</v>
      </c>
      <c r="F67" s="627" t="e">
        <f t="shared" si="15"/>
        <v>#DIV/0!</v>
      </c>
      <c r="G67" s="1859" t="s">
        <v>2270</v>
      </c>
      <c r="H67" s="1861">
        <f>项目基本情况!C43</f>
        <v>0</v>
      </c>
      <c r="I67" s="1493">
        <f>SUMIF(修正!$A$45:$A$56,H67,修正!H45:H56)</f>
        <v>0</v>
      </c>
      <c r="J67" s="1494"/>
      <c r="K67" s="3214"/>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2281</v>
      </c>
      <c r="E68" s="634">
        <f>IF(B48="楼面地价",SUM(E58:E67),'数据-汇总表'!D3)</f>
        <v>98307</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3" t="str">
        <f>YEAR(C9)&amp;"-"&amp;MONTH(C9)&amp;"-1"</f>
        <v>2020-10-1</v>
      </c>
      <c r="D70" s="2513">
        <f>EDATE(C70,-3)</f>
        <v>44013</v>
      </c>
      <c r="E70" s="2513">
        <f t="shared" ref="E70:N70" si="18">EDATE(D70,-3)</f>
        <v>43922</v>
      </c>
      <c r="F70" s="2513">
        <f t="shared" si="18"/>
        <v>43831</v>
      </c>
      <c r="G70" s="2513">
        <f t="shared" si="18"/>
        <v>43739</v>
      </c>
      <c r="H70" s="2513">
        <f t="shared" si="18"/>
        <v>43647</v>
      </c>
      <c r="I70" s="2513">
        <f t="shared" si="18"/>
        <v>43556</v>
      </c>
      <c r="J70" s="2513">
        <f t="shared" si="18"/>
        <v>43466</v>
      </c>
      <c r="K70" s="2513">
        <f t="shared" si="18"/>
        <v>43374</v>
      </c>
      <c r="L70" s="2513">
        <f t="shared" si="18"/>
        <v>43282</v>
      </c>
      <c r="M70" s="2513">
        <f t="shared" si="18"/>
        <v>43191</v>
      </c>
      <c r="N70" s="2513">
        <f t="shared" si="18"/>
        <v>43101</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8" t="s">
        <v>2506</v>
      </c>
      <c r="B72" s="2419"/>
      <c r="C72" s="2510" t="str">
        <f>YEAR(C70)&amp;"-"&amp;ROUNDUP(MONTH(C70)/3,0)</f>
        <v>2020-4</v>
      </c>
      <c r="D72" s="2515" t="str">
        <f>YEAR(D70)&amp;"-"&amp;ROUNDUP(MONTH(D70)/3,0)</f>
        <v>2020-3</v>
      </c>
      <c r="E72" s="2515" t="str">
        <f t="shared" ref="E72:N72" si="19">YEAR(E70)&amp;"-"&amp;ROUNDUP(MONTH(E70)/3,0)</f>
        <v>2020-2</v>
      </c>
      <c r="F72" s="2515" t="str">
        <f t="shared" si="19"/>
        <v>2020-1</v>
      </c>
      <c r="G72" s="2515" t="str">
        <f t="shared" si="19"/>
        <v>2019-4</v>
      </c>
      <c r="H72" s="2515" t="str">
        <f t="shared" si="19"/>
        <v>2019-3</v>
      </c>
      <c r="I72" s="2515" t="str">
        <f t="shared" si="19"/>
        <v>2019-2</v>
      </c>
      <c r="J72" s="2515" t="str">
        <f t="shared" si="19"/>
        <v>2019-1</v>
      </c>
      <c r="K72" s="2515" t="str">
        <f t="shared" si="19"/>
        <v>2018-4</v>
      </c>
      <c r="L72" s="2515" t="str">
        <f t="shared" si="19"/>
        <v>2018-3</v>
      </c>
      <c r="M72" s="2515" t="str">
        <f t="shared" si="19"/>
        <v>2018-2</v>
      </c>
      <c r="N72" s="2515" t="str">
        <f t="shared" si="19"/>
        <v>2018-1</v>
      </c>
      <c r="O72" s="2038"/>
      <c r="P72" s="2039"/>
      <c r="Q72" s="2040"/>
      <c r="R72" s="2040"/>
      <c r="S72" s="2040"/>
      <c r="T72" s="2040"/>
      <c r="U72" s="2040"/>
      <c r="V72" s="2040"/>
      <c r="W72" s="2040"/>
      <c r="X72" s="2040"/>
      <c r="Y72" s="2040"/>
      <c r="Z72" s="2040"/>
      <c r="AA72" s="2040"/>
      <c r="AB72" s="2040"/>
      <c r="AC72" s="2040"/>
    </row>
    <row r="73" spans="1:29" s="1201" customFormat="1" ht="27" customHeight="1">
      <c r="A73" s="2520" t="s">
        <v>2620</v>
      </c>
      <c r="B73" s="472" t="str">
        <f>"北京市平均增长率"&amp;TEXT(SUMIF(基准地价!N21:N25,A73,基准地价!P21:P25),"0.00%")</f>
        <v>北京市平均增长率1.73%</v>
      </c>
      <c r="C73" s="882">
        <v>100</v>
      </c>
      <c r="D73" s="721"/>
      <c r="E73" s="721"/>
      <c r="F73" s="721"/>
      <c r="G73" s="721"/>
      <c r="H73" s="721"/>
      <c r="I73" s="721"/>
      <c r="J73" s="721"/>
      <c r="K73" s="721"/>
      <c r="L73" s="721"/>
      <c r="M73" s="2508"/>
      <c r="N73" s="2509"/>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1" t="s">
        <v>2619</v>
      </c>
      <c r="B74" s="2519"/>
      <c r="C74" s="2506"/>
      <c r="D74" s="2507"/>
      <c r="E74" s="2507"/>
      <c r="F74" s="2507"/>
      <c r="G74" s="2507"/>
      <c r="H74" s="2507"/>
      <c r="I74" s="2507"/>
      <c r="J74" s="2507"/>
      <c r="K74" s="2507"/>
      <c r="L74" s="2507"/>
      <c r="M74" s="2507"/>
      <c r="N74" s="2507"/>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2522</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8" t="s">
        <v>2524</v>
      </c>
      <c r="C104" s="2439" t="s">
        <v>2525</v>
      </c>
      <c r="D104" s="2439" t="s">
        <v>2526</v>
      </c>
      <c r="E104" s="2439" t="s">
        <v>2527</v>
      </c>
      <c r="F104" s="2439" t="s">
        <v>2528</v>
      </c>
      <c r="G104" s="2439" t="s">
        <v>2529</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1"/>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2409</v>
      </c>
      <c r="C125" s="1325"/>
      <c r="D125" s="1325"/>
      <c r="E125" s="1325"/>
      <c r="F125" s="1325"/>
      <c r="G125" s="1325"/>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209" priority="18" stopIfTrue="1" operator="containsText" text="超过">
      <formula>NOT(ISERROR(SEARCH("超过",F53)))</formula>
    </cfRule>
  </conditionalFormatting>
  <conditionalFormatting sqref="J55">
    <cfRule type="containsText" dxfId="208" priority="17" stopIfTrue="1" operator="containsText" text="超过">
      <formula>NOT(ISERROR(SEARCH("超过",J55)))</formula>
    </cfRule>
  </conditionalFormatting>
  <conditionalFormatting sqref="H55">
    <cfRule type="containsText" dxfId="207" priority="16" stopIfTrue="1" operator="containsText" text="超过">
      <formula>NOT(ISERROR(SEARCH("超过",H55)))</formula>
    </cfRule>
  </conditionalFormatting>
  <conditionalFormatting sqref="F55">
    <cfRule type="containsText" dxfId="206" priority="15" stopIfTrue="1" operator="containsText" text="超过">
      <formula>NOT(ISERROR(SEARCH("超过",F55)))</formula>
    </cfRule>
  </conditionalFormatting>
  <conditionalFormatting sqref="F54 H54 J54">
    <cfRule type="containsText" dxfId="205" priority="14" stopIfTrue="1" operator="containsText" text="超过">
      <formula>NOT(ISERROR(SEARCH("超过",F54)))</formula>
    </cfRule>
  </conditionalFormatting>
  <conditionalFormatting sqref="E53">
    <cfRule type="expression" dxfId="204" priority="13" stopIfTrue="1">
      <formula>$F$53="超过30%"</formula>
    </cfRule>
  </conditionalFormatting>
  <conditionalFormatting sqref="G55">
    <cfRule type="expression" dxfId="203" priority="12" stopIfTrue="1">
      <formula>$H$55="超过30%"</formula>
    </cfRule>
  </conditionalFormatting>
  <conditionalFormatting sqref="E54">
    <cfRule type="expression" dxfId="202" priority="11" stopIfTrue="1">
      <formula>$F$54="超过20%"</formula>
    </cfRule>
  </conditionalFormatting>
  <conditionalFormatting sqref="E55">
    <cfRule type="expression" dxfId="201" priority="10" stopIfTrue="1">
      <formula>$F$55="超过30%"</formula>
    </cfRule>
  </conditionalFormatting>
  <conditionalFormatting sqref="G53">
    <cfRule type="expression" dxfId="200" priority="9" stopIfTrue="1">
      <formula>$H$55+$H$53="超过30%"</formula>
    </cfRule>
  </conditionalFormatting>
  <conditionalFormatting sqref="G54">
    <cfRule type="expression" dxfId="199" priority="8" stopIfTrue="1">
      <formula>$H$54="超过20%"</formula>
    </cfRule>
  </conditionalFormatting>
  <conditionalFormatting sqref="I53">
    <cfRule type="expression" dxfId="198" priority="7" stopIfTrue="1">
      <formula>$J$53="超过30%"</formula>
    </cfRule>
  </conditionalFormatting>
  <conditionalFormatting sqref="I54">
    <cfRule type="expression" dxfId="197" priority="6" stopIfTrue="1">
      <formula>$J$54="超过20%"</formula>
    </cfRule>
  </conditionalFormatting>
  <conditionalFormatting sqref="I55">
    <cfRule type="expression" dxfId="196" priority="5" stopIfTrue="1">
      <formula>$J$55="超过30%"</formula>
    </cfRule>
  </conditionalFormatting>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F9:F47 H9:H47 J9:J47">
    <cfRule type="cellIs" dxfId="19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461</v>
      </c>
      <c r="B2" s="501" t="e">
        <f>F63</f>
        <v>#DIV/0!</v>
      </c>
      <c r="C2" s="3217"/>
      <c r="D2" s="3217"/>
      <c r="E2" s="3217"/>
      <c r="F2" s="3218"/>
      <c r="G2" s="3217"/>
      <c r="H2" s="3217"/>
      <c r="I2" s="3217"/>
      <c r="J2" s="3217"/>
      <c r="K2" s="3219"/>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c r="A3" s="1330" t="s">
        <v>1675</v>
      </c>
      <c r="B3" s="503" t="e">
        <f>ROUND(B2*10000/'数据-汇总表'!E3,0)</f>
        <v>#DIV/0!</v>
      </c>
      <c r="C3" s="3216"/>
      <c r="D3" s="3216"/>
      <c r="E3" s="3216"/>
      <c r="F3" s="3216"/>
      <c r="G3" s="3217"/>
      <c r="H3" s="3217"/>
      <c r="I3" s="3217"/>
      <c r="J3" s="3217"/>
      <c r="K3" s="3219"/>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6"/>
      <c r="D4" s="3216"/>
      <c r="E4" s="3216"/>
      <c r="F4" s="3216"/>
      <c r="G4" s="3217"/>
      <c r="H4" s="3217"/>
      <c r="I4" s="3217"/>
      <c r="J4" s="3217"/>
      <c r="K4" s="3219"/>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6"/>
      <c r="E5" s="3216"/>
      <c r="F5" s="3216"/>
      <c r="G5" s="3217"/>
      <c r="H5" s="3217"/>
      <c r="I5" s="3217"/>
      <c r="J5" s="3217"/>
      <c r="K5" s="3219"/>
      <c r="L5" s="2011"/>
      <c r="M5" s="2012"/>
      <c r="N5" s="2012"/>
      <c r="O5" s="2012"/>
      <c r="P5" s="2012"/>
      <c r="Q5" s="2012"/>
      <c r="R5" s="2012"/>
      <c r="S5" s="2012"/>
      <c r="T5" s="2012"/>
      <c r="U5" s="2012"/>
      <c r="V5" s="2012"/>
      <c r="W5" s="2012"/>
      <c r="X5" s="2012"/>
      <c r="Y5" s="2012"/>
      <c r="Z5" s="2012"/>
      <c r="AA5" s="2012"/>
      <c r="AB5" s="3208"/>
      <c r="AC5" s="1942"/>
    </row>
    <row r="6" spans="1:29" ht="15">
      <c r="A6" s="505" t="s">
        <v>515</v>
      </c>
      <c r="B6" s="506"/>
      <c r="C6" s="3631" t="s">
        <v>516</v>
      </c>
      <c r="D6" s="3632"/>
      <c r="E6" s="3665" t="s">
        <v>517</v>
      </c>
      <c r="F6" s="3666"/>
      <c r="G6" s="3631" t="s">
        <v>518</v>
      </c>
      <c r="H6" s="3632"/>
      <c r="I6" s="3631" t="s">
        <v>519</v>
      </c>
      <c r="J6" s="3632"/>
      <c r="K6" s="507" t="s">
        <v>520</v>
      </c>
      <c r="L6" s="2013"/>
      <c r="M6" s="2014"/>
      <c r="N6" s="2014"/>
      <c r="O6" s="2014"/>
      <c r="P6" s="3633" t="s">
        <v>521</v>
      </c>
      <c r="Q6" s="3634"/>
      <c r="R6" s="3639" t="s">
        <v>517</v>
      </c>
      <c r="S6" s="3640"/>
      <c r="T6" s="3639" t="s">
        <v>518</v>
      </c>
      <c r="U6" s="3640"/>
      <c r="V6" s="3626" t="s">
        <v>519</v>
      </c>
      <c r="W6" s="3626"/>
      <c r="X6" s="1500"/>
      <c r="Y6" s="3639" t="s">
        <v>521</v>
      </c>
      <c r="Z6" s="3640"/>
      <c r="AA6" s="3628" t="s">
        <v>517</v>
      </c>
      <c r="AB6" s="3629" t="s">
        <v>518</v>
      </c>
      <c r="AC6" s="3628" t="s">
        <v>519</v>
      </c>
    </row>
    <row r="7" spans="1:29" ht="15">
      <c r="A7" s="508"/>
      <c r="B7" s="509"/>
      <c r="C7" s="3647" t="s">
        <v>2886</v>
      </c>
      <c r="D7" s="3648"/>
      <c r="E7" s="3667" t="s">
        <v>2887</v>
      </c>
      <c r="F7" s="3668"/>
      <c r="G7" s="3647" t="s">
        <v>2888</v>
      </c>
      <c r="H7" s="3648"/>
      <c r="I7" s="3647" t="s">
        <v>2889</v>
      </c>
      <c r="J7" s="3648"/>
      <c r="K7" s="507"/>
      <c r="L7" s="2013"/>
      <c r="M7" s="2014"/>
      <c r="N7" s="2014"/>
      <c r="O7" s="2014"/>
      <c r="P7" s="3635"/>
      <c r="Q7" s="3636"/>
      <c r="R7" s="3641"/>
      <c r="S7" s="3642"/>
      <c r="T7" s="3641"/>
      <c r="U7" s="3642"/>
      <c r="V7" s="3626"/>
      <c r="W7" s="3626"/>
      <c r="X7" s="1500"/>
      <c r="Y7" s="3641"/>
      <c r="Z7" s="3642"/>
      <c r="AA7" s="3629"/>
      <c r="AB7" s="3629"/>
      <c r="AC7" s="3629"/>
    </row>
    <row r="8" spans="1:29" ht="15.75" thickBot="1">
      <c r="A8" s="510"/>
      <c r="B8" s="511"/>
      <c r="C8" s="3645" t="s">
        <v>2890</v>
      </c>
      <c r="D8" s="3646"/>
      <c r="E8" s="3663" t="s">
        <v>2890</v>
      </c>
      <c r="F8" s="3664"/>
      <c r="G8" s="3645" t="s">
        <v>2890</v>
      </c>
      <c r="H8" s="3646"/>
      <c r="I8" s="3645" t="s">
        <v>2890</v>
      </c>
      <c r="J8" s="3646"/>
      <c r="K8" s="507" t="s">
        <v>522</v>
      </c>
      <c r="L8" s="2013"/>
      <c r="M8" s="2014"/>
      <c r="N8" s="2014"/>
      <c r="O8" s="2014"/>
      <c r="P8" s="3637"/>
      <c r="Q8" s="3638"/>
      <c r="R8" s="3641"/>
      <c r="S8" s="3642"/>
      <c r="T8" s="3643"/>
      <c r="U8" s="3644"/>
      <c r="V8" s="3626"/>
      <c r="W8" s="3626"/>
      <c r="X8" s="1500"/>
      <c r="Y8" s="3643"/>
      <c r="Z8" s="3644"/>
      <c r="AA8" s="3630"/>
      <c r="AB8" s="3630"/>
      <c r="AC8" s="3630"/>
    </row>
    <row r="9" spans="1:29" s="1201" customFormat="1" ht="15.75" thickBot="1">
      <c r="A9" s="2626"/>
      <c r="B9" s="2633" t="s">
        <v>523</v>
      </c>
      <c r="C9" s="512">
        <f>'数据-取费表'!B2</f>
        <v>44125</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656" t="s">
        <v>524</v>
      </c>
      <c r="Q9" s="3658"/>
      <c r="R9" s="1501" t="s">
        <v>8</v>
      </c>
      <c r="S9" s="1502">
        <f t="shared" ref="S9:S17" si="0">F9</f>
        <v>0</v>
      </c>
      <c r="T9" s="1501" t="s">
        <v>8</v>
      </c>
      <c r="U9" s="1502">
        <f t="shared" ref="U9:U17" si="1">H9</f>
        <v>0</v>
      </c>
      <c r="V9" s="1501" t="s">
        <v>8</v>
      </c>
      <c r="W9" s="1502">
        <f t="shared" ref="W9:W17" si="2">J9</f>
        <v>0</v>
      </c>
      <c r="X9" s="1503"/>
      <c r="Y9" s="3656" t="s">
        <v>524</v>
      </c>
      <c r="Z9" s="3657"/>
      <c r="AA9" s="1504" t="e">
        <f>D9/F9</f>
        <v>#DIV/0!</v>
      </c>
      <c r="AB9" s="1504" t="e">
        <f>D9/H9</f>
        <v>#DIV/0!</v>
      </c>
      <c r="AC9" s="1504" t="e">
        <f>D9/J9</f>
        <v>#DIV/0!</v>
      </c>
    </row>
    <row r="10" spans="1:29" s="1201" customFormat="1" ht="15.75" thickBot="1">
      <c r="A10" s="2627"/>
      <c r="B10" s="2634"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656" t="s">
        <v>527</v>
      </c>
      <c r="Q10" s="3657"/>
      <c r="R10" s="1501" t="s">
        <v>8</v>
      </c>
      <c r="S10" s="1502">
        <f t="shared" si="0"/>
        <v>0</v>
      </c>
      <c r="T10" s="1501" t="s">
        <v>8</v>
      </c>
      <c r="U10" s="1502">
        <f t="shared" si="1"/>
        <v>0</v>
      </c>
      <c r="V10" s="1501" t="s">
        <v>8</v>
      </c>
      <c r="W10" s="1502">
        <f t="shared" si="2"/>
        <v>0</v>
      </c>
      <c r="X10" s="1503"/>
      <c r="Y10" s="3656" t="s">
        <v>527</v>
      </c>
      <c r="Z10" s="3657"/>
      <c r="AA10" s="1504" t="e">
        <f t="shared" ref="AA10:AA42" si="3">D10/F10</f>
        <v>#DIV/0!</v>
      </c>
      <c r="AB10" s="1504" t="e">
        <f t="shared" ref="AB10:AB42" si="4">D10/H10</f>
        <v>#DIV/0!</v>
      </c>
      <c r="AC10" s="1504" t="e">
        <f t="shared" ref="AC10:AC42" si="5">D10/J10</f>
        <v>#DIV/0!</v>
      </c>
    </row>
    <row r="11" spans="1:29" s="1201" customFormat="1" ht="15">
      <c r="A11" s="2628"/>
      <c r="B11" s="2635" t="s">
        <v>2729</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625" t="s">
        <v>529</v>
      </c>
      <c r="Q11" s="1132" t="str">
        <f t="shared" ref="Q11:Q17" si="6">B11</f>
        <v>用途</v>
      </c>
      <c r="R11" s="1501" t="s">
        <v>8</v>
      </c>
      <c r="S11" s="1502">
        <f t="shared" si="0"/>
        <v>100</v>
      </c>
      <c r="T11" s="1501" t="s">
        <v>8</v>
      </c>
      <c r="U11" s="1502">
        <f t="shared" si="1"/>
        <v>100</v>
      </c>
      <c r="V11" s="1501" t="s">
        <v>8</v>
      </c>
      <c r="W11" s="1502">
        <f t="shared" si="2"/>
        <v>100</v>
      </c>
      <c r="X11" s="1503"/>
      <c r="Y11" s="3530" t="s">
        <v>530</v>
      </c>
      <c r="Z11" s="1131" t="str">
        <f t="shared" ref="Z11:Z17" si="7">Q11</f>
        <v>用途</v>
      </c>
      <c r="AA11" s="1504">
        <f t="shared" si="3"/>
        <v>1</v>
      </c>
      <c r="AB11" s="1504">
        <f t="shared" si="4"/>
        <v>1</v>
      </c>
      <c r="AC11" s="1504">
        <f t="shared" si="5"/>
        <v>1</v>
      </c>
    </row>
    <row r="12" spans="1:29" s="1290" customFormat="1" ht="27">
      <c r="A12" s="2629"/>
      <c r="B12" s="2634" t="s">
        <v>2730</v>
      </c>
      <c r="C12" s="521"/>
      <c r="D12" s="252">
        <v>100</v>
      </c>
      <c r="E12" s="521"/>
      <c r="F12" s="252">
        <f>ROUND(100/'数据-取费表'!G16,0)</f>
        <v>100</v>
      </c>
      <c r="G12" s="521"/>
      <c r="H12" s="252">
        <f>ROUND(100/'数据-取费表'!G16,0)</f>
        <v>100</v>
      </c>
      <c r="I12" s="521"/>
      <c r="J12" s="252">
        <f>ROUND(100/'数据-取费表'!G16,0)</f>
        <v>100</v>
      </c>
      <c r="K12" s="524"/>
      <c r="L12" s="2018"/>
      <c r="M12" s="2057"/>
      <c r="N12" s="2057"/>
      <c r="O12" s="2019"/>
      <c r="P12" s="3625"/>
      <c r="Q12" s="1132" t="str">
        <f t="shared" si="6"/>
        <v>土地使用年限（年）</v>
      </c>
      <c r="R12" s="1501" t="s">
        <v>8</v>
      </c>
      <c r="S12" s="1502">
        <f t="shared" si="0"/>
        <v>100</v>
      </c>
      <c r="T12" s="1501" t="s">
        <v>8</v>
      </c>
      <c r="U12" s="1502">
        <f t="shared" si="1"/>
        <v>100</v>
      </c>
      <c r="V12" s="1501" t="s">
        <v>8</v>
      </c>
      <c r="W12" s="1502">
        <f t="shared" si="2"/>
        <v>100</v>
      </c>
      <c r="X12" s="1503"/>
      <c r="Y12" s="3530"/>
      <c r="Z12" s="1131" t="str">
        <f t="shared" si="7"/>
        <v>土地使用年限（年）</v>
      </c>
      <c r="AA12" s="1504">
        <f t="shared" si="3"/>
        <v>1</v>
      </c>
      <c r="AB12" s="1504">
        <f t="shared" si="4"/>
        <v>1</v>
      </c>
      <c r="AC12" s="1504">
        <f t="shared" si="5"/>
        <v>1</v>
      </c>
    </row>
    <row r="13" spans="1:29" ht="15">
      <c r="A13" s="2630"/>
      <c r="B13" s="2634" t="s">
        <v>2731</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625"/>
      <c r="Q13" s="1132" t="str">
        <f t="shared" si="6"/>
        <v>容积率</v>
      </c>
      <c r="R13" s="1501" t="s">
        <v>8</v>
      </c>
      <c r="S13" s="1502" t="e">
        <f t="shared" si="0"/>
        <v>#N/A</v>
      </c>
      <c r="T13" s="1501" t="s">
        <v>8</v>
      </c>
      <c r="U13" s="1502" t="e">
        <f t="shared" si="1"/>
        <v>#N/A</v>
      </c>
      <c r="V13" s="1501" t="s">
        <v>8</v>
      </c>
      <c r="W13" s="1502" t="e">
        <f t="shared" si="2"/>
        <v>#N/A</v>
      </c>
      <c r="X13" s="1503"/>
      <c r="Y13" s="3530"/>
      <c r="Z13" s="1131" t="str">
        <f t="shared" si="7"/>
        <v>容积率</v>
      </c>
      <c r="AA13" s="1504" t="e">
        <f t="shared" si="3"/>
        <v>#N/A</v>
      </c>
      <c r="AB13" s="1504" t="e">
        <f t="shared" si="4"/>
        <v>#N/A</v>
      </c>
      <c r="AC13" s="1504" t="e">
        <f t="shared" si="5"/>
        <v>#N/A</v>
      </c>
    </row>
    <row r="14" spans="1:29" s="1201" customFormat="1" ht="15">
      <c r="A14" s="2631"/>
      <c r="B14" s="2637">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625"/>
      <c r="Q14" s="1132">
        <f t="shared" si="6"/>
        <v>111</v>
      </c>
      <c r="R14" s="1501" t="s">
        <v>8</v>
      </c>
      <c r="S14" s="1502">
        <f t="shared" si="0"/>
        <v>100</v>
      </c>
      <c r="T14" s="1501" t="s">
        <v>8</v>
      </c>
      <c r="U14" s="1502">
        <f t="shared" si="1"/>
        <v>100</v>
      </c>
      <c r="V14" s="1501" t="s">
        <v>8</v>
      </c>
      <c r="W14" s="1502">
        <f t="shared" si="2"/>
        <v>100</v>
      </c>
      <c r="X14" s="1503"/>
      <c r="Y14" s="3530"/>
      <c r="Z14" s="1131">
        <f t="shared" si="7"/>
        <v>111</v>
      </c>
      <c r="AA14" s="1504">
        <f>D14/F14</f>
        <v>1</v>
      </c>
      <c r="AB14" s="1504">
        <f>D14/H14</f>
        <v>1</v>
      </c>
      <c r="AC14" s="1504">
        <f>D14/J14</f>
        <v>1</v>
      </c>
    </row>
    <row r="15" spans="1:29" ht="15">
      <c r="A15" s="2631"/>
      <c r="B15" s="2637">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625"/>
      <c r="Q15" s="1132">
        <f t="shared" si="6"/>
        <v>111</v>
      </c>
      <c r="R15" s="1501" t="s">
        <v>8</v>
      </c>
      <c r="S15" s="1502">
        <f t="shared" si="0"/>
        <v>100</v>
      </c>
      <c r="T15" s="1501" t="s">
        <v>8</v>
      </c>
      <c r="U15" s="1502">
        <f t="shared" si="1"/>
        <v>100</v>
      </c>
      <c r="V15" s="1501" t="s">
        <v>8</v>
      </c>
      <c r="W15" s="1502">
        <f t="shared" si="2"/>
        <v>100</v>
      </c>
      <c r="X15" s="1503"/>
      <c r="Y15" s="3530"/>
      <c r="Z15" s="1131">
        <f t="shared" si="7"/>
        <v>111</v>
      </c>
      <c r="AA15" s="1504">
        <f t="shared" si="3"/>
        <v>1</v>
      </c>
      <c r="AB15" s="1504">
        <f t="shared" si="4"/>
        <v>1</v>
      </c>
      <c r="AC15" s="1504">
        <f t="shared" si="5"/>
        <v>1</v>
      </c>
    </row>
    <row r="16" spans="1:29" ht="15.75" thickBot="1">
      <c r="A16" s="2632"/>
      <c r="B16" s="2638">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625"/>
      <c r="Q16" s="1132">
        <f t="shared" si="6"/>
        <v>111</v>
      </c>
      <c r="R16" s="1501" t="s">
        <v>8</v>
      </c>
      <c r="S16" s="1502">
        <f t="shared" si="0"/>
        <v>100</v>
      </c>
      <c r="T16" s="1501" t="s">
        <v>8</v>
      </c>
      <c r="U16" s="1502">
        <f t="shared" si="1"/>
        <v>100</v>
      </c>
      <c r="V16" s="1501" t="s">
        <v>8</v>
      </c>
      <c r="W16" s="1502">
        <f t="shared" si="2"/>
        <v>100</v>
      </c>
      <c r="X16" s="1503"/>
      <c r="Y16" s="3530"/>
      <c r="Z16" s="1131">
        <f t="shared" si="7"/>
        <v>111</v>
      </c>
      <c r="AA16" s="1504">
        <f t="shared" si="3"/>
        <v>1</v>
      </c>
      <c r="AB16" s="1504">
        <f t="shared" si="4"/>
        <v>1</v>
      </c>
      <c r="AC16" s="1504">
        <f t="shared" si="5"/>
        <v>1</v>
      </c>
    </row>
    <row r="17" spans="1:29" ht="57">
      <c r="A17" s="2624" t="s">
        <v>2727</v>
      </c>
      <c r="B17" s="163"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659" t="s">
        <v>534</v>
      </c>
      <c r="Q17" s="1505" t="str">
        <f t="shared" si="6"/>
        <v>产业集聚程度</v>
      </c>
      <c r="R17" s="1506" t="s">
        <v>8</v>
      </c>
      <c r="S17" s="1507">
        <f t="shared" si="0"/>
        <v>100</v>
      </c>
      <c r="T17" s="1506" t="s">
        <v>8</v>
      </c>
      <c r="U17" s="1507">
        <f t="shared" si="1"/>
        <v>100</v>
      </c>
      <c r="V17" s="1506" t="s">
        <v>8</v>
      </c>
      <c r="W17" s="1507">
        <f t="shared" si="2"/>
        <v>100</v>
      </c>
      <c r="X17" s="1500"/>
      <c r="Y17" s="3659"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660"/>
      <c r="Q18" s="1505"/>
      <c r="R18" s="1506"/>
      <c r="S18" s="1507"/>
      <c r="T18" s="1506"/>
      <c r="U18" s="1507"/>
      <c r="V18" s="1506"/>
      <c r="W18" s="1507"/>
      <c r="X18" s="1500"/>
      <c r="Y18" s="3660"/>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660"/>
      <c r="Q19" s="1505" t="str">
        <f>B19</f>
        <v>交通便捷度</v>
      </c>
      <c r="R19" s="1506" t="s">
        <v>8</v>
      </c>
      <c r="S19" s="1507">
        <f>F19</f>
        <v>100</v>
      </c>
      <c r="T19" s="1506" t="s">
        <v>8</v>
      </c>
      <c r="U19" s="1507">
        <f>H19</f>
        <v>100</v>
      </c>
      <c r="V19" s="1506" t="s">
        <v>8</v>
      </c>
      <c r="W19" s="1507">
        <f>J19</f>
        <v>100</v>
      </c>
      <c r="X19" s="1500"/>
      <c r="Y19" s="3660"/>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2"/>
      <c r="M20" s="2014"/>
      <c r="N20" s="2014"/>
      <c r="O20" s="2021"/>
      <c r="P20" s="3660"/>
      <c r="Q20" s="1505"/>
      <c r="R20" s="1506"/>
      <c r="S20" s="1507"/>
      <c r="T20" s="1506"/>
      <c r="U20" s="1507"/>
      <c r="V20" s="1506"/>
      <c r="W20" s="1507"/>
      <c r="X20" s="1500"/>
      <c r="Y20" s="3660"/>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3"/>
      <c r="L21" s="2022"/>
      <c r="M21" s="2014"/>
      <c r="N21" s="2014"/>
      <c r="O21" s="2021"/>
      <c r="P21" s="3660"/>
      <c r="Q21" s="1505" t="str">
        <f t="shared" ref="Q21:Q35" si="8">B21</f>
        <v>区域土地利用方向</v>
      </c>
      <c r="R21" s="1506" t="s">
        <v>8</v>
      </c>
      <c r="S21" s="1507">
        <f>F21</f>
        <v>100</v>
      </c>
      <c r="T21" s="1506" t="s">
        <v>8</v>
      </c>
      <c r="U21" s="1507">
        <f>H21</f>
        <v>100</v>
      </c>
      <c r="V21" s="1506" t="s">
        <v>8</v>
      </c>
      <c r="W21" s="1507">
        <f>J21</f>
        <v>100</v>
      </c>
      <c r="X21" s="1500"/>
      <c r="Y21" s="3660"/>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2"/>
      <c r="M22" s="2014"/>
      <c r="N22" s="2014"/>
      <c r="O22" s="2021"/>
      <c r="P22" s="3660"/>
      <c r="Q22" s="1505"/>
      <c r="R22" s="1506"/>
      <c r="S22" s="1507"/>
      <c r="T22" s="1506"/>
      <c r="U22" s="1507"/>
      <c r="V22" s="1506"/>
      <c r="W22" s="1507"/>
      <c r="X22" s="1500"/>
      <c r="Y22" s="3660"/>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660"/>
      <c r="Q23" s="1505" t="str">
        <f t="shared" si="8"/>
        <v>环境状况</v>
      </c>
      <c r="R23" s="1506" t="s">
        <v>8</v>
      </c>
      <c r="S23" s="1507">
        <f>F23</f>
        <v>100</v>
      </c>
      <c r="T23" s="1506" t="s">
        <v>8</v>
      </c>
      <c r="U23" s="1507">
        <f>H23</f>
        <v>100</v>
      </c>
      <c r="V23" s="1506" t="s">
        <v>8</v>
      </c>
      <c r="W23" s="1507">
        <f>J23</f>
        <v>100</v>
      </c>
      <c r="X23" s="1500"/>
      <c r="Y23" s="3660"/>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660"/>
      <c r="Q24" s="1505"/>
      <c r="R24" s="1506"/>
      <c r="S24" s="1507"/>
      <c r="T24" s="1506"/>
      <c r="U24" s="1507"/>
      <c r="V24" s="1506"/>
      <c r="W24" s="1507"/>
      <c r="X24" s="1500"/>
      <c r="Y24" s="3660"/>
      <c r="Z24" s="1508"/>
      <c r="AA24" s="1509">
        <v>1</v>
      </c>
      <c r="AB24" s="1509">
        <v>1</v>
      </c>
      <c r="AC24" s="1509">
        <v>1</v>
      </c>
    </row>
    <row r="25" spans="1:29" s="1201" customFormat="1" ht="42.75">
      <c r="A25" s="570"/>
      <c r="B25" s="2434" t="s">
        <v>2522</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660"/>
      <c r="Q25" s="1132" t="str">
        <f t="shared" si="8"/>
        <v>公共配套设施</v>
      </c>
      <c r="R25" s="1501" t="s">
        <v>8</v>
      </c>
      <c r="S25" s="1502">
        <f>F25</f>
        <v>100</v>
      </c>
      <c r="T25" s="1501" t="s">
        <v>8</v>
      </c>
      <c r="U25" s="1502">
        <f>H25</f>
        <v>100</v>
      </c>
      <c r="V25" s="1501" t="s">
        <v>8</v>
      </c>
      <c r="W25" s="1502">
        <f>J25</f>
        <v>100</v>
      </c>
      <c r="X25" s="1503"/>
      <c r="Y25" s="3660"/>
      <c r="Z25" s="1131" t="str">
        <f>Q25</f>
        <v>公共配套设施</v>
      </c>
      <c r="AA25" s="1509">
        <f>D25/F25</f>
        <v>1</v>
      </c>
      <c r="AB25" s="1509">
        <f>D25/H25</f>
        <v>1</v>
      </c>
      <c r="AC25" s="1509">
        <f>D25/J25</f>
        <v>1</v>
      </c>
    </row>
    <row r="26" spans="1:29" s="1201" customFormat="1" ht="15">
      <c r="A26" s="570"/>
      <c r="B26" s="588"/>
      <c r="C26" s="2433"/>
      <c r="D26" s="548"/>
      <c r="E26" s="547"/>
      <c r="F26" s="548"/>
      <c r="G26" s="547"/>
      <c r="H26" s="548"/>
      <c r="I26" s="569"/>
      <c r="J26" s="548"/>
      <c r="K26" s="524"/>
      <c r="L26" s="2015"/>
      <c r="M26" s="2016"/>
      <c r="N26" s="2016"/>
      <c r="O26" s="2017"/>
      <c r="P26" s="3660"/>
      <c r="Q26" s="1132"/>
      <c r="R26" s="1501"/>
      <c r="S26" s="1502"/>
      <c r="T26" s="1501"/>
      <c r="U26" s="1502"/>
      <c r="V26" s="1501"/>
      <c r="W26" s="1502"/>
      <c r="X26" s="1503"/>
      <c r="Y26" s="3660"/>
      <c r="Z26" s="1131"/>
      <c r="AA26" s="1504">
        <v>1</v>
      </c>
      <c r="AB26" s="1504">
        <v>1</v>
      </c>
      <c r="AC26" s="1504">
        <v>1</v>
      </c>
    </row>
    <row r="27" spans="1:29" s="1201" customFormat="1" ht="28.5">
      <c r="A27" s="570"/>
      <c r="B27" s="2434" t="s">
        <v>2523</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660"/>
      <c r="Q27" s="2425" t="str">
        <f t="shared" ref="Q27" si="9">B27</f>
        <v>基础设施水平</v>
      </c>
      <c r="R27" s="1501" t="s">
        <v>8</v>
      </c>
      <c r="S27" s="1502">
        <f>F27</f>
        <v>100</v>
      </c>
      <c r="T27" s="1501" t="s">
        <v>8</v>
      </c>
      <c r="U27" s="1502">
        <f>H27</f>
        <v>100</v>
      </c>
      <c r="V27" s="1501" t="s">
        <v>8</v>
      </c>
      <c r="W27" s="1502">
        <f>J27</f>
        <v>100</v>
      </c>
      <c r="X27" s="1503"/>
      <c r="Y27" s="3660"/>
      <c r="Z27" s="2424" t="str">
        <f>Q27</f>
        <v>基础设施水平</v>
      </c>
      <c r="AA27" s="1509">
        <f>D27/F27</f>
        <v>1</v>
      </c>
      <c r="AB27" s="1509">
        <f>D27/H27</f>
        <v>1</v>
      </c>
      <c r="AC27" s="1509">
        <f>D27/J27</f>
        <v>1</v>
      </c>
    </row>
    <row r="28" spans="1:29" s="1201" customFormat="1" ht="15">
      <c r="A28" s="570"/>
      <c r="B28" s="588"/>
      <c r="C28" s="2433"/>
      <c r="D28" s="548"/>
      <c r="E28" s="572"/>
      <c r="F28" s="548"/>
      <c r="G28" s="572"/>
      <c r="H28" s="548"/>
      <c r="I28" s="572"/>
      <c r="J28" s="548"/>
      <c r="K28" s="524"/>
      <c r="L28" s="2015"/>
      <c r="M28" s="2016"/>
      <c r="N28" s="2016"/>
      <c r="O28" s="2017"/>
      <c r="P28" s="3660"/>
      <c r="Q28" s="2425"/>
      <c r="R28" s="1501"/>
      <c r="S28" s="1502"/>
      <c r="T28" s="1501"/>
      <c r="U28" s="1502"/>
      <c r="V28" s="1501"/>
      <c r="W28" s="1502"/>
      <c r="X28" s="1503"/>
      <c r="Y28" s="3660"/>
      <c r="Z28" s="2424"/>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66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60"/>
      <c r="Z29" s="1508" t="str">
        <f t="shared" ref="Z29:Z42" si="13">Q29</f>
        <v>临街状况</v>
      </c>
      <c r="AA29" s="1509">
        <f t="shared" si="3"/>
        <v>1</v>
      </c>
      <c r="AB29" s="1509">
        <f t="shared" si="4"/>
        <v>1</v>
      </c>
      <c r="AC29" s="1509">
        <f t="shared" si="5"/>
        <v>1</v>
      </c>
    </row>
    <row r="30" spans="1:29" ht="27">
      <c r="A30" s="525"/>
      <c r="B30" s="910" t="s">
        <v>542</v>
      </c>
      <c r="C30" s="2436">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660"/>
      <c r="Q30" s="1505" t="str">
        <f t="shared" si="8"/>
        <v>毗邻道路的类型与等级</v>
      </c>
      <c r="R30" s="1506" t="s">
        <v>8</v>
      </c>
      <c r="S30" s="1507">
        <f t="shared" si="10"/>
        <v>100</v>
      </c>
      <c r="T30" s="1506" t="s">
        <v>8</v>
      </c>
      <c r="U30" s="1507">
        <f t="shared" si="11"/>
        <v>100</v>
      </c>
      <c r="V30" s="1506" t="s">
        <v>8</v>
      </c>
      <c r="W30" s="1507">
        <f t="shared" si="12"/>
        <v>100</v>
      </c>
      <c r="X30" s="1500"/>
      <c r="Y30" s="3660"/>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660"/>
      <c r="Q31" s="1505"/>
      <c r="R31" s="1506"/>
      <c r="S31" s="1507"/>
      <c r="T31" s="1506"/>
      <c r="U31" s="1507"/>
      <c r="V31" s="1506"/>
      <c r="W31" s="1507"/>
      <c r="X31" s="1500"/>
      <c r="Y31" s="3660"/>
      <c r="Z31" s="1508"/>
      <c r="AA31" s="1509">
        <v>1</v>
      </c>
      <c r="AB31" s="1509">
        <v>1</v>
      </c>
      <c r="AC31" s="1509">
        <v>1</v>
      </c>
    </row>
    <row r="32" spans="1:29" ht="15">
      <c r="A32" s="525"/>
      <c r="B32" s="520" t="s">
        <v>543</v>
      </c>
      <c r="C32" s="2437">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660"/>
      <c r="Q32" s="1505" t="str">
        <f t="shared" si="8"/>
        <v>土地级别</v>
      </c>
      <c r="R32" s="1506" t="s">
        <v>8</v>
      </c>
      <c r="S32" s="1507">
        <f t="shared" si="10"/>
        <v>100</v>
      </c>
      <c r="T32" s="1506" t="s">
        <v>8</v>
      </c>
      <c r="U32" s="1507">
        <f t="shared" si="11"/>
        <v>100</v>
      </c>
      <c r="V32" s="1506" t="s">
        <v>8</v>
      </c>
      <c r="W32" s="1507">
        <f t="shared" si="12"/>
        <v>100</v>
      </c>
      <c r="X32" s="1500"/>
      <c r="Y32" s="3660"/>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660"/>
      <c r="Q33" s="1505">
        <f t="shared" si="8"/>
        <v>111</v>
      </c>
      <c r="R33" s="1506" t="s">
        <v>8</v>
      </c>
      <c r="S33" s="1507">
        <f t="shared" si="10"/>
        <v>100</v>
      </c>
      <c r="T33" s="1506" t="s">
        <v>8</v>
      </c>
      <c r="U33" s="1507">
        <f t="shared" si="11"/>
        <v>100</v>
      </c>
      <c r="V33" s="1506" t="s">
        <v>8</v>
      </c>
      <c r="W33" s="1507">
        <f t="shared" si="12"/>
        <v>100</v>
      </c>
      <c r="X33" s="1500"/>
      <c r="Y33" s="3660"/>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661" t="s">
        <v>544</v>
      </c>
      <c r="Q34" s="1505">
        <f t="shared" si="8"/>
        <v>111</v>
      </c>
      <c r="R34" s="1506" t="s">
        <v>8</v>
      </c>
      <c r="S34" s="1507">
        <f t="shared" si="10"/>
        <v>100</v>
      </c>
      <c r="T34" s="1506" t="s">
        <v>8</v>
      </c>
      <c r="U34" s="1507">
        <f t="shared" si="11"/>
        <v>100</v>
      </c>
      <c r="V34" s="1506" t="s">
        <v>8</v>
      </c>
      <c r="W34" s="1507">
        <f t="shared" si="12"/>
        <v>100</v>
      </c>
      <c r="X34" s="1500"/>
      <c r="Y34" s="3662" t="s">
        <v>544</v>
      </c>
      <c r="Z34" s="1508">
        <f t="shared" si="13"/>
        <v>111</v>
      </c>
      <c r="AA34" s="1509">
        <f t="shared" si="3"/>
        <v>1</v>
      </c>
      <c r="AB34" s="1509">
        <f t="shared" si="4"/>
        <v>1</v>
      </c>
      <c r="AC34" s="1509">
        <f t="shared" si="5"/>
        <v>1</v>
      </c>
    </row>
    <row r="35" spans="1:29" s="1291" customFormat="1" ht="15.75" thickBot="1">
      <c r="A35" s="582"/>
      <c r="B35" s="2435">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662"/>
      <c r="Q35" s="1505">
        <f t="shared" si="8"/>
        <v>111</v>
      </c>
      <c r="R35" s="1510" t="s">
        <v>8</v>
      </c>
      <c r="S35" s="1511">
        <f t="shared" si="10"/>
        <v>100</v>
      </c>
      <c r="T35" s="1510" t="s">
        <v>8</v>
      </c>
      <c r="U35" s="1511">
        <f t="shared" si="11"/>
        <v>100</v>
      </c>
      <c r="V35" s="1510" t="s">
        <v>8</v>
      </c>
      <c r="W35" s="1511">
        <f t="shared" si="12"/>
        <v>100</v>
      </c>
      <c r="X35" s="1512"/>
      <c r="Y35" s="3662"/>
      <c r="Z35" s="1513">
        <f t="shared" si="13"/>
        <v>111</v>
      </c>
      <c r="AA35" s="1509">
        <f t="shared" si="3"/>
        <v>1</v>
      </c>
      <c r="AB35" s="1509">
        <f t="shared" si="4"/>
        <v>1</v>
      </c>
      <c r="AC35" s="1509">
        <f t="shared" si="5"/>
        <v>1</v>
      </c>
    </row>
    <row r="36" spans="1:29" ht="15">
      <c r="A36" s="2621" t="s">
        <v>2728</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662"/>
      <c r="Q36" s="1505" t="str">
        <f>B36</f>
        <v>宗地面积</v>
      </c>
      <c r="R36" s="1506" t="s">
        <v>8</v>
      </c>
      <c r="S36" s="1507" t="e">
        <f t="shared" si="10"/>
        <v>#N/A</v>
      </c>
      <c r="T36" s="1506" t="s">
        <v>8</v>
      </c>
      <c r="U36" s="1507" t="e">
        <f t="shared" si="11"/>
        <v>#N/A</v>
      </c>
      <c r="V36" s="1506" t="s">
        <v>8</v>
      </c>
      <c r="W36" s="1507" t="e">
        <f t="shared" si="12"/>
        <v>#N/A</v>
      </c>
      <c r="X36" s="1500"/>
      <c r="Y36" s="3662"/>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662"/>
      <c r="Q37" s="1505" t="str">
        <f t="shared" ref="Q37:Q42" si="14">B37</f>
        <v>宗地形状</v>
      </c>
      <c r="R37" s="1506" t="s">
        <v>8</v>
      </c>
      <c r="S37" s="1507">
        <f t="shared" si="10"/>
        <v>100</v>
      </c>
      <c r="T37" s="1506" t="s">
        <v>8</v>
      </c>
      <c r="U37" s="1507">
        <f t="shared" si="11"/>
        <v>100</v>
      </c>
      <c r="V37" s="1506" t="s">
        <v>8</v>
      </c>
      <c r="W37" s="1507">
        <f t="shared" si="12"/>
        <v>100</v>
      </c>
      <c r="X37" s="1500"/>
      <c r="Y37" s="3662"/>
      <c r="Z37" s="1508" t="str">
        <f t="shared" si="13"/>
        <v>宗地形状</v>
      </c>
      <c r="AA37" s="1509">
        <f t="shared" si="3"/>
        <v>1</v>
      </c>
      <c r="AB37" s="1509">
        <f t="shared" si="4"/>
        <v>1</v>
      </c>
      <c r="AC37" s="1509">
        <f t="shared" si="5"/>
        <v>1</v>
      </c>
    </row>
    <row r="38" spans="1:29" s="1201" customFormat="1" ht="15">
      <c r="A38" s="593"/>
      <c r="B38" s="1807"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662"/>
      <c r="Q38" s="1505" t="str">
        <f t="shared" si="14"/>
        <v>宗地开发程度</v>
      </c>
      <c r="R38" s="1501" t="s">
        <v>8</v>
      </c>
      <c r="S38" s="1502">
        <f t="shared" si="10"/>
        <v>100</v>
      </c>
      <c r="T38" s="1501" t="s">
        <v>8</v>
      </c>
      <c r="U38" s="1502">
        <f t="shared" si="11"/>
        <v>100</v>
      </c>
      <c r="V38" s="1501" t="s">
        <v>8</v>
      </c>
      <c r="W38" s="1502">
        <f t="shared" si="12"/>
        <v>100</v>
      </c>
      <c r="X38" s="1503"/>
      <c r="Y38" s="3662"/>
      <c r="Z38" s="1131"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62" t="s">
        <v>595</v>
      </c>
      <c r="Q39" s="1505" t="str">
        <f t="shared" si="14"/>
        <v>工程地质条件</v>
      </c>
      <c r="R39" s="1506" t="s">
        <v>8</v>
      </c>
      <c r="S39" s="1507">
        <f t="shared" si="10"/>
        <v>100</v>
      </c>
      <c r="T39" s="1506" t="s">
        <v>8</v>
      </c>
      <c r="U39" s="1507">
        <f t="shared" si="11"/>
        <v>100</v>
      </c>
      <c r="V39" s="1506" t="s">
        <v>8</v>
      </c>
      <c r="W39" s="1507">
        <f t="shared" si="12"/>
        <v>100</v>
      </c>
      <c r="X39" s="1500"/>
      <c r="Y39" s="3662"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662"/>
      <c r="Q40" s="1505">
        <f t="shared" si="14"/>
        <v>111</v>
      </c>
      <c r="R40" s="1506" t="s">
        <v>8</v>
      </c>
      <c r="S40" s="1507">
        <f t="shared" si="10"/>
        <v>100</v>
      </c>
      <c r="T40" s="1506" t="s">
        <v>8</v>
      </c>
      <c r="U40" s="1507">
        <f t="shared" si="11"/>
        <v>100</v>
      </c>
      <c r="V40" s="1506" t="s">
        <v>8</v>
      </c>
      <c r="W40" s="1507">
        <f t="shared" si="12"/>
        <v>100</v>
      </c>
      <c r="X40" s="1500"/>
      <c r="Y40" s="3662"/>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662"/>
      <c r="Q41" s="1505">
        <f t="shared" si="14"/>
        <v>111</v>
      </c>
      <c r="R41" s="1506" t="s">
        <v>8</v>
      </c>
      <c r="S41" s="1507">
        <f t="shared" si="10"/>
        <v>100</v>
      </c>
      <c r="T41" s="1506" t="s">
        <v>8</v>
      </c>
      <c r="U41" s="1507">
        <f t="shared" si="11"/>
        <v>100</v>
      </c>
      <c r="V41" s="1506" t="s">
        <v>8</v>
      </c>
      <c r="W41" s="1507">
        <f t="shared" si="12"/>
        <v>100</v>
      </c>
      <c r="X41" s="1500"/>
      <c r="Y41" s="3662"/>
      <c r="Z41" s="1508">
        <f t="shared" si="13"/>
        <v>111</v>
      </c>
      <c r="AA41" s="1509">
        <f t="shared" si="3"/>
        <v>1</v>
      </c>
      <c r="AB41" s="1509">
        <f t="shared" si="4"/>
        <v>1</v>
      </c>
      <c r="AC41" s="1509">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662"/>
      <c r="Q42" s="1505">
        <f t="shared" si="14"/>
        <v>111</v>
      </c>
      <c r="R42" s="1510" t="s">
        <v>8</v>
      </c>
      <c r="S42" s="1511">
        <f t="shared" si="10"/>
        <v>100</v>
      </c>
      <c r="T42" s="1510" t="s">
        <v>8</v>
      </c>
      <c r="U42" s="1511">
        <f t="shared" si="11"/>
        <v>100</v>
      </c>
      <c r="V42" s="1510" t="s">
        <v>8</v>
      </c>
      <c r="W42" s="1511">
        <f t="shared" si="12"/>
        <v>100</v>
      </c>
      <c r="X42" s="1512"/>
      <c r="Y42" s="3662"/>
      <c r="Z42" s="1513">
        <f t="shared" si="13"/>
        <v>111</v>
      </c>
      <c r="AA42" s="1509">
        <f t="shared" si="3"/>
        <v>1</v>
      </c>
      <c r="AB42" s="1509">
        <f t="shared" si="4"/>
        <v>1</v>
      </c>
      <c r="AC42" s="1509">
        <f t="shared" si="5"/>
        <v>1</v>
      </c>
    </row>
    <row r="43" spans="1:29" ht="15">
      <c r="A43" s="600" t="s">
        <v>550</v>
      </c>
      <c r="B43" s="601" t="s">
        <v>2891</v>
      </c>
      <c r="C43" s="602" t="s">
        <v>1</v>
      </c>
      <c r="D43" s="603"/>
      <c r="E43" s="604"/>
      <c r="F43" s="605"/>
      <c r="G43" s="606"/>
      <c r="H43" s="607"/>
      <c r="I43" s="604"/>
      <c r="J43" s="607"/>
      <c r="K43" s="1292"/>
      <c r="L43" s="2024"/>
      <c r="M43" s="2014"/>
      <c r="N43" s="2014"/>
      <c r="O43" s="2025"/>
      <c r="P43" s="3625" t="str">
        <f>A43</f>
        <v>成交单价</v>
      </c>
      <c r="Q43" s="3625"/>
      <c r="R43" s="3626">
        <f>E43</f>
        <v>0</v>
      </c>
      <c r="S43" s="3626"/>
      <c r="T43" s="3626">
        <f>G43</f>
        <v>0</v>
      </c>
      <c r="U43" s="3626"/>
      <c r="V43" s="3626">
        <f>I43</f>
        <v>0</v>
      </c>
      <c r="W43" s="3626"/>
      <c r="X43" s="1495"/>
      <c r="Y43" s="1514"/>
      <c r="Z43" s="1495"/>
      <c r="AA43" s="1495"/>
      <c r="AB43" s="1495"/>
      <c r="AC43" s="1495"/>
    </row>
    <row r="44" spans="1:29" ht="15.75" thickBot="1">
      <c r="A44" s="608" t="s">
        <v>2666</v>
      </c>
      <c r="B44" s="609"/>
      <c r="C44" s="610" t="e">
        <f>R45</f>
        <v>#DIV/0!</v>
      </c>
      <c r="D44" s="3011" t="s">
        <v>2957</v>
      </c>
      <c r="E44" s="610" t="e">
        <f>R44</f>
        <v>#DIV/0!</v>
      </c>
      <c r="F44" s="3012"/>
      <c r="G44" s="611" t="e">
        <f>T44</f>
        <v>#DIV/0!</v>
      </c>
      <c r="H44" s="3012"/>
      <c r="I44" s="610" t="e">
        <f>V44</f>
        <v>#DIV/0!</v>
      </c>
      <c r="J44" s="3012"/>
      <c r="K44" s="3013">
        <f>F44+H44+J44</f>
        <v>0</v>
      </c>
      <c r="L44" s="2024"/>
      <c r="M44" s="2014"/>
      <c r="N44" s="2014"/>
      <c r="O44" s="2025"/>
      <c r="P44" s="3625" t="str">
        <f>A44</f>
        <v>比较价格（元/平方米）</v>
      </c>
      <c r="Q44" s="3625"/>
      <c r="R44" s="3627" t="e">
        <f>ROUND(PRODUCT(R43,AA9:AA42),0)</f>
        <v>#DIV/0!</v>
      </c>
      <c r="S44" s="3627"/>
      <c r="T44" s="3627" t="e">
        <f>ROUND(PRODUCT(T43,AB9:AB42),0)</f>
        <v>#DIV/0!</v>
      </c>
      <c r="U44" s="3627"/>
      <c r="V44" s="3627" t="e">
        <f>ROUND(PRODUCT(V43,AC9:AC42),0)</f>
        <v>#DIV/0!</v>
      </c>
      <c r="W44" s="3627"/>
      <c r="X44" s="1495"/>
      <c r="Y44" s="1495"/>
      <c r="Z44" s="1495"/>
      <c r="AA44" s="1495"/>
      <c r="AB44" s="1495"/>
      <c r="AC44" s="1495"/>
    </row>
    <row r="45" spans="1:29" ht="15.75" thickBot="1">
      <c r="A45" s="612" t="s">
        <v>2892</v>
      </c>
      <c r="B45" s="613"/>
      <c r="C45" s="614" t="e">
        <f>R45</f>
        <v>#DIV/0!</v>
      </c>
      <c r="D45" s="614"/>
      <c r="E45" s="614"/>
      <c r="F45" s="614"/>
      <c r="G45" s="614"/>
      <c r="H45" s="614"/>
      <c r="I45" s="614"/>
      <c r="J45" s="614"/>
      <c r="K45" s="1293"/>
      <c r="L45" s="2024"/>
      <c r="M45" s="2014"/>
      <c r="N45" s="2014"/>
      <c r="O45" s="2025"/>
      <c r="P45" s="3622" t="str">
        <f>A45</f>
        <v>估价对象XX用房的比较价格（楼面单价，元/平方米）</v>
      </c>
      <c r="Q45" s="3623"/>
      <c r="R45" s="3674" t="e">
        <f>ROUND(IF(D44="简单平均",AVERAGE(R44:W44),R44*F44+T44*H44+V44*J44),0)</f>
        <v>#DIV/0!</v>
      </c>
      <c r="S45" s="3674"/>
      <c r="T45" s="3674"/>
      <c r="U45" s="3674"/>
      <c r="V45" s="3674"/>
      <c r="W45" s="3674"/>
      <c r="X45" s="1495"/>
      <c r="Y45" s="1495"/>
      <c r="Z45" s="1495"/>
      <c r="AA45" s="1495"/>
      <c r="AB45" s="1495"/>
      <c r="AC45" s="1495"/>
    </row>
    <row r="46" spans="1:29">
      <c r="A46" s="3209"/>
      <c r="B46" s="3209"/>
      <c r="C46" s="3209"/>
      <c r="D46" s="3209"/>
      <c r="E46" s="3209"/>
      <c r="F46" s="3209"/>
      <c r="G46" s="3211"/>
      <c r="H46" s="3209"/>
      <c r="I46" s="3209"/>
      <c r="J46" s="3209"/>
      <c r="K46" s="3212"/>
      <c r="L46" s="2029"/>
      <c r="M46" s="2014"/>
      <c r="N46" s="2014"/>
      <c r="O46" s="2025"/>
      <c r="P46" s="2025"/>
      <c r="Q46" s="2025"/>
      <c r="R46" s="2025"/>
      <c r="S46" s="2025"/>
      <c r="T46" s="2025"/>
      <c r="U46" s="2025"/>
      <c r="V46" s="2025"/>
      <c r="W46" s="2025"/>
      <c r="X46" s="2025"/>
      <c r="Y46" s="2025"/>
      <c r="Z46" s="2025"/>
      <c r="AA46" s="2025"/>
      <c r="AB46" s="2025"/>
      <c r="AC46" s="2025"/>
    </row>
    <row r="47" spans="1:29">
      <c r="A47" s="3209"/>
      <c r="B47" s="3209"/>
      <c r="C47" s="3209"/>
      <c r="D47" s="3209"/>
      <c r="E47" s="3209"/>
      <c r="F47" s="3209"/>
      <c r="G47" s="3209"/>
      <c r="H47" s="3209"/>
      <c r="I47" s="3209"/>
      <c r="J47" s="3209"/>
      <c r="K47" s="3212"/>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9"/>
      <c r="B48" s="3209"/>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2"/>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9"/>
      <c r="B49" s="3209"/>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2"/>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0"/>
      <c r="B50" s="3210"/>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3"/>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0"/>
      <c r="B51" s="3221"/>
      <c r="C51" s="2030"/>
      <c r="D51" s="2026"/>
      <c r="E51" s="2026"/>
      <c r="F51" s="2026"/>
      <c r="G51" s="2026"/>
      <c r="H51" s="2026"/>
      <c r="I51" s="2026"/>
      <c r="J51" s="2026"/>
      <c r="K51" s="3213"/>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1714</v>
      </c>
      <c r="D52" s="2105" t="s">
        <v>2280</v>
      </c>
      <c r="E52" s="622" t="s">
        <v>556</v>
      </c>
      <c r="F52" s="1863" t="s">
        <v>557</v>
      </c>
      <c r="G52" s="3669" t="s">
        <v>2271</v>
      </c>
      <c r="H52" s="3670"/>
      <c r="I52" s="1864" t="s">
        <v>1933</v>
      </c>
      <c r="J52" s="1492" t="str">
        <f>项目基本情况!F41</f>
        <v>河北省</v>
      </c>
      <c r="K52" s="2033" t="s">
        <v>1713</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190768</v>
      </c>
      <c r="F53" s="1862" t="e">
        <f t="shared" ref="F53:F62" si="15">ROUND(B53*E53/10000,0)</f>
        <v>#DIV/0!</v>
      </c>
      <c r="G53" s="3671"/>
      <c r="H53" s="3672"/>
      <c r="I53" s="1865">
        <v>1</v>
      </c>
      <c r="J53" s="1493">
        <v>1</v>
      </c>
      <c r="K53" s="3214"/>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673" t="s">
        <v>2272</v>
      </c>
      <c r="H54" s="1866">
        <f>项目基本情况!B43</f>
        <v>0</v>
      </c>
      <c r="I54" s="1865">
        <f>SUMIF(修正!$A$45:$A$56,H54,修正!B45:B56)</f>
        <v>0</v>
      </c>
      <c r="J54" s="1494"/>
      <c r="K54" s="3214"/>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673"/>
      <c r="H55" s="1867">
        <f>项目基本情况!B43</f>
        <v>0</v>
      </c>
      <c r="I55" s="1865">
        <f>SUMIF(修正!$A$45:$A$56,H55,修正!C45:C56)</f>
        <v>0</v>
      </c>
      <c r="J55" s="1494"/>
      <c r="K55" s="3214"/>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673"/>
      <c r="H56" s="1867">
        <f>项目基本情况!B43</f>
        <v>0</v>
      </c>
      <c r="I56" s="1865">
        <f>SUMIF(修正!$A$45:$A$56,H56,修正!D45:D56)</f>
        <v>0</v>
      </c>
      <c r="J56" s="1494"/>
      <c r="K56" s="3214"/>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673"/>
      <c r="H57" s="1867">
        <f>项目基本情况!B43</f>
        <v>0</v>
      </c>
      <c r="I57" s="1865">
        <f>SUMIF(修正!$A$45:$A$56,H57,修正!E45:E56)</f>
        <v>0</v>
      </c>
      <c r="J57" s="1494"/>
      <c r="K57" s="3214"/>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2315</v>
      </c>
      <c r="B58" s="629" t="e">
        <f t="shared" si="17"/>
        <v>#DIV/0!</v>
      </c>
      <c r="C58" s="371">
        <f t="shared" si="16"/>
        <v>0</v>
      </c>
      <c r="D58" s="2107">
        <v>0.25</v>
      </c>
      <c r="E58" s="632">
        <f>'数据-汇总表'!E11</f>
        <v>0</v>
      </c>
      <c r="F58" s="1862" t="e">
        <f t="shared" si="15"/>
        <v>#DIV/0!</v>
      </c>
      <c r="G58" s="1868" t="s">
        <v>2273</v>
      </c>
      <c r="H58" s="1867">
        <f>项目基本情况!C43</f>
        <v>0</v>
      </c>
      <c r="I58" s="1865">
        <f>SUMIF(修正!$A$45:$A$56,H58,修正!F45:F56)</f>
        <v>0</v>
      </c>
      <c r="J58" s="1494"/>
      <c r="K58" s="3214"/>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v>
      </c>
      <c r="D59" s="2107">
        <v>0.25</v>
      </c>
      <c r="E59" s="632">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4"/>
      <c r="K59" s="3214"/>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v>
      </c>
      <c r="D60" s="2107">
        <v>0.25</v>
      </c>
      <c r="E60" s="632">
        <f>'数据-汇总表'!E13</f>
        <v>0</v>
      </c>
      <c r="F60" s="1862" t="e">
        <f t="shared" si="15"/>
        <v>#DIV/0!</v>
      </c>
      <c r="G60" s="1858" t="s">
        <v>914</v>
      </c>
      <c r="H60" s="1866">
        <f>IF(G60="商业",项目基本情况!B43,IF(G60="办公",项目基本情况!C43,IF(G60="住宅",项目基本情况!D43,项目基本情况!E43)))</f>
        <v>0</v>
      </c>
      <c r="I60" s="1865">
        <f>SUMIF(修正!$A$45:$A$56,H60,修正!H45:H56)</f>
        <v>0</v>
      </c>
      <c r="J60" s="1494"/>
      <c r="K60" s="3214"/>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2272</v>
      </c>
      <c r="H61" s="1867">
        <f>项目基本情况!B43</f>
        <v>0</v>
      </c>
      <c r="I61" s="1865">
        <f>SUMIF(修正!$A$45:$A$56,H61,修正!H45:H56)</f>
        <v>0</v>
      </c>
      <c r="J61" s="1494"/>
      <c r="K61" s="3214"/>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v>
      </c>
      <c r="D62" s="2107">
        <v>0.25</v>
      </c>
      <c r="E62" s="632">
        <f>'数据-汇总表'!E15</f>
        <v>0</v>
      </c>
      <c r="F62" s="1862" t="e">
        <f t="shared" si="15"/>
        <v>#DIV/0!</v>
      </c>
      <c r="G62" s="1869" t="s">
        <v>2273</v>
      </c>
      <c r="H62" s="1870">
        <f>项目基本情况!C43</f>
        <v>0</v>
      </c>
      <c r="I62" s="1865">
        <f>SUMIF(修正!$A$45:$A$56,H62,修正!H45:H56)</f>
        <v>0</v>
      </c>
      <c r="J62" s="1494"/>
      <c r="K62" s="3214"/>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2281</v>
      </c>
      <c r="E63" s="634">
        <f>IF(B43="楼面地价",SUM(E53:E62),'数据-汇总表'!D3)</f>
        <v>98307</v>
      </c>
      <c r="F63" s="635" t="e">
        <f>IF(B43="楼面地价",SUM(F53:F62),ROUND(C45*E63/10000,0))</f>
        <v>#DIV/0!</v>
      </c>
      <c r="G63" s="2035"/>
      <c r="H63" s="2035"/>
      <c r="I63" s="2035"/>
      <c r="J63" s="2035"/>
      <c r="K63" s="3222"/>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4" t="str">
        <f>YEAR(C9)&amp;"-"&amp;MONTH(C9)&amp;"-1"</f>
        <v>2020-10-1</v>
      </c>
      <c r="D65" s="2513">
        <f>EDATE(C65,-3)</f>
        <v>44013</v>
      </c>
      <c r="E65" s="2513">
        <f t="shared" ref="E65:N65" si="18">EDATE(D65,-3)</f>
        <v>43922</v>
      </c>
      <c r="F65" s="2513">
        <f t="shared" si="18"/>
        <v>43831</v>
      </c>
      <c r="G65" s="2513">
        <f t="shared" si="18"/>
        <v>43739</v>
      </c>
      <c r="H65" s="2513">
        <f t="shared" si="18"/>
        <v>43647</v>
      </c>
      <c r="I65" s="2513">
        <f t="shared" si="18"/>
        <v>43556</v>
      </c>
      <c r="J65" s="2513">
        <f t="shared" si="18"/>
        <v>43466</v>
      </c>
      <c r="K65" s="2513">
        <f t="shared" si="18"/>
        <v>43374</v>
      </c>
      <c r="L65" s="2513">
        <f t="shared" si="18"/>
        <v>43282</v>
      </c>
      <c r="M65" s="2513">
        <f t="shared" si="18"/>
        <v>43191</v>
      </c>
      <c r="N65" s="2513">
        <f t="shared" si="18"/>
        <v>43101</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8" t="s">
        <v>2507</v>
      </c>
      <c r="B67" s="637"/>
      <c r="C67" s="2510" t="str">
        <f>YEAR(C65)&amp;"-"&amp;ROUNDUP(MONTH(C65)/3,0)</f>
        <v>2020-4</v>
      </c>
      <c r="D67" s="2515" t="str">
        <f t="shared" ref="D67:N67" si="19">YEAR(D65)&amp;"-"&amp;ROUNDUP(MONTH(D65)/3,0)</f>
        <v>2020-3</v>
      </c>
      <c r="E67" s="2515" t="str">
        <f t="shared" si="19"/>
        <v>2020-2</v>
      </c>
      <c r="F67" s="2515" t="str">
        <f t="shared" si="19"/>
        <v>2020-1</v>
      </c>
      <c r="G67" s="2515" t="str">
        <f t="shared" si="19"/>
        <v>2019-4</v>
      </c>
      <c r="H67" s="2515" t="str">
        <f t="shared" si="19"/>
        <v>2019-3</v>
      </c>
      <c r="I67" s="2515" t="str">
        <f t="shared" si="19"/>
        <v>2019-2</v>
      </c>
      <c r="J67" s="2515" t="str">
        <f t="shared" si="19"/>
        <v>2019-1</v>
      </c>
      <c r="K67" s="2515" t="str">
        <f t="shared" si="19"/>
        <v>2018-4</v>
      </c>
      <c r="L67" s="2515" t="str">
        <f t="shared" si="19"/>
        <v>2018-3</v>
      </c>
      <c r="M67" s="2515" t="str">
        <f t="shared" si="19"/>
        <v>2018-2</v>
      </c>
      <c r="N67" s="2515" t="str">
        <f t="shared" si="19"/>
        <v>2018-1</v>
      </c>
      <c r="O67" s="2038"/>
      <c r="P67" s="2039"/>
      <c r="Q67" s="2040"/>
      <c r="R67" s="2040"/>
      <c r="S67" s="2040"/>
      <c r="T67" s="2040"/>
      <c r="U67" s="2040"/>
      <c r="V67" s="2040"/>
      <c r="W67" s="2040"/>
      <c r="X67" s="2040"/>
      <c r="Y67" s="2040"/>
      <c r="Z67" s="2040"/>
      <c r="AA67" s="2040"/>
      <c r="AB67" s="2040"/>
      <c r="AC67" s="2040"/>
    </row>
    <row r="68" spans="1:29" s="1201" customFormat="1" ht="27.75" customHeight="1">
      <c r="A68" s="2512" t="s">
        <v>2622</v>
      </c>
      <c r="B68" s="472" t="str">
        <f>"北京市平均增长率"&amp;TEXT(基准地价!P24,"0.00%")</f>
        <v>北京市平均增长率1.23%</v>
      </c>
      <c r="C68" s="882">
        <v>100</v>
      </c>
      <c r="D68" s="721"/>
      <c r="E68" s="721"/>
      <c r="F68" s="721"/>
      <c r="G68" s="721"/>
      <c r="H68" s="721"/>
      <c r="I68" s="721"/>
      <c r="J68" s="721"/>
      <c r="K68" s="721"/>
      <c r="L68" s="721"/>
      <c r="M68" s="2508"/>
      <c r="N68" s="2509"/>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6"/>
      <c r="D69" s="2507"/>
      <c r="E69" s="2507"/>
      <c r="F69" s="2507"/>
      <c r="G69" s="2507"/>
      <c r="H69" s="2507"/>
      <c r="I69" s="2507"/>
      <c r="J69" s="2507"/>
      <c r="K69" s="2507"/>
      <c r="L69" s="2507"/>
      <c r="M69" s="2507"/>
      <c r="N69" s="2507"/>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3"/>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3"/>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4"/>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5"/>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4"/>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5"/>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5"/>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4"/>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5"/>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6"/>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5"/>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6"/>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6"/>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6"/>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6"/>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4"/>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5"/>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4"/>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5"/>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3"/>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5"/>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3"/>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5"/>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2522</v>
      </c>
      <c r="C93" s="694" t="s">
        <v>573</v>
      </c>
      <c r="D93" s="694" t="s">
        <v>574</v>
      </c>
      <c r="E93" s="694" t="s">
        <v>575</v>
      </c>
      <c r="F93" s="694" t="s">
        <v>576</v>
      </c>
      <c r="G93" s="694" t="s">
        <v>577</v>
      </c>
      <c r="H93" s="704"/>
      <c r="I93" s="704"/>
      <c r="J93" s="704"/>
      <c r="K93" s="704"/>
      <c r="L93" s="705"/>
      <c r="M93" s="706"/>
      <c r="N93" s="3226"/>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6"/>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8" t="s">
        <v>2524</v>
      </c>
      <c r="C95" s="2439" t="s">
        <v>2525</v>
      </c>
      <c r="D95" s="2439" t="s">
        <v>2526</v>
      </c>
      <c r="E95" s="2439" t="s">
        <v>2527</v>
      </c>
      <c r="F95" s="2439" t="s">
        <v>2528</v>
      </c>
      <c r="G95" s="2439" t="s">
        <v>2529</v>
      </c>
      <c r="H95" s="704"/>
      <c r="I95" s="704"/>
      <c r="J95" s="704"/>
      <c r="K95" s="704"/>
      <c r="L95" s="704"/>
      <c r="M95" s="706"/>
      <c r="N95" s="3226"/>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1"/>
      <c r="N96" s="3226"/>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4"/>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5"/>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4"/>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5"/>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4"/>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5"/>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4"/>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5"/>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4"/>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5"/>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6"/>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5"/>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4"/>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4"/>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5"/>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4"/>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5"/>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2409</v>
      </c>
      <c r="C114" s="1325"/>
      <c r="D114" s="1325"/>
      <c r="E114" s="1325"/>
      <c r="F114" s="1325"/>
      <c r="G114" s="1325"/>
      <c r="H114" s="709"/>
      <c r="I114" s="709"/>
      <c r="J114" s="709"/>
      <c r="K114" s="710"/>
      <c r="L114" s="711"/>
      <c r="M114" s="712"/>
      <c r="N114" s="3226"/>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6"/>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4"/>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5"/>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4"/>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5"/>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4"/>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5"/>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6"/>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6"/>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91" priority="18" stopIfTrue="1" operator="containsText" text="超过">
      <formula>NOT(ISERROR(SEARCH("超过",F48)))</formula>
    </cfRule>
  </conditionalFormatting>
  <conditionalFormatting sqref="J50">
    <cfRule type="containsText" dxfId="190" priority="17" stopIfTrue="1" operator="containsText" text="超过">
      <formula>NOT(ISERROR(SEARCH("超过",J50)))</formula>
    </cfRule>
  </conditionalFormatting>
  <conditionalFormatting sqref="H50">
    <cfRule type="containsText" dxfId="189" priority="16" stopIfTrue="1" operator="containsText" text="超过">
      <formula>NOT(ISERROR(SEARCH("超过",H50)))</formula>
    </cfRule>
  </conditionalFormatting>
  <conditionalFormatting sqref="F50">
    <cfRule type="containsText" dxfId="188" priority="15" stopIfTrue="1" operator="containsText" text="超过">
      <formula>NOT(ISERROR(SEARCH("超过",F50)))</formula>
    </cfRule>
  </conditionalFormatting>
  <conditionalFormatting sqref="F49 H49 J49">
    <cfRule type="containsText" dxfId="187" priority="14" stopIfTrue="1" operator="containsText" text="超过">
      <formula>NOT(ISERROR(SEARCH("超过",F49)))</formula>
    </cfRule>
  </conditionalFormatting>
  <conditionalFormatting sqref="E48">
    <cfRule type="expression" dxfId="186" priority="13" stopIfTrue="1">
      <formula>$F$48="超过30%"</formula>
    </cfRule>
  </conditionalFormatting>
  <conditionalFormatting sqref="G50">
    <cfRule type="expression" dxfId="185" priority="12" stopIfTrue="1">
      <formula>$H$50="超过30%"</formula>
    </cfRule>
  </conditionalFormatting>
  <conditionalFormatting sqref="E50">
    <cfRule type="expression" dxfId="184" priority="10" stopIfTrue="1">
      <formula>$F$50="超过30%"</formula>
    </cfRule>
  </conditionalFormatting>
  <conditionalFormatting sqref="G48">
    <cfRule type="expression" dxfId="183" priority="9" stopIfTrue="1">
      <formula>$H$48="超过30%"</formula>
    </cfRule>
  </conditionalFormatting>
  <conditionalFormatting sqref="G49">
    <cfRule type="expression" dxfId="182" priority="8" stopIfTrue="1">
      <formula>$H$49="超过20%"</formula>
    </cfRule>
  </conditionalFormatting>
  <conditionalFormatting sqref="I48">
    <cfRule type="expression" dxfId="181" priority="7" stopIfTrue="1">
      <formula>$J$48="超过30%"</formula>
    </cfRule>
  </conditionalFormatting>
  <conditionalFormatting sqref="I49">
    <cfRule type="expression" dxfId="180" priority="6" stopIfTrue="1">
      <formula>$J$49="超过20%"</formula>
    </cfRule>
  </conditionalFormatting>
  <conditionalFormatting sqref="I50">
    <cfRule type="expression" dxfId="179" priority="5" stopIfTrue="1">
      <formula>$J$50="超过30%"</formula>
    </cfRule>
  </conditionalFormatting>
  <conditionalFormatting sqref="E49">
    <cfRule type="expression" dxfId="178" priority="51" stopIfTrue="1">
      <formula>#REF!+$F$49="超过20%"</formula>
    </cfRule>
  </conditionalFormatting>
  <conditionalFormatting sqref="F44">
    <cfRule type="expression" dxfId="177" priority="4">
      <formula>$D$44="简单平均"</formula>
    </cfRule>
  </conditionalFormatting>
  <conditionalFormatting sqref="H44">
    <cfRule type="expression" dxfId="176" priority="3">
      <formula>$D$44="简单平均"</formula>
    </cfRule>
  </conditionalFormatting>
  <conditionalFormatting sqref="J44">
    <cfRule type="expression" dxfId="175" priority="2">
      <formula>$D$44="简单平均"</formula>
    </cfRule>
  </conditionalFormatting>
  <conditionalFormatting sqref="F9:F42 H9:H42 J9:J42">
    <cfRule type="cellIs" dxfId="17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I3" sqref="I3"/>
    </sheetView>
  </sheetViews>
  <sheetFormatPr defaultColWidth="12" defaultRowHeight="12"/>
  <cols>
    <col min="1" max="1" width="9.625" style="1351" customWidth="1"/>
    <col min="2" max="2" width="20.875" style="1466" customWidth="1"/>
    <col min="3" max="4" width="12" style="1352"/>
    <col min="5" max="5" width="14.625" style="1352" customWidth="1"/>
    <col min="6" max="8" width="12" style="1352"/>
    <col min="9" max="9" width="12.1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0</v>
      </c>
      <c r="E1" s="1353" t="s">
        <v>2411</v>
      </c>
      <c r="F1" s="2305"/>
      <c r="G1" s="1348"/>
      <c r="H1" s="1348"/>
      <c r="I1" s="1348"/>
      <c r="J1" s="1348"/>
      <c r="K1" s="2068"/>
      <c r="L1" s="1794" t="s">
        <v>2226</v>
      </c>
      <c r="M1" s="1795">
        <f>SUMPRODUCT((区片价!B5:B9=I2)*(区片价!C3:F3=E2)*(区片价!C5:F9))</f>
        <v>0</v>
      </c>
      <c r="N1" s="1796">
        <f>SUMPRODUCT((因素修正幅度!B5:B9=I2)*(因素修正幅度!C3:F3=E2)*(因素修正幅度!C5:F9))</f>
        <v>0</v>
      </c>
      <c r="O1" s="2068"/>
      <c r="P1" s="2068"/>
      <c r="Q1" s="2068"/>
      <c r="R1" s="2650" t="s">
        <v>2734</v>
      </c>
      <c r="S1" s="2650" t="s">
        <v>2735</v>
      </c>
      <c r="T1" s="2650" t="s">
        <v>2756</v>
      </c>
      <c r="U1" s="2650" t="s">
        <v>2757</v>
      </c>
      <c r="V1" s="2650" t="s">
        <v>2758</v>
      </c>
      <c r="W1" s="2068"/>
      <c r="X1" s="2068"/>
      <c r="Y1" s="2068"/>
      <c r="Z1" s="2068"/>
      <c r="AA1" s="2068"/>
      <c r="AB1" s="2068"/>
      <c r="AC1" s="2069"/>
    </row>
    <row r="2" spans="1:39" ht="15.75">
      <c r="A2" s="1353" t="s">
        <v>911</v>
      </c>
      <c r="B2" s="1023"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7"/>
      <c r="L2" s="1797" t="s">
        <v>2227</v>
      </c>
      <c r="M2" s="1798">
        <f>SUMPRODUCT((区片价!B10:B28=I2)*(区片价!C3:F3=E2)*(区片价!C10:F28))</f>
        <v>0</v>
      </c>
      <c r="N2" s="1799">
        <f>SUMPRODUCT((因素修正幅度!B10:B28=I2)*(因素修正幅度!C3:F3=E2)*(因素修正幅度!C10:F28))</f>
        <v>0</v>
      </c>
      <c r="O2" s="3227"/>
      <c r="P2" s="2068"/>
      <c r="Q2" s="2068"/>
      <c r="R2" s="2651">
        <v>1</v>
      </c>
      <c r="S2" s="2651">
        <f>ROUND(IF(G3&gt;1,IF(R2&lt;7,SUMPRODUCT((B93:B98=R2)*(C92:N92=G2)*(C93:N98)),SUMIF(C92:N92,G2,C100:N100)),IF(R2&lt;7,SUMPRODUCT((B102:B107=R2)*(C92:N92=G2)*(C102:N107)),SUMIF(C92:N92,G2,C109:N109))),4)</f>
        <v>0</v>
      </c>
      <c r="T2" s="2651" t="e">
        <f>ROUND($C$5*$C$18*$C$19*$C$20*S2*$C$24,0)</f>
        <v>#DIV/0!</v>
      </c>
      <c r="U2" s="2640"/>
      <c r="V2" s="2651" t="e">
        <f>ROUND(T2*U2/10000,0)</f>
        <v>#DIV/0!</v>
      </c>
      <c r="W2" s="2068"/>
      <c r="X2" s="2068"/>
      <c r="Y2" s="2068"/>
      <c r="Z2" s="2068"/>
      <c r="AA2" s="2068"/>
      <c r="AB2" s="2068"/>
      <c r="AC2" s="2069"/>
    </row>
    <row r="3" spans="1:39" ht="15.75">
      <c r="A3" s="1358" t="s">
        <v>1677</v>
      </c>
      <c r="B3" s="1023" t="e">
        <f>ROUND(B2*10000/D1,0)</f>
        <v>#DIV/0!</v>
      </c>
      <c r="C3" s="1354" t="s">
        <v>918</v>
      </c>
      <c r="D3" s="1355" t="s">
        <v>919</v>
      </c>
      <c r="E3" s="1359"/>
      <c r="F3" s="1360"/>
      <c r="G3" s="1024">
        <f>IF(F3="宗地容积率",'数据-汇总表'!I4,IF(F3="估价对象容积率",'数据-汇总表'!I6,'数据-汇总表'!I7))</f>
        <v>4</v>
      </c>
      <c r="H3" s="1361" t="s">
        <v>920</v>
      </c>
      <c r="I3" s="1025"/>
      <c r="J3" s="1357" t="s">
        <v>921</v>
      </c>
      <c r="K3" s="3227"/>
      <c r="L3" s="1797" t="s">
        <v>2228</v>
      </c>
      <c r="M3" s="1798">
        <f>SUMPRODUCT((区片价!B29:B48=I2)*(区片价!C3:F3=E2)*(区片价!C29:F48))</f>
        <v>0</v>
      </c>
      <c r="N3" s="1799">
        <f>SUMPRODUCT((因素修正幅度!B29:B48=I2)*(因素修正幅度!C3:F3=E2)*(因素修正幅度!C29:F48))</f>
        <v>0</v>
      </c>
      <c r="O3" s="3227"/>
      <c r="P3" s="2068"/>
      <c r="Q3" s="2068"/>
      <c r="R3" s="2651">
        <v>2</v>
      </c>
      <c r="S3" s="2651">
        <f>ROUND(IF(G3&gt;1,IF(R3&lt;7,SUMPRODUCT((B93:B98=R3)*(C92:N92=G2)*(C93:N98)),SUMIF(C92:N92,G2,C100:N100)),IF(R3&lt;7,SUMPRODUCT((B102:B107=R3)*(C92:N92=G2)*(C102:N107)),SUMIF(C92:N92,G2,C109:N109))),4)</f>
        <v>0</v>
      </c>
      <c r="T3" s="2651" t="e">
        <f t="shared" ref="T3:T16" si="0">ROUND($C$5*$C$18*$C$19*$C$20*S3*$C$24,0)</f>
        <v>#DIV/0!</v>
      </c>
      <c r="U3" s="2640"/>
      <c r="V3" s="2651" t="e">
        <f t="shared" ref="V3:V16" si="1">ROUND(T3*U3/10000,0)</f>
        <v>#DIV/0!</v>
      </c>
      <c r="W3" s="2068"/>
      <c r="X3" s="2068"/>
      <c r="Y3" s="2068"/>
      <c r="Z3" s="2068"/>
      <c r="AA3" s="2068"/>
      <c r="AB3" s="2068"/>
      <c r="AC3" s="2069"/>
    </row>
    <row r="4" spans="1:39" ht="28.5">
      <c r="A4" s="1803" t="s">
        <v>2267</v>
      </c>
      <c r="B4" s="2306" t="e">
        <f>ROUND(B2*10000/F1,0)</f>
        <v>#DIV/0!</v>
      </c>
      <c r="C4" s="1806" t="s">
        <v>2242</v>
      </c>
      <c r="D4" s="1806" t="e">
        <f>ROUND(B2/(F1/666.67),0)</f>
        <v>#DIV/0!</v>
      </c>
      <c r="E4" s="1806" t="s">
        <v>2243</v>
      </c>
      <c r="F4" s="1804"/>
      <c r="G4" s="1804"/>
      <c r="H4" s="1804"/>
      <c r="I4" s="1804"/>
      <c r="J4" s="1805"/>
      <c r="K4" s="3228"/>
      <c r="L4" s="1797" t="s">
        <v>2229</v>
      </c>
      <c r="M4" s="1798">
        <f>SUMPRODUCT((区片价!B49:B75=I2)*(区片价!C3:F3=E2)*(区片价!C49:F75))</f>
        <v>0</v>
      </c>
      <c r="N4" s="1799">
        <f>SUMPRODUCT((因素修正幅度!B49:B75=I2)*(因素修正幅度!C3:F3=E2)*(因素修正幅度!C49:F75))</f>
        <v>0</v>
      </c>
      <c r="O4" s="3228"/>
      <c r="P4" s="2068"/>
      <c r="Q4" s="2068"/>
      <c r="R4" s="2651">
        <v>3</v>
      </c>
      <c r="S4" s="2651">
        <f>ROUND(IF(G3&gt;1,IF(R4&lt;7,SUMPRODUCT((B93:B98=R4)*(C92:N92=G2)*(C93:N98)),SUMIF(C92:N92,G2,C100:N100)),IF(R4&lt;7,SUMPRODUCT((B102:B107=R4)*(C92:N92=G2)*(C102:N107)),SUMIF(C92:N92,G2,C109:N109))),4)</f>
        <v>0</v>
      </c>
      <c r="T4" s="2651" t="e">
        <f t="shared" si="0"/>
        <v>#DIV/0!</v>
      </c>
      <c r="U4" s="2640"/>
      <c r="V4" s="2651" t="e">
        <f t="shared" si="1"/>
        <v>#DIV/0!</v>
      </c>
      <c r="W4" s="2068"/>
      <c r="X4" s="2068"/>
      <c r="Y4" s="2068"/>
      <c r="Z4" s="2068"/>
      <c r="AA4" s="2068"/>
      <c r="AB4" s="2068"/>
      <c r="AC4" s="2069"/>
    </row>
    <row r="5" spans="1:39" s="1368" customFormat="1" ht="15.75" thickBot="1">
      <c r="A5" s="1565" t="s">
        <v>1813</v>
      </c>
      <c r="B5" s="1362" t="s">
        <v>922</v>
      </c>
      <c r="C5" s="1026" t="e">
        <f>ROUND(IF(E2="商业",C6*C7+C16,(IF(E2="住宅",C6*C12+C16,C6+C16))),0)</f>
        <v>#DIV/0!</v>
      </c>
      <c r="D5" s="2790" t="e">
        <f>ROUND(C6+C16,0)</f>
        <v>#DIV/0!</v>
      </c>
      <c r="E5" s="2790"/>
      <c r="F5" s="1363"/>
      <c r="G5" s="1364"/>
      <c r="H5" s="1364"/>
      <c r="I5" s="1364"/>
      <c r="J5" s="1365"/>
      <c r="K5" s="3229"/>
      <c r="L5" s="1797" t="s">
        <v>2230</v>
      </c>
      <c r="M5" s="1798">
        <f>SUMPRODUCT((区片价!B76:B109=I2)*(区片价!C3:F3=E2)*(区片价!C76:F109))</f>
        <v>0</v>
      </c>
      <c r="N5" s="1799">
        <f>SUMPRODUCT((因素修正幅度!B76:B109=I2)*(因素修正幅度!C3:F3=E2)*(因素修正幅度!C76:F109))</f>
        <v>0</v>
      </c>
      <c r="O5" s="3229"/>
      <c r="P5" s="3232"/>
      <c r="Q5" s="2068"/>
      <c r="R5" s="2651">
        <v>4</v>
      </c>
      <c r="S5" s="2651">
        <f>ROUND(IF(G3&gt;1,IF(R5&lt;7,SUMPRODUCT((B93:B98=R5)*(C92:N92=G2)*(C93:N98)),SUMIF(C92:N92,G2,C100:N100)),IF(R5&lt;7,SUMPRODUCT((B102:B107=R5)*(C92:N92=G2)*(C102:N107)),SUMIF(C92:N92,G2,C109:N109))),4)</f>
        <v>0</v>
      </c>
      <c r="T5" s="2651" t="e">
        <f t="shared" si="0"/>
        <v>#DIV/0!</v>
      </c>
      <c r="U5" s="2640"/>
      <c r="V5" s="2651" t="e">
        <f t="shared" si="1"/>
        <v>#DIV/0!</v>
      </c>
      <c r="W5" s="2068"/>
      <c r="X5" s="2068"/>
      <c r="Y5" s="2068"/>
      <c r="Z5" s="2068"/>
      <c r="AA5" s="2068"/>
      <c r="AB5" s="2068"/>
      <c r="AC5" s="2070"/>
      <c r="AD5" s="1366"/>
      <c r="AE5" s="1366"/>
      <c r="AF5" s="1366"/>
      <c r="AG5" s="1366"/>
      <c r="AH5" s="1366"/>
      <c r="AI5" s="1366"/>
      <c r="AJ5" s="1367"/>
      <c r="AK5" s="1367"/>
      <c r="AL5" s="1367"/>
      <c r="AM5" s="1367"/>
    </row>
    <row r="6" spans="1:39" ht="15.75" thickBot="1">
      <c r="A6" s="1566" t="s">
        <v>1860</v>
      </c>
      <c r="B6" s="1369" t="s">
        <v>922</v>
      </c>
      <c r="C6" s="1027">
        <f>SUMIF(L1:L12,基准地价!G2,M1:M12)</f>
        <v>0</v>
      </c>
      <c r="D6" s="1370" t="s">
        <v>1685</v>
      </c>
      <c r="E6" s="1371"/>
      <c r="F6" s="1371"/>
      <c r="G6" s="1372"/>
      <c r="H6" s="1372"/>
      <c r="I6" s="1372"/>
      <c r="J6" s="1373"/>
      <c r="K6" s="3230"/>
      <c r="L6" s="1797" t="s">
        <v>2231</v>
      </c>
      <c r="M6" s="1798">
        <f>SUMPRODUCT((区片价!B110:B157=I2)*(区片价!C3:F3=E2)*(区片价!C110:F157))</f>
        <v>0</v>
      </c>
      <c r="N6" s="1799">
        <f>SUMPRODUCT((因素修正幅度!B110:B157=I2)*(因素修正幅度!C3:F3=E2)*(因素修正幅度!C110:F157))</f>
        <v>0</v>
      </c>
      <c r="O6" s="3230"/>
      <c r="P6" s="3233"/>
      <c r="Q6" s="2068"/>
      <c r="R6" s="2651">
        <v>5</v>
      </c>
      <c r="S6" s="2651">
        <f>ROUND(IF(G3&gt;1,IF(R6&lt;7,SUMPRODUCT((B93:B98=R6)*(C92:N92=G2)*(C93:N98)),SUMIF(C92:N92,G2,C100:N100)),IF(R6&lt;7,SUMPRODUCT((B102:B107=R6)*(C92:N92=G2)*(C102:N107)),SUMIF(C92:N92,G2,C109:N109))),4)</f>
        <v>0</v>
      </c>
      <c r="T6" s="2651" t="e">
        <f t="shared" si="0"/>
        <v>#DIV/0!</v>
      </c>
      <c r="U6" s="2640"/>
      <c r="V6" s="2651" t="e">
        <f t="shared" si="1"/>
        <v>#DIV/0!</v>
      </c>
      <c r="W6" s="2068"/>
      <c r="X6" s="2068"/>
      <c r="Y6" s="2068"/>
      <c r="Z6" s="2068"/>
      <c r="AA6" s="2068"/>
      <c r="AB6" s="2068"/>
      <c r="AC6" s="2070"/>
      <c r="AD6" s="1366"/>
      <c r="AE6" s="1366"/>
      <c r="AF6" s="1366"/>
      <c r="AG6" s="1366"/>
      <c r="AH6" s="1366"/>
      <c r="AI6" s="1366"/>
      <c r="AJ6" s="1367"/>
    </row>
    <row r="7" spans="1:39" ht="24">
      <c r="A7" s="3689" t="str">
        <f>IF(E2="商业",IF(C8="不临58条商业街","",2),"")</f>
        <v/>
      </c>
      <c r="B7" s="1374" t="s">
        <v>923</v>
      </c>
      <c r="C7" s="1028" t="e">
        <f>IF(C8="不临58条商业街",1,ROUND(1+(1.6*E8+1.2*E9+0.8*E10+0.4*E11)*C9,4))</f>
        <v>#DIV/0!</v>
      </c>
      <c r="D7" s="1375" t="s">
        <v>924</v>
      </c>
      <c r="E7" s="1029"/>
      <c r="F7" s="1376"/>
      <c r="G7" s="1377"/>
      <c r="H7" s="1377"/>
      <c r="I7" s="1377"/>
      <c r="J7" s="1378"/>
      <c r="K7" s="3230"/>
      <c r="L7" s="1797" t="s">
        <v>2232</v>
      </c>
      <c r="M7" s="1798">
        <f>SUMPRODUCT((区片价!B158:B205=I2)*(区片价!C3:F3=E2)*(区片价!C158:F205))</f>
        <v>0</v>
      </c>
      <c r="N7" s="1799">
        <f>SUMPRODUCT((因素修正幅度!B158:B205=I2)*(因素修正幅度!C3:F3=E2)*(因素修正幅度!C158:F205))</f>
        <v>0</v>
      </c>
      <c r="O7" s="3230"/>
      <c r="P7" s="3233"/>
      <c r="Q7" s="2068"/>
      <c r="R7" s="2651">
        <v>6</v>
      </c>
      <c r="S7" s="2651">
        <f>ROUND(IF(G3&gt;1,IF(R7&lt;7,SUMPRODUCT((B93:B98=R7)*(C92:N92=G2)*(C93:N98)),SUMIF(C92:N92,G2,C100:N100)),IF(R7&lt;7,SUMPRODUCT((B102:B107=R7)*(C92:N92=G2)*(C102:N107)),SUMIF(C92:N92,G2,C109:N109))),4)</f>
        <v>0</v>
      </c>
      <c r="T7" s="2651" t="e">
        <f t="shared" si="0"/>
        <v>#DIV/0!</v>
      </c>
      <c r="U7" s="2640"/>
      <c r="V7" s="2651" t="e">
        <f t="shared" si="1"/>
        <v>#DIV/0!</v>
      </c>
      <c r="W7" s="2649" t="s">
        <v>2737</v>
      </c>
      <c r="X7" s="2641">
        <f>G2</f>
        <v>0</v>
      </c>
      <c r="Y7" s="2641" t="s">
        <v>2738</v>
      </c>
      <c r="Z7" s="2642">
        <f>G3</f>
        <v>4</v>
      </c>
      <c r="AA7" s="2071"/>
      <c r="AB7" s="2071"/>
      <c r="AC7" s="2072"/>
      <c r="AD7" s="2643"/>
      <c r="AE7" s="2643"/>
      <c r="AF7" s="2643"/>
      <c r="AG7" s="2643"/>
      <c r="AH7" s="2643"/>
      <c r="AI7" s="2643"/>
      <c r="AJ7" s="2644"/>
    </row>
    <row r="8" spans="1:39" ht="15">
      <c r="A8" s="3690"/>
      <c r="B8" s="1361" t="s">
        <v>925</v>
      </c>
      <c r="C8" s="1467"/>
      <c r="D8" s="1030" t="s">
        <v>926</v>
      </c>
      <c r="E8" s="1031" t="e">
        <f>ROUND(C11/E7,4)</f>
        <v>#DIV/0!</v>
      </c>
      <c r="F8" s="1379" t="s">
        <v>927</v>
      </c>
      <c r="G8" s="1380"/>
      <c r="H8" s="1380"/>
      <c r="I8" s="1380"/>
      <c r="J8" s="1381"/>
      <c r="K8" s="3230"/>
      <c r="L8" s="1797" t="s">
        <v>2233</v>
      </c>
      <c r="M8" s="1798">
        <f>SUMPRODUCT((区片价!B206:B244=I2)*(区片价!C3:F3=E2)*(区片价!C206:F244))</f>
        <v>0</v>
      </c>
      <c r="N8" s="1799">
        <f>SUMPRODUCT((因素修正幅度!B206:B244=I2)*(因素修正幅度!C3:F3=E2)*(因素修正幅度!C206:F244))</f>
        <v>0</v>
      </c>
      <c r="O8" s="3230"/>
      <c r="P8" s="2068"/>
      <c r="Q8" s="2068"/>
      <c r="R8" s="2651">
        <v>7</v>
      </c>
      <c r="S8" s="2640"/>
      <c r="T8" s="2651" t="e">
        <f t="shared" si="0"/>
        <v>#DIV/0!</v>
      </c>
      <c r="U8" s="2640"/>
      <c r="V8" s="2651" t="e">
        <f t="shared" si="1"/>
        <v>#DIV/0!</v>
      </c>
      <c r="W8" s="3676" t="s">
        <v>2755</v>
      </c>
      <c r="X8" s="3677"/>
      <c r="Y8" s="1761" t="s">
        <v>2739</v>
      </c>
      <c r="Z8" s="1761" t="s">
        <v>2740</v>
      </c>
      <c r="AA8" s="1761" t="s">
        <v>2741</v>
      </c>
      <c r="AB8" s="1761" t="s">
        <v>2742</v>
      </c>
      <c r="AC8" s="1761" t="s">
        <v>2743</v>
      </c>
      <c r="AD8" s="1761" t="s">
        <v>2744</v>
      </c>
      <c r="AE8" s="1761" t="s">
        <v>2745</v>
      </c>
      <c r="AF8" s="1761" t="s">
        <v>2746</v>
      </c>
      <c r="AG8" s="1761" t="s">
        <v>2747</v>
      </c>
      <c r="AH8" s="1761" t="s">
        <v>2748</v>
      </c>
      <c r="AI8" s="1761" t="s">
        <v>2749</v>
      </c>
      <c r="AJ8" s="1761" t="s">
        <v>2750</v>
      </c>
    </row>
    <row r="9" spans="1:39" ht="15">
      <c r="A9" s="3690"/>
      <c r="B9" s="1361" t="s">
        <v>928</v>
      </c>
      <c r="C9" s="1032">
        <f>SUMIF(修正!C59:C119,C8,修正!E59:E119)</f>
        <v>0</v>
      </c>
      <c r="D9" s="1033" t="s">
        <v>929</v>
      </c>
      <c r="E9" s="1033" t="e">
        <f>ROUND(C11/E7,4)</f>
        <v>#DIV/0!</v>
      </c>
      <c r="F9" s="1379" t="s">
        <v>930</v>
      </c>
      <c r="G9" s="1380"/>
      <c r="H9" s="1380"/>
      <c r="I9" s="1380"/>
      <c r="J9" s="1381"/>
      <c r="K9" s="3230"/>
      <c r="L9" s="1797" t="s">
        <v>2234</v>
      </c>
      <c r="M9" s="1798">
        <f>SUMPRODUCT((区片价!B245:B289=I2)*(区片价!C3:F3=E2)*(区片价!C245:F289))</f>
        <v>0</v>
      </c>
      <c r="N9" s="1799">
        <f>SUMPRODUCT((因素修正幅度!B245:B289=I2)*(因素修正幅度!C3:F3=E2)*(因素修正幅度!C245:F289))</f>
        <v>0</v>
      </c>
      <c r="O9" s="3230"/>
      <c r="P9" s="2068"/>
      <c r="Q9" s="2068"/>
      <c r="R9" s="2651">
        <v>8</v>
      </c>
      <c r="S9" s="2640"/>
      <c r="T9" s="2651" t="e">
        <f t="shared" si="0"/>
        <v>#DIV/0!</v>
      </c>
      <c r="U9" s="2640"/>
      <c r="V9" s="2651" t="e">
        <f t="shared" si="1"/>
        <v>#DIV/0!</v>
      </c>
      <c r="W9" s="3675" t="s">
        <v>2751</v>
      </c>
      <c r="X9" s="2645" t="s">
        <v>2752</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90"/>
      <c r="B10" s="1361" t="s">
        <v>931</v>
      </c>
      <c r="C10" s="1033">
        <f>SUMIF(修正!C59:C119,C8,修正!F59:F119)</f>
        <v>0</v>
      </c>
      <c r="D10" s="1033" t="s">
        <v>932</v>
      </c>
      <c r="E10" s="1033" t="e">
        <f>ROUND(C11/E7,4)</f>
        <v>#DIV/0!</v>
      </c>
      <c r="F10" s="1379" t="s">
        <v>933</v>
      </c>
      <c r="G10" s="1380"/>
      <c r="H10" s="1380"/>
      <c r="I10" s="1380"/>
      <c r="J10" s="1381"/>
      <c r="K10" s="3230"/>
      <c r="L10" s="1797" t="s">
        <v>2235</v>
      </c>
      <c r="M10" s="1798">
        <f>SUMPRODUCT((区片价!B290:B316=I2)*(区片价!C3:F3=E2)*(区片价!C290:F316))</f>
        <v>0</v>
      </c>
      <c r="N10" s="1799">
        <f>SUMPRODUCT((因素修正幅度!B290:B316=I2)*(因素修正幅度!C3:F3=E2)*(因素修正幅度!C290:F316))</f>
        <v>0</v>
      </c>
      <c r="O10" s="3230"/>
      <c r="P10" s="2068"/>
      <c r="Q10" s="2068"/>
      <c r="R10" s="2651">
        <v>9</v>
      </c>
      <c r="S10" s="2640"/>
      <c r="T10" s="2651" t="e">
        <f t="shared" si="0"/>
        <v>#DIV/0!</v>
      </c>
      <c r="U10" s="2640"/>
      <c r="V10" s="2651" t="e">
        <f t="shared" si="1"/>
        <v>#DIV/0!</v>
      </c>
      <c r="W10" s="3675"/>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90"/>
      <c r="B11" s="1382" t="s">
        <v>934</v>
      </c>
      <c r="C11" s="1034">
        <f>C10/4</f>
        <v>0</v>
      </c>
      <c r="D11" s="1034" t="s">
        <v>935</v>
      </c>
      <c r="E11" s="1034" t="e">
        <f>ROUND(C11/E7,4)</f>
        <v>#DIV/0!</v>
      </c>
      <c r="F11" s="1383" t="s">
        <v>936</v>
      </c>
      <c r="G11" s="1384"/>
      <c r="H11" s="1384"/>
      <c r="I11" s="1384"/>
      <c r="J11" s="1385"/>
      <c r="K11" s="3230"/>
      <c r="L11" s="1797" t="s">
        <v>2236</v>
      </c>
      <c r="M11" s="1798">
        <f>SUMPRODUCT((区片价!B317:B337=I2)*(区片价!C3:F3=E2)*(区片价!C317:F337))</f>
        <v>0</v>
      </c>
      <c r="N11" s="1799">
        <f>SUMPRODUCT((因素修正幅度!B317:B337=I2)*(因素修正幅度!C3:F3=E2)*(因素修正幅度!C317:F337))</f>
        <v>0</v>
      </c>
      <c r="O11" s="3230"/>
      <c r="P11" s="2068"/>
      <c r="Q11" s="2068"/>
      <c r="R11" s="2651">
        <v>10</v>
      </c>
      <c r="S11" s="2640"/>
      <c r="T11" s="2651" t="e">
        <f t="shared" si="0"/>
        <v>#DIV/0!</v>
      </c>
      <c r="U11" s="2640"/>
      <c r="V11" s="2651" t="e">
        <f t="shared" si="1"/>
        <v>#DIV/0!</v>
      </c>
      <c r="W11" s="3675" t="s">
        <v>2753</v>
      </c>
      <c r="X11" s="1033" t="s">
        <v>2738</v>
      </c>
      <c r="Y11" s="1580">
        <f>$G$3</f>
        <v>4</v>
      </c>
      <c r="Z11" s="1580">
        <f t="shared" ref="Z11:AJ11" si="3">$G$3</f>
        <v>4</v>
      </c>
      <c r="AA11" s="1580">
        <f t="shared" si="3"/>
        <v>4</v>
      </c>
      <c r="AB11" s="1580">
        <f t="shared" si="3"/>
        <v>4</v>
      </c>
      <c r="AC11" s="1580">
        <f t="shared" si="3"/>
        <v>4</v>
      </c>
      <c r="AD11" s="1580">
        <f t="shared" si="3"/>
        <v>4</v>
      </c>
      <c r="AE11" s="1580">
        <f t="shared" si="3"/>
        <v>4</v>
      </c>
      <c r="AF11" s="1580">
        <f t="shared" si="3"/>
        <v>4</v>
      </c>
      <c r="AG11" s="1580">
        <f t="shared" si="3"/>
        <v>4</v>
      </c>
      <c r="AH11" s="1580">
        <f t="shared" si="3"/>
        <v>4</v>
      </c>
      <c r="AI11" s="1580">
        <f t="shared" si="3"/>
        <v>4</v>
      </c>
      <c r="AJ11" s="1580">
        <f t="shared" si="3"/>
        <v>4</v>
      </c>
    </row>
    <row r="12" spans="1:39" ht="25.5" thickBot="1">
      <c r="A12" s="3689" t="s">
        <v>1861</v>
      </c>
      <c r="B12" s="1386" t="s">
        <v>937</v>
      </c>
      <c r="C12" s="1028">
        <f>ROUND(C15*D15*E15*F15*G15*H15*I15*J15,4)</f>
        <v>1</v>
      </c>
      <c r="D12" s="1387" t="s">
        <v>938</v>
      </c>
      <c r="E12" s="1388"/>
      <c r="F12" s="1388"/>
      <c r="G12" s="1389"/>
      <c r="H12" s="1389"/>
      <c r="I12" s="1389"/>
      <c r="J12" s="1390"/>
      <c r="K12" s="3230"/>
      <c r="L12" s="1800" t="s">
        <v>2237</v>
      </c>
      <c r="M12" s="1801">
        <f>SUMPRODUCT((区片价!B338:B344=I2)*(区片价!C3:F3=E2)*(区片价!C338:F344))</f>
        <v>0</v>
      </c>
      <c r="N12" s="1802">
        <f>SUMPRODUCT((因素修正幅度!B338:B344=I2)*(因素修正幅度!C3:F3=E2)*(因素修正幅度!C338:F344))</f>
        <v>0</v>
      </c>
      <c r="O12" s="3230"/>
      <c r="P12" s="2068"/>
      <c r="Q12" s="2068"/>
      <c r="R12" s="2651">
        <v>11</v>
      </c>
      <c r="S12" s="2640"/>
      <c r="T12" s="2651" t="e">
        <f t="shared" si="0"/>
        <v>#DIV/0!</v>
      </c>
      <c r="U12" s="2640"/>
      <c r="V12" s="2651" t="e">
        <f t="shared" si="1"/>
        <v>#DIV/0!</v>
      </c>
      <c r="W12" s="3675"/>
      <c r="X12" s="2648" t="s">
        <v>2754</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91"/>
      <c r="B13" s="1391" t="s">
        <v>1686</v>
      </c>
      <c r="C13" s="1392" t="s">
        <v>1687</v>
      </c>
      <c r="D13" s="1070" t="s">
        <v>1688</v>
      </c>
      <c r="E13" s="1070" t="s">
        <v>1689</v>
      </c>
      <c r="F13" s="1393" t="s">
        <v>939</v>
      </c>
      <c r="G13" s="1394" t="s">
        <v>1633</v>
      </c>
      <c r="H13" s="1395" t="s">
        <v>1633</v>
      </c>
      <c r="I13" s="1396" t="s">
        <v>1633</v>
      </c>
      <c r="J13" s="1397" t="s">
        <v>1633</v>
      </c>
      <c r="K13" s="2840"/>
      <c r="L13" s="2840"/>
      <c r="M13" s="2840"/>
      <c r="N13" s="2840"/>
      <c r="O13" s="2840"/>
      <c r="P13" s="2068"/>
      <c r="Q13" s="2068"/>
      <c r="R13" s="2651">
        <v>12</v>
      </c>
      <c r="S13" s="2640"/>
      <c r="T13" s="2651" t="e">
        <f t="shared" si="0"/>
        <v>#DIV/0!</v>
      </c>
      <c r="U13" s="2640"/>
      <c r="V13" s="2651" t="e">
        <f t="shared" si="1"/>
        <v>#DIV/0!</v>
      </c>
      <c r="W13" s="3675"/>
      <c r="X13" s="2648"/>
      <c r="Y13" s="2647">
        <f>(-0.163*(Y12^2)-0.59*Y12+7617)*(10^(-4))/Y11</f>
        <v>0.19042500000000001</v>
      </c>
      <c r="Z13" s="2647">
        <f t="shared" ref="Z13:AJ13" si="5">(-0.163*(Z12^2)-0.59*Z12+7617)*(10^(-4))/Z11</f>
        <v>0.19042500000000001</v>
      </c>
      <c r="AA13" s="2647">
        <f t="shared" si="5"/>
        <v>0.19042500000000001</v>
      </c>
      <c r="AB13" s="2647">
        <f t="shared" si="5"/>
        <v>0.19042500000000001</v>
      </c>
      <c r="AC13" s="2647">
        <f t="shared" si="5"/>
        <v>0.19042500000000001</v>
      </c>
      <c r="AD13" s="2647">
        <f t="shared" si="5"/>
        <v>0.19042500000000001</v>
      </c>
      <c r="AE13" s="2647">
        <f t="shared" si="5"/>
        <v>0.19042500000000001</v>
      </c>
      <c r="AF13" s="2647">
        <f t="shared" si="5"/>
        <v>0.19042500000000001</v>
      </c>
      <c r="AG13" s="2647">
        <f t="shared" si="5"/>
        <v>0.19042500000000001</v>
      </c>
      <c r="AH13" s="2647">
        <f t="shared" si="5"/>
        <v>0.19042500000000001</v>
      </c>
      <c r="AI13" s="2647">
        <f t="shared" si="5"/>
        <v>0.19042500000000001</v>
      </c>
      <c r="AJ13" s="2647">
        <f t="shared" si="5"/>
        <v>0.19042500000000001</v>
      </c>
    </row>
    <row r="14" spans="1:39" ht="12.75" customHeight="1">
      <c r="A14" s="3691"/>
      <c r="B14" s="1398"/>
      <c r="C14" s="1399"/>
      <c r="D14" s="1400"/>
      <c r="E14" s="1400"/>
      <c r="F14" s="1401"/>
      <c r="G14" s="1402" t="s">
        <v>940</v>
      </c>
      <c r="H14" s="1403"/>
      <c r="I14" s="1404"/>
      <c r="J14" s="1405"/>
      <c r="K14" s="3231"/>
      <c r="L14" s="3231"/>
      <c r="M14" s="3231"/>
      <c r="N14" s="3231"/>
      <c r="O14" s="3231"/>
      <c r="P14" s="2068"/>
      <c r="Q14" s="2068"/>
      <c r="R14" s="2651">
        <v>13</v>
      </c>
      <c r="S14" s="2640"/>
      <c r="T14" s="2651" t="e">
        <f t="shared" si="0"/>
        <v>#DIV/0!</v>
      </c>
      <c r="U14" s="2640"/>
      <c r="V14" s="2651" t="e">
        <f t="shared" si="1"/>
        <v>#DIV/0!</v>
      </c>
      <c r="W14" s="2068"/>
      <c r="X14" s="2068"/>
      <c r="Y14" s="2068"/>
      <c r="Z14" s="2068"/>
      <c r="AA14" s="2068"/>
      <c r="AB14" s="2068"/>
      <c r="AC14" s="2069"/>
    </row>
    <row r="15" spans="1:39" ht="13.5" customHeight="1" thickBot="1">
      <c r="A15" s="3692"/>
      <c r="B15" s="2845" t="s">
        <v>1690</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8"/>
      <c r="Q15" s="2068"/>
      <c r="R15" s="2651">
        <v>14</v>
      </c>
      <c r="S15" s="2640"/>
      <c r="T15" s="2651" t="e">
        <f t="shared" si="0"/>
        <v>#DIV/0!</v>
      </c>
      <c r="U15" s="2640"/>
      <c r="V15" s="2651" t="e">
        <f t="shared" si="1"/>
        <v>#DIV/0!</v>
      </c>
      <c r="W15" s="2068"/>
      <c r="X15" s="2068"/>
      <c r="Y15" s="2068"/>
      <c r="Z15" s="2068"/>
      <c r="AA15" s="2068"/>
      <c r="AB15" s="2068"/>
      <c r="AC15" s="2069"/>
    </row>
    <row r="16" spans="1:39" ht="24.6" customHeight="1">
      <c r="A16" s="3689" t="s">
        <v>1828</v>
      </c>
      <c r="B16" s="1374" t="s">
        <v>941</v>
      </c>
      <c r="C16" s="1037" t="e">
        <f>ROUND(IF(F17="与级别开发程度一致",0,(G17-E17)/C17),0)</f>
        <v>#DIV/0!</v>
      </c>
      <c r="D16" s="3683" t="s">
        <v>945</v>
      </c>
      <c r="E16" s="3684"/>
      <c r="F16" s="3683" t="s">
        <v>942</v>
      </c>
      <c r="G16" s="3684"/>
      <c r="H16" s="1406"/>
      <c r="I16" s="1406"/>
      <c r="J16" s="1406"/>
      <c r="K16" s="1406"/>
      <c r="L16" s="1406"/>
      <c r="M16" s="1406"/>
      <c r="N16" s="1406"/>
      <c r="O16" s="2850"/>
      <c r="P16" s="2068"/>
      <c r="Q16" s="2071"/>
      <c r="R16" s="2651">
        <v>15</v>
      </c>
      <c r="S16" s="2640"/>
      <c r="T16" s="2651" t="e">
        <f t="shared" si="0"/>
        <v>#DIV/0!</v>
      </c>
      <c r="U16" s="2640"/>
      <c r="V16" s="2651" t="e">
        <f t="shared" si="1"/>
        <v>#DIV/0!</v>
      </c>
      <c r="W16" s="2071"/>
      <c r="X16" s="2071"/>
      <c r="Y16" s="2071"/>
      <c r="Z16" s="2071"/>
      <c r="AA16" s="2071"/>
      <c r="AB16" s="2071"/>
      <c r="AC16" s="2072"/>
    </row>
    <row r="17" spans="1:40" ht="13.5" thickBot="1">
      <c r="A17" s="3693"/>
      <c r="B17" s="2851" t="s">
        <v>944</v>
      </c>
      <c r="C17" s="2852">
        <f>SUMPRODUCT((修正!A2:A5=E2)*(修正!B1:M1=G2)*(修正!B2:M5))</f>
        <v>0</v>
      </c>
      <c r="D17" s="2853" t="str">
        <f>IF(OR(G2="八级",G2="九级",G2="十级",G2="十一级",G2="十二级"),"五通一平","七通一平")</f>
        <v>七通一平</v>
      </c>
      <c r="E17" s="2843">
        <f>SUMPRODUCT((修正!B1:M1=G2)*(修正!B15:M15))</f>
        <v>0</v>
      </c>
      <c r="F17" s="2844"/>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4" t="s">
        <v>1819</v>
      </c>
      <c r="B18" s="2846" t="s">
        <v>946</v>
      </c>
      <c r="C18" s="2847">
        <f>SUMIF(修正!C18:C39,E3,修正!E18:E39)</f>
        <v>0</v>
      </c>
      <c r="D18" s="2848"/>
      <c r="E18" s="2849"/>
      <c r="F18" s="2832"/>
      <c r="G18" s="2831"/>
      <c r="H18" s="2831"/>
      <c r="I18" s="2831"/>
      <c r="J18" s="2839"/>
      <c r="K18" s="3229"/>
      <c r="L18" s="2831"/>
      <c r="M18" s="2831"/>
      <c r="N18" s="2831"/>
      <c r="O18" s="2831"/>
      <c r="P18" s="3234"/>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1825</v>
      </c>
      <c r="B19" s="1409" t="s">
        <v>947</v>
      </c>
      <c r="C19" s="1038" t="e">
        <f>ROUND(IF(H19="按公示增长率计算",SUMPRODUCT((地价!A3:A32=YEAR(G19)&amp;"-"&amp;ROUNDUP(MONTH(G19)/3,0))*(地价!X2:AB2=E2)*(地价!X3:AB32)),IF(H19="地价指数",M20/M19,(1+I19)^O19)),4)</f>
        <v>#VALUE!</v>
      </c>
      <c r="D19" s="1413" t="s">
        <v>948</v>
      </c>
      <c r="E19" s="1039">
        <v>41640</v>
      </c>
      <c r="F19" s="1413" t="s">
        <v>949</v>
      </c>
      <c r="G19" s="1040">
        <f>'数据-取费表'!B2</f>
        <v>44125</v>
      </c>
      <c r="H19" s="1414"/>
      <c r="I19" s="2500" t="str">
        <f>IF(H19="季度增幅（自定义）",SUMIF(N21:N24,E2,O21:O24),"")</f>
        <v/>
      </c>
      <c r="J19" s="1410"/>
      <c r="K19" s="3229"/>
      <c r="L19" s="2750" t="s">
        <v>2813</v>
      </c>
      <c r="M19" s="2751">
        <f>ROUND(SUMIF(地价!B2:F2,E2,地价!B32:F32),0)</f>
        <v>0</v>
      </c>
      <c r="N19" s="2502" t="s">
        <v>1667</v>
      </c>
      <c r="O19" s="2501">
        <f>ROUNDDOWN(DATEDIF(E19,G19,"M")/3,0)</f>
        <v>27</v>
      </c>
      <c r="P19" s="2072"/>
      <c r="Q19" s="2639"/>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4" t="s">
        <v>1826</v>
      </c>
      <c r="B20" s="2495" t="s">
        <v>962</v>
      </c>
      <c r="C20" s="2496" t="e">
        <f>ROUND(POWER(1+G20,J20-I20)*(POWER(1+G20,I20)-1)/(POWER(1+G20,J20)-1),4)</f>
        <v>#DIV/0!</v>
      </c>
      <c r="D20" s="2497" t="s">
        <v>963</v>
      </c>
      <c r="E20" s="2780">
        <f ca="1">存贷款利率!I4/100</f>
        <v>4.3499999999999997E-2</v>
      </c>
      <c r="F20" s="2497" t="s">
        <v>964</v>
      </c>
      <c r="G20" s="2498">
        <f>SUMIF(M26:P26,E2,M28:P28)</f>
        <v>0</v>
      </c>
      <c r="H20" s="2497" t="s">
        <v>965</v>
      </c>
      <c r="I20" s="2493" t="e">
        <f>SUMIF('数据-取费表'!C6:C15,E2,'数据-取费表'!F6:F15)/COUNTIF('数据-取费表'!C6:C15,E2)</f>
        <v>#DIV/0!</v>
      </c>
      <c r="J20" s="2499">
        <f>IF(E2="住宅",70,IF(E2="商业",40,50))</f>
        <v>50</v>
      </c>
      <c r="K20" s="2841"/>
      <c r="L20" s="2752" t="s">
        <v>2814</v>
      </c>
      <c r="M20" s="2834">
        <f>ROUND(SUMPRODUCT((地价!A4:A32=YEAR(G19)&amp;"-"&amp;ROUNDUP(MONTH(G19)/3,0))*(地价!B2:F2=E2)*(地价!B4:F32)),0)</f>
        <v>0</v>
      </c>
      <c r="N20" s="2505" t="s">
        <v>2618</v>
      </c>
      <c r="O20" s="2503" t="s">
        <v>2617</v>
      </c>
      <c r="P20" s="2504" t="s">
        <v>2623</v>
      </c>
      <c r="Q20" s="2639"/>
      <c r="R20" s="2074"/>
      <c r="S20" s="2074"/>
      <c r="T20" s="2074"/>
      <c r="U20" s="2074"/>
      <c r="V20" s="2074"/>
      <c r="W20" s="2074"/>
      <c r="X20" s="2074"/>
      <c r="Y20" s="1411"/>
      <c r="Z20" s="1411"/>
      <c r="AA20" s="1411"/>
      <c r="AB20" s="1411"/>
      <c r="AC20" s="1411"/>
      <c r="AD20" s="1411"/>
    </row>
    <row r="21" spans="1:40" s="1368" customFormat="1" ht="14.25">
      <c r="A21" s="1569" t="s">
        <v>1827</v>
      </c>
      <c r="B21" s="1419"/>
      <c r="C21" s="1139">
        <f>IF(B21="容积率修正",IF(G3&lt;=10,D22,J22),C23)</f>
        <v>0</v>
      </c>
      <c r="D21" s="1420"/>
      <c r="E21" s="1420"/>
      <c r="F21" s="1420"/>
      <c r="G21" s="1420"/>
      <c r="H21" s="1420"/>
      <c r="I21" s="1420"/>
      <c r="J21" s="1421"/>
      <c r="K21" s="3229"/>
      <c r="L21" s="1420"/>
      <c r="M21" s="1420"/>
      <c r="N21" s="1417" t="s">
        <v>966</v>
      </c>
      <c r="O21" s="1480"/>
      <c r="P21" s="2492">
        <f>SUMPRODUCT((地价!A3:A32=YEAR(G19)&amp;"-"&amp;ROUNDUP(MONTH(G19)/3,0))*(地价!AD2:AH2=N21)*(地价!AD3:AH32))</f>
        <v>1.1599999999999999E-2</v>
      </c>
      <c r="Q21" s="2639"/>
      <c r="R21" s="2074"/>
      <c r="S21" s="2074"/>
      <c r="T21" s="2074"/>
      <c r="U21" s="2074"/>
      <c r="V21" s="2074"/>
      <c r="W21" s="2074"/>
      <c r="X21" s="2074"/>
      <c r="Y21" s="1350"/>
      <c r="Z21" s="1350"/>
      <c r="AA21" s="1350"/>
      <c r="AB21" s="1350"/>
      <c r="AC21" s="1411"/>
      <c r="AD21" s="1411"/>
    </row>
    <row r="22" spans="1:40" s="1368" customFormat="1" ht="14.25">
      <c r="A22" s="1570" t="s">
        <v>1860</v>
      </c>
      <c r="B22" s="1422" t="s">
        <v>967</v>
      </c>
      <c r="C22" s="1041" t="s">
        <v>1692</v>
      </c>
      <c r="D22" s="1041" t="b">
        <f>IF(E22=G22,F22,IF(G3&lt;=10,ROUND(F22+(H22-F22)*(G3-E22)/(G22-E22),4),"——"))</f>
        <v>0</v>
      </c>
      <c r="E22" s="1024">
        <f>ROUNDDOWN(G3,1)</f>
        <v>4</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4</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5"/>
      <c r="L22" s="1420"/>
      <c r="M22" s="1420"/>
      <c r="N22" s="1417" t="s">
        <v>969</v>
      </c>
      <c r="O22" s="1480"/>
      <c r="P22" s="2492">
        <f>SUMPRODUCT((地价!A3:A32=YEAR(G19)&amp;"-"&amp;ROUNDUP(MONTH(G19)/3,0))*(地价!AD2:AH2=N22)*(地价!AD3:AH32))</f>
        <v>1.1599999999999999E-2</v>
      </c>
      <c r="Q22" s="2639"/>
      <c r="R22" s="2074"/>
      <c r="S22" s="2074"/>
      <c r="T22" s="2074"/>
      <c r="U22" s="2074"/>
      <c r="V22" s="2074"/>
      <c r="W22" s="2074"/>
      <c r="X22" s="2074"/>
      <c r="Y22" s="1411"/>
      <c r="Z22" s="1411"/>
      <c r="AA22" s="1411"/>
      <c r="AB22" s="1411"/>
      <c r="AC22" s="1411"/>
      <c r="AD22" s="1411"/>
    </row>
    <row r="23" spans="1:40" ht="15.75" thickBot="1">
      <c r="A23" s="1570" t="s">
        <v>1861</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6"/>
      <c r="L23" s="1348"/>
      <c r="M23" s="1348"/>
      <c r="N23" s="1417" t="s">
        <v>914</v>
      </c>
      <c r="O23" s="1480"/>
      <c r="P23" s="2492">
        <f>SUMPRODUCT((地价!A3:A32=YEAR(G19)&amp;"-"&amp;ROUNDUP(MONTH(G19)/3,0))*(地价!AD2:AH2=N23)*(地价!AD3:AH32))</f>
        <v>1.9E-2</v>
      </c>
      <c r="Q23" s="2639"/>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971</v>
      </c>
      <c r="C24" s="1043">
        <f>SUMIF(A44:A87,E2,B44:B87)</f>
        <v>0</v>
      </c>
      <c r="D24" s="1473"/>
      <c r="E24" s="1474"/>
      <c r="F24" s="1474"/>
      <c r="G24" s="1474"/>
      <c r="H24" s="1474"/>
      <c r="I24" s="1474"/>
      <c r="J24" s="1474"/>
      <c r="K24" s="3236"/>
      <c r="L24" s="1420"/>
      <c r="M24" s="1420"/>
      <c r="N24" s="1417" t="s">
        <v>972</v>
      </c>
      <c r="O24" s="2833"/>
      <c r="P24" s="2492">
        <f>SUMPRODUCT((地价!A3:A32=YEAR(G19)&amp;"-"&amp;ROUNDUP(MONTH(G19)/3,0))*(地价!AD2:AH2=N24)*(地价!AD3:AH32))</f>
        <v>1.23E-2</v>
      </c>
      <c r="Q24" s="2639"/>
      <c r="R24" s="2074"/>
      <c r="S24" s="2074"/>
      <c r="T24" s="2074"/>
      <c r="U24" s="2074"/>
      <c r="V24" s="2074"/>
      <c r="W24" s="2074"/>
      <c r="X24" s="2074"/>
      <c r="Y24" s="1411"/>
      <c r="Z24" s="1411"/>
      <c r="AA24" s="1411"/>
      <c r="AB24" s="1411"/>
      <c r="AC24" s="1411"/>
      <c r="AD24" s="1411"/>
    </row>
    <row r="25" spans="1:40" ht="15" thickBot="1">
      <c r="A25" s="1568" t="s">
        <v>1863</v>
      </c>
      <c r="B25" s="1424" t="s">
        <v>973</v>
      </c>
      <c r="C25" s="1425"/>
      <c r="D25" s="1377"/>
      <c r="E25" s="1377"/>
      <c r="F25" s="1426"/>
      <c r="G25" s="1377"/>
      <c r="H25" s="1377"/>
      <c r="I25" s="1377"/>
      <c r="J25" s="1378"/>
      <c r="K25" s="3230"/>
      <c r="L25" s="2074"/>
      <c r="M25" s="2074"/>
      <c r="N25" s="2835" t="s">
        <v>2621</v>
      </c>
      <c r="O25" s="2836"/>
      <c r="P25" s="2300">
        <f>SUMPRODUCT((地价!A3:A32=YEAR(G19)&amp;"-"&amp;ROUNDUP(MONTH(G19)/3,0))*(地价!AD2:AH2=N25)*(地价!AD3:AH32))</f>
        <v>1.7299999999999999E-2</v>
      </c>
      <c r="Q25" s="2639"/>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4" t="e">
        <f>IF(B21="容积率修正",E29+SUM(E33:E39),SUM(V2:V16)+SUM(E33:E39))</f>
        <v>#DIV/0!</v>
      </c>
      <c r="D26" s="1428"/>
      <c r="E26" s="1403"/>
      <c r="F26" s="1429"/>
      <c r="G26" s="1403"/>
      <c r="H26" s="1403"/>
      <c r="I26" s="1403"/>
      <c r="J26" s="1430"/>
      <c r="K26" s="3230"/>
      <c r="L26" s="1527" t="s">
        <v>889</v>
      </c>
      <c r="M26" s="1375" t="s">
        <v>974</v>
      </c>
      <c r="N26" s="1375" t="s">
        <v>975</v>
      </c>
      <c r="O26" s="1375" t="s">
        <v>893</v>
      </c>
      <c r="P26" s="1415" t="s">
        <v>976</v>
      </c>
      <c r="Q26" s="2639"/>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t="e">
        <f>E30+SUM(I33:I39)</f>
        <v>#DIV/0!</v>
      </c>
      <c r="D27" s="1432"/>
      <c r="E27" s="1433"/>
      <c r="F27" s="1434"/>
      <c r="G27" s="1433"/>
      <c r="H27" s="1433"/>
      <c r="I27" s="1433"/>
      <c r="J27" s="1435"/>
      <c r="K27" s="3230"/>
      <c r="L27" s="1407" t="s">
        <v>978</v>
      </c>
      <c r="M27" s="1032">
        <v>0.25</v>
      </c>
      <c r="N27" s="1032">
        <v>0.2</v>
      </c>
      <c r="O27" s="1032">
        <v>0.15</v>
      </c>
      <c r="P27" s="1477">
        <v>0.1</v>
      </c>
      <c r="Q27" s="2074"/>
      <c r="R27" s="2639"/>
      <c r="S27" s="2639"/>
      <c r="T27" s="2639"/>
      <c r="U27" s="2639"/>
      <c r="V27" s="2639"/>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30"/>
      <c r="L28" s="1408" t="s">
        <v>964</v>
      </c>
      <c r="M28" s="1478">
        <f ca="1">ROUND($E$20*(1+M27),3)</f>
        <v>5.3999999999999999E-2</v>
      </c>
      <c r="N28" s="1478">
        <f ca="1">ROUND($E$20*(1+N27),3)</f>
        <v>5.1999999999999998E-2</v>
      </c>
      <c r="O28" s="1478">
        <f ca="1">ROUND($E$20*(1+O27),3)</f>
        <v>0.05</v>
      </c>
      <c r="P28" s="1479">
        <f ca="1">ROUND($E$20*(1+P27),3)</f>
        <v>4.8000000000000001E-2</v>
      </c>
      <c r="Q28" s="2074"/>
      <c r="R28" s="2639"/>
      <c r="S28" s="2639"/>
      <c r="T28" s="2639"/>
      <c r="U28" s="2639"/>
      <c r="V28" s="2639"/>
      <c r="W28" s="2074"/>
      <c r="X28" s="2074"/>
      <c r="Y28" s="2074"/>
      <c r="Z28" s="2074"/>
      <c r="AA28" s="2074"/>
      <c r="AB28" s="2074"/>
      <c r="AC28" s="2074"/>
      <c r="AD28" s="1411"/>
      <c r="AE28" s="1411"/>
      <c r="AF28" s="1411"/>
      <c r="AG28" s="1411"/>
    </row>
    <row r="29" spans="1:40" ht="14.25">
      <c r="A29" s="1440"/>
      <c r="B29" s="1441" t="s">
        <v>984</v>
      </c>
      <c r="C29" s="1044" t="e">
        <f>ROUND(C5*C18*C19*C20*C21*C24,0)</f>
        <v>#DIV/0!</v>
      </c>
      <c r="D29" s="1442"/>
      <c r="E29" s="1761" t="e">
        <f>ROUND(C29*D29/10000,0)</f>
        <v>#DIV/0!</v>
      </c>
      <c r="F29" s="1443" t="s">
        <v>1691</v>
      </c>
      <c r="G29" s="1444"/>
      <c r="H29" s="1444"/>
      <c r="I29" s="1444"/>
      <c r="J29" s="1445"/>
      <c r="K29" s="3237"/>
      <c r="L29" s="3237"/>
      <c r="M29" s="3237"/>
      <c r="N29" s="3237"/>
      <c r="O29" s="3237"/>
      <c r="P29" s="2068"/>
      <c r="Q29" s="2074"/>
      <c r="R29" s="2074"/>
      <c r="S29" s="2074"/>
      <c r="T29" s="2074"/>
      <c r="U29" s="2074"/>
      <c r="V29" s="2074"/>
      <c r="W29" s="2639"/>
      <c r="X29" s="2639"/>
      <c r="Y29" s="2639"/>
      <c r="Z29" s="2639"/>
      <c r="AA29" s="2639"/>
      <c r="AB29" s="2074"/>
      <c r="AC29" s="2074"/>
      <c r="AD29" s="2074"/>
      <c r="AE29" s="2074"/>
      <c r="AF29" s="2074"/>
      <c r="AG29" s="2074"/>
      <c r="AH29" s="2074"/>
      <c r="AJ29" s="1350"/>
      <c r="AK29" s="1350"/>
      <c r="AL29" s="1350"/>
      <c r="AM29" s="1349"/>
      <c r="AN29" s="1349"/>
    </row>
    <row r="30" spans="1:40" ht="24.75" thickBot="1">
      <c r="A30" s="1446"/>
      <c r="B30" s="1447" t="s">
        <v>985</v>
      </c>
      <c r="C30" s="1036" t="e">
        <f>ROUND(IF(E2="工业",C29*M39,C29*M38),0)</f>
        <v>#DIV/0!</v>
      </c>
      <c r="D30" s="1448"/>
      <c r="E30" s="1761" t="e">
        <f>ROUND(C30*D30/10000,0)</f>
        <v>#DIV/0!</v>
      </c>
      <c r="F30" s="1449" t="s">
        <v>986</v>
      </c>
      <c r="G30" s="1450"/>
      <c r="H30" s="1450"/>
      <c r="I30" s="1450"/>
      <c r="J30" s="1451"/>
      <c r="K30" s="3230"/>
      <c r="L30" s="3230"/>
      <c r="M30" s="3230"/>
      <c r="N30" s="3230"/>
      <c r="O30" s="3230"/>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0"/>
      <c r="L31" s="3230"/>
      <c r="M31" s="3230"/>
      <c r="N31" s="3230"/>
      <c r="O31" s="3230"/>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38"/>
      <c r="L32" s="3238"/>
      <c r="M32" s="3238"/>
      <c r="N32" s="3238"/>
      <c r="O32" s="3238"/>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85"/>
      <c r="B33" s="1462" t="s">
        <v>990</v>
      </c>
      <c r="C33" s="1044" t="e">
        <f>ROUND(D5*C19*C20*C24*F33,0)</f>
        <v>#DIV/0!</v>
      </c>
      <c r="D33" s="1475"/>
      <c r="E33" s="1033" t="e">
        <f>ROUND(C33*D33/10000,0)</f>
        <v>#DIV/0!</v>
      </c>
      <c r="F33" s="1033">
        <f>SUMIF(修正!A45:A56,G2,修正!B45:B56)</f>
        <v>0</v>
      </c>
      <c r="G33" s="1033" t="e">
        <f t="shared" ref="G33" si="6">ROUND(IF(E2="工业",C33*$M$39,C33*$M$38),0)</f>
        <v>#DIV/0!</v>
      </c>
      <c r="H33" s="1033">
        <f>D33</f>
        <v>0</v>
      </c>
      <c r="I33" s="1033" t="e">
        <f>ROUND(G33*H33/10000,0)</f>
        <v>#DIV/0!</v>
      </c>
      <c r="J33" s="3685" t="s">
        <v>2980</v>
      </c>
      <c r="K33" s="2840"/>
      <c r="L33" s="2840"/>
      <c r="M33" s="2840"/>
      <c r="N33" s="2840"/>
      <c r="O33" s="2840"/>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86"/>
      <c r="B34" s="1392" t="s">
        <v>991</v>
      </c>
      <c r="C34" s="1044" t="e">
        <f>ROUND(D5*C19*C20*C24*F34,0)</f>
        <v>#DIV/0!</v>
      </c>
      <c r="D34" s="1475"/>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686"/>
      <c r="K34" s="2840"/>
      <c r="L34" s="2840"/>
      <c r="M34" s="2840"/>
      <c r="N34" s="2840"/>
      <c r="O34" s="2840"/>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86"/>
      <c r="B35" s="1392" t="s">
        <v>992</v>
      </c>
      <c r="C35" s="1044" t="e">
        <f>ROUND(D5*C19*C20*C24*F35,0)</f>
        <v>#DIV/0!</v>
      </c>
      <c r="D35" s="1475"/>
      <c r="E35" s="1033" t="e">
        <f t="shared" si="7"/>
        <v>#DIV/0!</v>
      </c>
      <c r="F35" s="1033">
        <f>SUMIF(修正!A45:A56,G2,修正!D45:D56)</f>
        <v>0</v>
      </c>
      <c r="G35" s="1033" t="e">
        <f>ROUND(IF(E2="工业",C35*$M$39,C35*$M$38),0)</f>
        <v>#DIV/0!</v>
      </c>
      <c r="H35" s="1033">
        <f t="shared" si="8"/>
        <v>0</v>
      </c>
      <c r="I35" s="1033" t="e">
        <f t="shared" si="9"/>
        <v>#DIV/0!</v>
      </c>
      <c r="J35" s="3686"/>
      <c r="K35" s="2840"/>
      <c r="L35" s="2840"/>
      <c r="M35" s="2840"/>
      <c r="N35" s="2840"/>
      <c r="O35" s="2840"/>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87"/>
      <c r="B36" s="1392" t="s">
        <v>993</v>
      </c>
      <c r="C36" s="1044" t="e">
        <f>ROUND(D5*C19*C20*C24*F36,0)</f>
        <v>#DIV/0!</v>
      </c>
      <c r="D36" s="1475"/>
      <c r="E36" s="1033" t="e">
        <f t="shared" si="7"/>
        <v>#DIV/0!</v>
      </c>
      <c r="F36" s="1033">
        <f>SUMIF(修正!A45:A56,G2,修正!E45:E56)</f>
        <v>0</v>
      </c>
      <c r="G36" s="1033" t="e">
        <f>ROUND(IF(E2="工业",C36*$M$39,C36*$M$38),0)</f>
        <v>#DIV/0!</v>
      </c>
      <c r="H36" s="1033">
        <f t="shared" si="8"/>
        <v>0</v>
      </c>
      <c r="I36" s="1033" t="e">
        <f t="shared" si="9"/>
        <v>#DIV/0!</v>
      </c>
      <c r="J36" s="3687"/>
      <c r="K36" s="2840"/>
      <c r="L36" s="2840"/>
      <c r="M36" s="2840"/>
      <c r="N36" s="2840"/>
      <c r="O36" s="2840"/>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3" t="e">
        <f>ROUND(D5*C19*C20*C24*F37,0)</f>
        <v>#DIV/0!</v>
      </c>
      <c r="D37" s="1475"/>
      <c r="E37" s="1033" t="e">
        <f t="shared" si="7"/>
        <v>#DIV/0!</v>
      </c>
      <c r="F37" s="1044">
        <f>SUMIF(修正!A45:A56,G2,修正!F45:F56)</f>
        <v>0</v>
      </c>
      <c r="G37" s="1033" t="e">
        <f>ROUND(IF(E2="工业",C37*$M$39,C37*$M$38),0)</f>
        <v>#DIV/0!</v>
      </c>
      <c r="H37" s="1033">
        <f t="shared" si="8"/>
        <v>0</v>
      </c>
      <c r="I37" s="1033" t="e">
        <f t="shared" si="9"/>
        <v>#DIV/0!</v>
      </c>
      <c r="J37" s="1463"/>
      <c r="K37" s="2068"/>
      <c r="L37" s="1481" t="s">
        <v>1693</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3" t="e">
        <f>ROUND(D5*C19*C41*C24*F38,0)</f>
        <v>#DIV/0!</v>
      </c>
      <c r="D38" s="1475"/>
      <c r="E38" s="1033" t="e">
        <f t="shared" si="7"/>
        <v>#DIV/0!</v>
      </c>
      <c r="F38" s="1044">
        <f>SUMIF(修正!A45:A56,G2,修正!G45:G56)</f>
        <v>0</v>
      </c>
      <c r="G38" s="1033" t="e">
        <f>ROUND(IF(E2="工业",C38*$M$39,C38*$M$38),0)</f>
        <v>#DIV/0!</v>
      </c>
      <c r="H38" s="1033">
        <f t="shared" si="8"/>
        <v>0</v>
      </c>
      <c r="I38" s="1033" t="e">
        <f t="shared" si="9"/>
        <v>#DIV/0!</v>
      </c>
      <c r="J38" s="1463"/>
      <c r="K38" s="2068"/>
      <c r="L38" s="1483" t="s">
        <v>1695</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6" t="e">
        <f>ROUND(D5*C19*C41*C24*F39,0)</f>
        <v>#DIV/0!</v>
      </c>
      <c r="D39" s="1476"/>
      <c r="E39" s="1036" t="e">
        <f t="shared" si="7"/>
        <v>#DIV/0!</v>
      </c>
      <c r="F39" s="1046">
        <f>SUMIF(修正!A45:A56,G2,修正!H45:H56)</f>
        <v>0</v>
      </c>
      <c r="G39" s="1036" t="e">
        <f>ROUND(IF(E2="工业",C39*$M$39,C39*$M$38),0)</f>
        <v>#DIV/0!</v>
      </c>
      <c r="H39" s="1036">
        <f t="shared" si="8"/>
        <v>0</v>
      </c>
      <c r="I39" s="1036" t="e">
        <f t="shared" si="9"/>
        <v>#DIV/0!</v>
      </c>
      <c r="J39" s="1465"/>
      <c r="K39" s="2068"/>
      <c r="L39" s="1485" t="s">
        <v>1694</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0" t="s">
        <v>2938</v>
      </c>
      <c r="C41" s="827" t="e">
        <f>ROUND(POWER(1+E41,H41-G41)*(POWER(1+E41,G41)-1)/(POWER(1+E41,H41)-1),4)</f>
        <v>#DIV/0!</v>
      </c>
      <c r="D41" s="371" t="s">
        <v>2936</v>
      </c>
      <c r="E41" s="2829">
        <f>G20</f>
        <v>0</v>
      </c>
      <c r="F41" s="371" t="s">
        <v>2937</v>
      </c>
      <c r="G41" s="389"/>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999</v>
      </c>
      <c r="B46" s="2261" t="s">
        <v>1000</v>
      </c>
      <c r="C46" s="2283" t="s">
        <v>1001</v>
      </c>
      <c r="D46" s="2284" t="s">
        <v>1002</v>
      </c>
      <c r="E46" s="2285" t="s">
        <v>1004</v>
      </c>
      <c r="F46" s="2286" t="s">
        <v>2238</v>
      </c>
      <c r="G46" s="2284" t="s">
        <v>1005</v>
      </c>
      <c r="H46" s="2267" t="s">
        <v>2402</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24">
      <c r="A47" s="1048" t="s">
        <v>1011</v>
      </c>
      <c r="B47" s="2264" t="str">
        <f>估价对象房地状况!C16</f>
        <v>现状差，未来较好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14.25">
      <c r="A48" s="1048" t="s">
        <v>1012</v>
      </c>
      <c r="B48" s="2261" t="str">
        <f>估价对象房地状况!C18</f>
        <v>现状差，未来较好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1014</v>
      </c>
      <c r="B50" s="2782"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1016</v>
      </c>
      <c r="B52" s="2781"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现状差，未来好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七桶</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现状一般，未来较好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999</v>
      </c>
      <c r="B57" s="2261"/>
      <c r="C57" s="2283" t="s">
        <v>1001</v>
      </c>
      <c r="D57" s="2284" t="s">
        <v>1002</v>
      </c>
      <c r="E57" s="2285" t="s">
        <v>1004</v>
      </c>
      <c r="F57" s="2286" t="s">
        <v>2239</v>
      </c>
      <c r="G57" s="2284" t="s">
        <v>1005</v>
      </c>
      <c r="H57" s="2267" t="s">
        <v>2402</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24">
      <c r="A58" s="1048" t="s">
        <v>1021</v>
      </c>
      <c r="B58" s="2264" t="str">
        <f>估价对象房地状况!C17</f>
        <v>现状差，未来较好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14.25">
      <c r="A59" s="1048" t="s">
        <v>1012</v>
      </c>
      <c r="B59" s="2261" t="str">
        <f>估价对象房地状况!C18</f>
        <v>现状差，未来较好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1014</v>
      </c>
      <c r="B61" s="2782"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1016</v>
      </c>
      <c r="B63" s="2781"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8" t="s">
        <v>1017</v>
      </c>
      <c r="B64" s="2262" t="str">
        <f>估价对象房地状况!C21</f>
        <v>现状差，未来好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8" t="s">
        <v>1018</v>
      </c>
      <c r="B65" s="2262" t="str">
        <f>估价对象房地状况!C22</f>
        <v>七桶</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现状一般，未来较好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999</v>
      </c>
      <c r="B68" s="2261"/>
      <c r="C68" s="2283" t="s">
        <v>1001</v>
      </c>
      <c r="D68" s="2284" t="s">
        <v>1002</v>
      </c>
      <c r="E68" s="2285" t="s">
        <v>1004</v>
      </c>
      <c r="F68" s="2286" t="s">
        <v>2240</v>
      </c>
      <c r="G68" s="2284" t="s">
        <v>1005</v>
      </c>
      <c r="H68" s="2267" t="s">
        <v>2402</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24">
      <c r="A69" s="1048" t="s">
        <v>1023</v>
      </c>
      <c r="B69" s="2264" t="str">
        <f>估价对象房地状况!C15</f>
        <v>现状差，未来好</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14.25">
      <c r="A70" s="1048" t="s">
        <v>1024</v>
      </c>
      <c r="B70" s="2261" t="str">
        <f>估价对象房地状况!C18</f>
        <v>现状差，未来较好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8" t="s">
        <v>1017</v>
      </c>
      <c r="B73" s="2262" t="str">
        <f>估价对象房地状况!C21</f>
        <v>现状差，未来好</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8" t="s">
        <v>1018</v>
      </c>
      <c r="B74" s="2262" t="str">
        <f>估价对象房地状况!C22</f>
        <v>七桶</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1016</v>
      </c>
      <c r="B75" s="2781"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8" t="s">
        <v>1019</v>
      </c>
      <c r="B76" s="2264" t="str">
        <f>估价对象房地状况!C20</f>
        <v>现状一般，未来较好</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999</v>
      </c>
      <c r="B79" s="2261"/>
      <c r="C79" s="2283" t="s">
        <v>1001</v>
      </c>
      <c r="D79" s="2284" t="s">
        <v>1002</v>
      </c>
      <c r="E79" s="2285" t="s">
        <v>1004</v>
      </c>
      <c r="F79" s="2286" t="s">
        <v>2241</v>
      </c>
      <c r="G79" s="2284" t="s">
        <v>1005</v>
      </c>
      <c r="H79" s="2267" t="s">
        <v>2402</v>
      </c>
      <c r="I79" s="2284" t="s">
        <v>1003</v>
      </c>
      <c r="J79" s="2287" t="s">
        <v>1006</v>
      </c>
      <c r="K79" s="2287" t="s">
        <v>1007</v>
      </c>
      <c r="L79" s="2287" t="s">
        <v>1008</v>
      </c>
      <c r="M79" s="2287" t="s">
        <v>1009</v>
      </c>
      <c r="N79" s="2287" t="s">
        <v>1010</v>
      </c>
      <c r="AC79" s="1352"/>
      <c r="AD79" s="1351"/>
      <c r="AJ79" s="1350"/>
      <c r="AN79" s="1351"/>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8" t="s">
        <v>1016</v>
      </c>
      <c r="B86" s="2781"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694" t="s">
        <v>1624</v>
      </c>
      <c r="B90" s="3694"/>
      <c r="C90" s="3694"/>
      <c r="D90" s="3694"/>
      <c r="E90" s="3694"/>
      <c r="F90" s="3694"/>
      <c r="G90" s="3694"/>
      <c r="H90" s="3694"/>
      <c r="I90" s="3694"/>
      <c r="J90" s="3694"/>
      <c r="K90" s="2303"/>
      <c r="L90" s="2303"/>
      <c r="M90" s="2303"/>
      <c r="N90" s="2303"/>
    </row>
    <row r="91" spans="1:40">
      <c r="A91" s="3695" t="s">
        <v>1434</v>
      </c>
      <c r="B91" s="3695" t="s">
        <v>1625</v>
      </c>
      <c r="C91" s="1121" t="s">
        <v>1626</v>
      </c>
      <c r="D91" s="1122"/>
      <c r="E91" s="1122"/>
      <c r="F91" s="1122"/>
      <c r="G91" s="1122"/>
      <c r="H91" s="1122"/>
      <c r="I91" s="1122"/>
      <c r="J91" s="1123"/>
      <c r="K91" s="1115"/>
      <c r="L91" s="1115"/>
      <c r="M91" s="1115"/>
      <c r="N91" s="1115"/>
    </row>
    <row r="92" spans="1:40">
      <c r="A92" s="3695"/>
      <c r="B92" s="3695"/>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678" t="s">
        <v>2736</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79"/>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79"/>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79"/>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79"/>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79"/>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79"/>
      <c r="B99" s="1124" t="s">
        <v>1627</v>
      </c>
      <c r="C99" s="1126">
        <f>$I$3</f>
        <v>0</v>
      </c>
      <c r="D99" s="1126">
        <f t="shared" ref="D99:N99" si="30">$I$3</f>
        <v>0</v>
      </c>
      <c r="E99" s="1126">
        <f t="shared" si="30"/>
        <v>0</v>
      </c>
      <c r="F99" s="1126">
        <f t="shared" si="30"/>
        <v>0</v>
      </c>
      <c r="G99" s="1126">
        <f t="shared" si="30"/>
        <v>0</v>
      </c>
      <c r="H99" s="1126">
        <f t="shared" si="30"/>
        <v>0</v>
      </c>
      <c r="I99" s="1126">
        <f t="shared" si="30"/>
        <v>0</v>
      </c>
      <c r="J99" s="1126">
        <f t="shared" si="30"/>
        <v>0</v>
      </c>
      <c r="K99" s="1126">
        <f t="shared" si="30"/>
        <v>0</v>
      </c>
      <c r="L99" s="1126">
        <f t="shared" si="30"/>
        <v>0</v>
      </c>
      <c r="M99" s="1126">
        <f t="shared" si="30"/>
        <v>0</v>
      </c>
      <c r="N99" s="1126">
        <f t="shared" si="30"/>
        <v>0</v>
      </c>
    </row>
    <row r="100" spans="1:14">
      <c r="A100" s="3680"/>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78" t="s">
        <v>1628</v>
      </c>
      <c r="B101" s="1128" t="s">
        <v>897</v>
      </c>
      <c r="C101" s="1129">
        <f>$G$3</f>
        <v>4</v>
      </c>
      <c r="D101" s="1129">
        <f t="shared" ref="D101:N101" si="31">$G$3</f>
        <v>4</v>
      </c>
      <c r="E101" s="1129">
        <f t="shared" si="31"/>
        <v>4</v>
      </c>
      <c r="F101" s="1129">
        <f t="shared" si="31"/>
        <v>4</v>
      </c>
      <c r="G101" s="1129">
        <f t="shared" si="31"/>
        <v>4</v>
      </c>
      <c r="H101" s="1129">
        <f t="shared" si="31"/>
        <v>4</v>
      </c>
      <c r="I101" s="1129">
        <f t="shared" si="31"/>
        <v>4</v>
      </c>
      <c r="J101" s="1129">
        <f t="shared" si="31"/>
        <v>4</v>
      </c>
      <c r="K101" s="1129">
        <f t="shared" si="31"/>
        <v>4</v>
      </c>
      <c r="L101" s="1129">
        <f t="shared" si="31"/>
        <v>4</v>
      </c>
      <c r="M101" s="1129">
        <f t="shared" si="31"/>
        <v>4</v>
      </c>
      <c r="N101" s="1129">
        <f t="shared" si="31"/>
        <v>4</v>
      </c>
    </row>
    <row r="102" spans="1:14">
      <c r="A102" s="3679"/>
      <c r="B102" s="1124">
        <v>1</v>
      </c>
      <c r="C102" s="1125">
        <f>1.9362/C101</f>
        <v>0.48404999999999998</v>
      </c>
      <c r="D102" s="1125">
        <f>1.9362/D101</f>
        <v>0.48404999999999998</v>
      </c>
      <c r="E102" s="1125">
        <f>1.8629/E101</f>
        <v>0.465725</v>
      </c>
      <c r="F102" s="1125">
        <f>1.8629/F101</f>
        <v>0.465725</v>
      </c>
      <c r="G102" s="1125">
        <f>1.8629/G101</f>
        <v>0.465725</v>
      </c>
      <c r="H102" s="1125">
        <f>1.8629/H101</f>
        <v>0.465725</v>
      </c>
      <c r="I102" s="1125">
        <f>1.8629/I101</f>
        <v>0.465725</v>
      </c>
      <c r="J102" s="1125">
        <f>1.942/J101</f>
        <v>0.48549999999999999</v>
      </c>
      <c r="K102" s="1125">
        <f>1.942/K101</f>
        <v>0.48549999999999999</v>
      </c>
      <c r="L102" s="1125">
        <f>1.942/L101</f>
        <v>0.48549999999999999</v>
      </c>
      <c r="M102" s="1125">
        <f>1.942/M101</f>
        <v>0.48549999999999999</v>
      </c>
      <c r="N102" s="1125">
        <f>1.942/N101</f>
        <v>0.48549999999999999</v>
      </c>
    </row>
    <row r="103" spans="1:14">
      <c r="A103" s="3679"/>
      <c r="B103" s="1124">
        <v>2</v>
      </c>
      <c r="C103" s="1125">
        <f>1.4198/C101</f>
        <v>0.35494999999999999</v>
      </c>
      <c r="D103" s="1125">
        <f>1.4198/D101</f>
        <v>0.35494999999999999</v>
      </c>
      <c r="E103" s="1125">
        <f>1.3372/E101</f>
        <v>0.33429999999999999</v>
      </c>
      <c r="F103" s="1125">
        <f>1.3372/F101</f>
        <v>0.33429999999999999</v>
      </c>
      <c r="G103" s="1125">
        <f>1.3372/G101</f>
        <v>0.33429999999999999</v>
      </c>
      <c r="H103" s="1125">
        <f>1.3372/H101</f>
        <v>0.33429999999999999</v>
      </c>
      <c r="I103" s="1125">
        <f>1.3372/I101</f>
        <v>0.33429999999999999</v>
      </c>
      <c r="J103" s="1125">
        <f>1.2799/J101</f>
        <v>0.31997500000000001</v>
      </c>
      <c r="K103" s="1125">
        <f>1.2799/K101</f>
        <v>0.31997500000000001</v>
      </c>
      <c r="L103" s="1125">
        <f>1.2799/L101</f>
        <v>0.31997500000000001</v>
      </c>
      <c r="M103" s="1125">
        <f>1.2799/M101</f>
        <v>0.31997500000000001</v>
      </c>
      <c r="N103" s="1125">
        <f>1.2799/N101</f>
        <v>0.31997500000000001</v>
      </c>
    </row>
    <row r="104" spans="1:14">
      <c r="A104" s="3679"/>
      <c r="B104" s="1124">
        <v>3</v>
      </c>
      <c r="C104" s="1125">
        <f>1.1594/C101</f>
        <v>0.28985</v>
      </c>
      <c r="D104" s="1125">
        <f>1.1594/D101</f>
        <v>0.28985</v>
      </c>
      <c r="E104" s="1125">
        <f>1.0788/E101</f>
        <v>0.2697</v>
      </c>
      <c r="F104" s="1125">
        <f>1.0788/F101</f>
        <v>0.2697</v>
      </c>
      <c r="G104" s="1125">
        <f>1.0788/G101</f>
        <v>0.2697</v>
      </c>
      <c r="H104" s="1125">
        <f>1.0788/H101</f>
        <v>0.2697</v>
      </c>
      <c r="I104" s="1125">
        <f>1.0788/I101</f>
        <v>0.2697</v>
      </c>
      <c r="J104" s="1125">
        <f>1.0072/J101</f>
        <v>0.25180000000000002</v>
      </c>
      <c r="K104" s="1125">
        <f>1.0072/K101</f>
        <v>0.25180000000000002</v>
      </c>
      <c r="L104" s="1125">
        <f>1.0072/L101</f>
        <v>0.25180000000000002</v>
      </c>
      <c r="M104" s="1125">
        <f>1.0072/M101</f>
        <v>0.25180000000000002</v>
      </c>
      <c r="N104" s="1125">
        <f>1.0072/N101</f>
        <v>0.25180000000000002</v>
      </c>
    </row>
    <row r="105" spans="1:14">
      <c r="A105" s="3679"/>
      <c r="B105" s="1124">
        <v>4</v>
      </c>
      <c r="C105" s="1125">
        <f>0.9622/C101</f>
        <v>0.24055000000000001</v>
      </c>
      <c r="D105" s="1125">
        <f>0.9622/D101</f>
        <v>0.24055000000000001</v>
      </c>
      <c r="E105" s="1125">
        <f>0.8656/E101</f>
        <v>0.21640000000000001</v>
      </c>
      <c r="F105" s="1125">
        <f>0.8656/F101</f>
        <v>0.21640000000000001</v>
      </c>
      <c r="G105" s="1125">
        <f>0.8656/G101</f>
        <v>0.21640000000000001</v>
      </c>
      <c r="H105" s="1125">
        <f>0.8656/H101</f>
        <v>0.21640000000000001</v>
      </c>
      <c r="I105" s="1125">
        <f>0.8656/I101</f>
        <v>0.21640000000000001</v>
      </c>
      <c r="J105" s="1125">
        <f>0.7525/J101</f>
        <v>0.18812499999999999</v>
      </c>
      <c r="K105" s="1125">
        <f>0.7525/K101</f>
        <v>0.18812499999999999</v>
      </c>
      <c r="L105" s="1125">
        <f>0.7525/L101</f>
        <v>0.18812499999999999</v>
      </c>
      <c r="M105" s="1125">
        <f>0.7525/M101</f>
        <v>0.18812499999999999</v>
      </c>
      <c r="N105" s="1125">
        <f>0.7525/N101</f>
        <v>0.18812499999999999</v>
      </c>
    </row>
    <row r="106" spans="1:14">
      <c r="A106" s="3679"/>
      <c r="B106" s="1124">
        <v>5</v>
      </c>
      <c r="C106" s="1125">
        <f>0.8417/C101</f>
        <v>0.210425</v>
      </c>
      <c r="D106" s="1125">
        <f>0.8417/D101</f>
        <v>0.210425</v>
      </c>
      <c r="E106" s="1125">
        <f>0.7371/E101</f>
        <v>0.18427499999999999</v>
      </c>
      <c r="F106" s="1125">
        <f>0.7371/F101</f>
        <v>0.18427499999999999</v>
      </c>
      <c r="G106" s="1125">
        <f>0.7371/G101</f>
        <v>0.18427499999999999</v>
      </c>
      <c r="H106" s="1125">
        <f>0.7371/H101</f>
        <v>0.18427499999999999</v>
      </c>
      <c r="I106" s="1125">
        <f>0.7371/I101</f>
        <v>0.18427499999999999</v>
      </c>
      <c r="J106" s="1125">
        <f>0.5659/J101</f>
        <v>0.14147499999999999</v>
      </c>
      <c r="K106" s="1125">
        <f>0.5659/K101</f>
        <v>0.14147499999999999</v>
      </c>
      <c r="L106" s="1125">
        <f>0.5659/L101</f>
        <v>0.14147499999999999</v>
      </c>
      <c r="M106" s="1125">
        <f>0.5659/M101</f>
        <v>0.14147499999999999</v>
      </c>
      <c r="N106" s="1125">
        <f>0.5659/N101</f>
        <v>0.14147499999999999</v>
      </c>
    </row>
    <row r="107" spans="1:14">
      <c r="A107" s="3679"/>
      <c r="B107" s="1124">
        <v>6</v>
      </c>
      <c r="C107" s="1125">
        <f>0.7608/C101</f>
        <v>0.19020000000000001</v>
      </c>
      <c r="D107" s="1125">
        <f>0.7608/D101</f>
        <v>0.19020000000000001</v>
      </c>
      <c r="E107" s="1125">
        <f>0.6482/E101</f>
        <v>0.16205</v>
      </c>
      <c r="F107" s="1125">
        <f>0.6482/F101</f>
        <v>0.16205</v>
      </c>
      <c r="G107" s="1125">
        <f>0.6482/G101</f>
        <v>0.16205</v>
      </c>
      <c r="H107" s="1125">
        <f>0.6482/H101</f>
        <v>0.16205</v>
      </c>
      <c r="I107" s="1125">
        <f>0.6482/I101</f>
        <v>0.16205</v>
      </c>
      <c r="J107" s="1125">
        <f>0.4525/J101</f>
        <v>0.113125</v>
      </c>
      <c r="K107" s="1125">
        <f>0.4525/K101</f>
        <v>0.113125</v>
      </c>
      <c r="L107" s="1125">
        <f>0.4525/L101</f>
        <v>0.113125</v>
      </c>
      <c r="M107" s="1125">
        <f>0.4525/M101</f>
        <v>0.113125</v>
      </c>
      <c r="N107" s="1125">
        <f>0.4525/N101</f>
        <v>0.113125</v>
      </c>
    </row>
    <row r="108" spans="1:14">
      <c r="A108" s="3679"/>
      <c r="B108" s="3681" t="s">
        <v>1629</v>
      </c>
      <c r="C108" s="1126">
        <f>C99</f>
        <v>0</v>
      </c>
      <c r="D108" s="1126">
        <f t="shared" ref="D108:N108" si="32">D99</f>
        <v>0</v>
      </c>
      <c r="E108" s="1126">
        <f t="shared" si="32"/>
        <v>0</v>
      </c>
      <c r="F108" s="1126">
        <f t="shared" si="32"/>
        <v>0</v>
      </c>
      <c r="G108" s="1126">
        <f t="shared" si="32"/>
        <v>0</v>
      </c>
      <c r="H108" s="1126">
        <f t="shared" si="32"/>
        <v>0</v>
      </c>
      <c r="I108" s="1126">
        <f t="shared" si="32"/>
        <v>0</v>
      </c>
      <c r="J108" s="1126">
        <f t="shared" si="32"/>
        <v>0</v>
      </c>
      <c r="K108" s="1126">
        <f t="shared" si="32"/>
        <v>0</v>
      </c>
      <c r="L108" s="1126">
        <f t="shared" si="32"/>
        <v>0</v>
      </c>
      <c r="M108" s="1126">
        <f t="shared" si="32"/>
        <v>0</v>
      </c>
      <c r="N108" s="1126">
        <f t="shared" si="32"/>
        <v>0</v>
      </c>
    </row>
    <row r="109" spans="1:14">
      <c r="A109" s="3680"/>
      <c r="B109" s="3682"/>
      <c r="C109" s="1127">
        <f>(-0.163*(C108^2)-0.59*C108+7617)*(10^(-4))/C101</f>
        <v>0.19042500000000001</v>
      </c>
      <c r="D109" s="1127">
        <f>(-0.163*(D108^2)-0.59*D108+7617)*(10^(-4))/D101</f>
        <v>0.19042500000000001</v>
      </c>
      <c r="E109" s="1127">
        <f>(-0.161*(E108^2)-7.509*E108+6533)*(10^(-4))/E101</f>
        <v>0.163325</v>
      </c>
      <c r="F109" s="1127">
        <f>(-0.161*(F108^2)-7.509*F108+6533)*(10^(-4))/F101</f>
        <v>0.163325</v>
      </c>
      <c r="G109" s="1127">
        <f>(-0.161*(G108^2)-7.509*G108+6533)*(10^(-4))/G101</f>
        <v>0.163325</v>
      </c>
      <c r="H109" s="1127">
        <f>(-0.161*(H108^2)-7.509*H108+6533)*(10^(-4))/H101</f>
        <v>0.163325</v>
      </c>
      <c r="I109" s="1127">
        <f>(-0.161*(I108^2)-7.509*I108+6533)*(10^(-4))/I101</f>
        <v>0.163325</v>
      </c>
      <c r="J109" s="1127">
        <f>(-0.214*(J108^2)-21.991*J108+4665)*(10^(-4))/J101</f>
        <v>0.11662500000000001</v>
      </c>
      <c r="K109" s="1127">
        <f>(-0.214*(K108^2)-21.991*K108+4665)*(10^(-4))/K101</f>
        <v>0.11662500000000001</v>
      </c>
      <c r="L109" s="1127">
        <f>(-0.214*(L108^2)-21.991*L108+4665)*(10^(-4))/L101</f>
        <v>0.11662500000000001</v>
      </c>
      <c r="M109" s="1127">
        <f>(-0.214*(M108^2)-21.991*M108+4665)*(10^(-4))/M101</f>
        <v>0.11662500000000001</v>
      </c>
      <c r="N109" s="1127">
        <f>(-0.214*(N108^2)-21.991*N108+4665)*(10^(-4))/N101</f>
        <v>0.11662500000000001</v>
      </c>
    </row>
    <row r="110" spans="1:14">
      <c r="A110" s="3688" t="s">
        <v>1630</v>
      </c>
      <c r="B110" s="3688"/>
      <c r="C110" s="3688"/>
      <c r="D110" s="3688"/>
      <c r="E110" s="3688"/>
      <c r="F110" s="3688"/>
      <c r="G110" s="3688"/>
      <c r="H110" s="3688"/>
      <c r="I110" s="3688"/>
      <c r="J110" s="3688"/>
      <c r="K110" s="2301"/>
      <c r="L110" s="2301"/>
      <c r="M110" s="2301"/>
      <c r="N110" s="2301"/>
    </row>
    <row r="112" spans="1:14" ht="12.75" thickBot="1"/>
    <row r="113" spans="1:13" ht="25.5" thickBot="1">
      <c r="A113" s="1001" t="s">
        <v>887</v>
      </c>
      <c r="B113" s="2304">
        <f>G3</f>
        <v>4</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0.89590000000000003</v>
      </c>
      <c r="C115" s="1015">
        <f>B115</f>
        <v>0.89590000000000003</v>
      </c>
      <c r="D115" s="1015">
        <f>ROUND(0.8331-0.0109*B113,4)</f>
        <v>0.78949999999999998</v>
      </c>
      <c r="E115" s="1015">
        <f>D115</f>
        <v>0.78949999999999998</v>
      </c>
      <c r="F115" s="1015">
        <f>E115</f>
        <v>0.78949999999999998</v>
      </c>
      <c r="G115" s="1015">
        <f>F115</f>
        <v>0.78949999999999998</v>
      </c>
      <c r="H115" s="1015">
        <f>G115</f>
        <v>0.78949999999999998</v>
      </c>
      <c r="I115" s="1015">
        <f>ROUND(0.689-0.0155*B113,4)</f>
        <v>0.627</v>
      </c>
      <c r="J115" s="1015">
        <f t="shared" ref="J115:M118" si="33">I115</f>
        <v>0.627</v>
      </c>
      <c r="K115" s="1015">
        <f t="shared" si="33"/>
        <v>0.627</v>
      </c>
      <c r="L115" s="1015">
        <f t="shared" si="33"/>
        <v>0.627</v>
      </c>
      <c r="M115" s="1016">
        <f t="shared" si="33"/>
        <v>0.627</v>
      </c>
    </row>
    <row r="116" spans="1:13" ht="12.75">
      <c r="A116" s="1014" t="s">
        <v>892</v>
      </c>
      <c r="B116" s="1015">
        <f>ROUND(0.949-0.012*B113,4)</f>
        <v>0.90100000000000002</v>
      </c>
      <c r="C116" s="1015">
        <f>B116</f>
        <v>0.90100000000000002</v>
      </c>
      <c r="D116" s="1015">
        <f>ROUND(0.8567-0.013*B113,4)</f>
        <v>0.80469999999999997</v>
      </c>
      <c r="E116" s="1015">
        <f t="shared" ref="E116:H117" si="34">D116</f>
        <v>0.80469999999999997</v>
      </c>
      <c r="F116" s="1015">
        <f t="shared" si="34"/>
        <v>0.80469999999999997</v>
      </c>
      <c r="G116" s="1015">
        <f t="shared" si="34"/>
        <v>0.80469999999999997</v>
      </c>
      <c r="H116" s="1015">
        <f t="shared" si="34"/>
        <v>0.80469999999999997</v>
      </c>
      <c r="I116" s="1015">
        <f>ROUND(0.7694-0.014*B113,4)</f>
        <v>0.71340000000000003</v>
      </c>
      <c r="J116" s="1015">
        <f t="shared" si="33"/>
        <v>0.71340000000000003</v>
      </c>
      <c r="K116" s="1015">
        <f t="shared" si="33"/>
        <v>0.71340000000000003</v>
      </c>
      <c r="L116" s="1015">
        <f t="shared" si="33"/>
        <v>0.71340000000000003</v>
      </c>
      <c r="M116" s="1016">
        <f t="shared" si="33"/>
        <v>0.71340000000000003</v>
      </c>
    </row>
    <row r="117" spans="1:13" ht="12.75">
      <c r="A117" s="1017" t="s">
        <v>893</v>
      </c>
      <c r="B117" s="1015">
        <f>ROUND(0.8808-0.006*B113,4)</f>
        <v>0.85680000000000001</v>
      </c>
      <c r="C117" s="1015">
        <f>B117</f>
        <v>0.85680000000000001</v>
      </c>
      <c r="D117" s="1015">
        <f>ROUND(0.8748-0.008*B113,4)</f>
        <v>0.84279999999999999</v>
      </c>
      <c r="E117" s="1015">
        <f t="shared" si="34"/>
        <v>0.84279999999999999</v>
      </c>
      <c r="F117" s="1015">
        <f t="shared" si="34"/>
        <v>0.84279999999999999</v>
      </c>
      <c r="G117" s="1015">
        <f t="shared" si="34"/>
        <v>0.84279999999999999</v>
      </c>
      <c r="H117" s="1015">
        <f t="shared" si="34"/>
        <v>0.84279999999999999</v>
      </c>
      <c r="I117" s="1015">
        <f>ROUND(0.7412-0.0095*B113,4)</f>
        <v>0.70320000000000005</v>
      </c>
      <c r="J117" s="1015">
        <f t="shared" si="33"/>
        <v>0.70320000000000005</v>
      </c>
      <c r="K117" s="1015">
        <f t="shared" si="33"/>
        <v>0.70320000000000005</v>
      </c>
      <c r="L117" s="1015">
        <f t="shared" si="33"/>
        <v>0.70320000000000005</v>
      </c>
      <c r="M117" s="1016">
        <f t="shared" si="33"/>
        <v>0.70320000000000005</v>
      </c>
    </row>
    <row r="118" spans="1:13" ht="13.5" thickBot="1">
      <c r="A118" s="1018" t="s">
        <v>894</v>
      </c>
      <c r="B118" s="1019">
        <f>ROUND(0.7275-0.01*B113,4)</f>
        <v>0.6875</v>
      </c>
      <c r="C118" s="1019">
        <f>B118</f>
        <v>0.6875</v>
      </c>
      <c r="D118" s="1019">
        <f>ROUND(0.7043-0.012*B113,4)</f>
        <v>0.65629999999999999</v>
      </c>
      <c r="E118" s="1019">
        <f>D118</f>
        <v>0.65629999999999999</v>
      </c>
      <c r="F118" s="1019">
        <f>E118</f>
        <v>0.65629999999999999</v>
      </c>
      <c r="G118" s="1019">
        <f>ROUND(0.6299-0.0122*B113,4)</f>
        <v>0.58109999999999995</v>
      </c>
      <c r="H118" s="1019">
        <f>G118</f>
        <v>0.58109999999999995</v>
      </c>
      <c r="I118" s="1019">
        <f>ROUND(0.5667-0.0136*B113,4)</f>
        <v>0.51229999999999998</v>
      </c>
      <c r="J118" s="1019">
        <f t="shared" si="33"/>
        <v>0.51229999999999998</v>
      </c>
      <c r="K118" s="1019">
        <f t="shared" si="33"/>
        <v>0.51229999999999998</v>
      </c>
      <c r="L118" s="1019">
        <f t="shared" si="33"/>
        <v>0.51229999999999998</v>
      </c>
      <c r="M118" s="1020">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73" priority="5" stopIfTrue="1" operator="notEqual">
      <formula>"——"</formula>
    </cfRule>
  </conditionalFormatting>
  <conditionalFormatting sqref="F58">
    <cfRule type="cellIs" dxfId="172" priority="4" stopIfTrue="1" operator="notEqual">
      <formula>"——"</formula>
    </cfRule>
  </conditionalFormatting>
  <conditionalFormatting sqref="F69">
    <cfRule type="cellIs" dxfId="171" priority="3" stopIfTrue="1" operator="notEqual">
      <formula>"——"</formula>
    </cfRule>
  </conditionalFormatting>
  <conditionalFormatting sqref="F80">
    <cfRule type="cellIs" dxfId="170" priority="2" stopIfTrue="1" operator="notEqual">
      <formula>"——"</formula>
    </cfRule>
  </conditionalFormatting>
  <conditionalFormatting sqref="H58:H66 H47:H55 H69:H77 H80:H87">
    <cfRule type="cellIs" dxfId="16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2940</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695" t="s">
        <v>998</v>
      </c>
      <c r="B18" s="1135" t="s">
        <v>1437</v>
      </c>
      <c r="C18" s="1112" t="s">
        <v>1438</v>
      </c>
      <c r="D18" s="1113"/>
      <c r="E18" s="1135">
        <v>1</v>
      </c>
      <c r="F18" s="1114" t="s">
        <v>1439</v>
      </c>
      <c r="G18" s="1115"/>
      <c r="H18" s="1086"/>
      <c r="I18" s="1086"/>
    </row>
    <row r="19" spans="1:9" s="1528" customFormat="1" ht="19.5" customHeight="1">
      <c r="A19" s="3695"/>
      <c r="B19" s="3695" t="s">
        <v>1440</v>
      </c>
      <c r="C19" s="1112" t="s">
        <v>1441</v>
      </c>
      <c r="D19" s="1113"/>
      <c r="E19" s="1135">
        <v>0.9</v>
      </c>
      <c r="F19" s="1114" t="s">
        <v>1442</v>
      </c>
      <c r="G19" s="1115"/>
      <c r="H19" s="1086"/>
      <c r="I19" s="1086"/>
    </row>
    <row r="20" spans="1:9" s="1528" customFormat="1" ht="19.5" customHeight="1">
      <c r="A20" s="3695"/>
      <c r="B20" s="3695"/>
      <c r="C20" s="1112" t="s">
        <v>1443</v>
      </c>
      <c r="D20" s="1113"/>
      <c r="E20" s="1135">
        <v>1.1000000000000001</v>
      </c>
      <c r="F20" s="1114" t="s">
        <v>1444</v>
      </c>
      <c r="G20" s="1115"/>
      <c r="H20" s="1086"/>
      <c r="I20" s="1086"/>
    </row>
    <row r="21" spans="1:9" s="1528" customFormat="1" ht="19.5" customHeight="1">
      <c r="A21" s="3695"/>
      <c r="B21" s="3695"/>
      <c r="C21" s="1112" t="s">
        <v>1445</v>
      </c>
      <c r="D21" s="1113"/>
      <c r="E21" s="1135">
        <v>0.8</v>
      </c>
      <c r="F21" s="1114" t="s">
        <v>1446</v>
      </c>
      <c r="G21" s="1115"/>
      <c r="H21" s="1086"/>
      <c r="I21" s="1086"/>
    </row>
    <row r="22" spans="1:9" s="1528" customFormat="1" ht="19.5" customHeight="1">
      <c r="A22" s="3695"/>
      <c r="B22" s="3695"/>
      <c r="C22" s="1112" t="s">
        <v>1447</v>
      </c>
      <c r="D22" s="1113"/>
      <c r="E22" s="1135">
        <v>0.5</v>
      </c>
      <c r="F22" s="1114"/>
      <c r="G22" s="1115"/>
      <c r="H22" s="1086"/>
      <c r="I22" s="1086"/>
    </row>
    <row r="23" spans="1:9" s="1528" customFormat="1" ht="19.5" customHeight="1">
      <c r="A23" s="3695" t="s">
        <v>1020</v>
      </c>
      <c r="B23" s="1135" t="s">
        <v>1437</v>
      </c>
      <c r="C23" s="1112" t="s">
        <v>1448</v>
      </c>
      <c r="D23" s="1113"/>
      <c r="E23" s="1135">
        <v>1</v>
      </c>
      <c r="F23" s="1114" t="s">
        <v>1449</v>
      </c>
      <c r="G23" s="1115"/>
      <c r="H23" s="1086"/>
      <c r="I23" s="1086"/>
    </row>
    <row r="24" spans="1:9" s="1528" customFormat="1" ht="19.5" customHeight="1">
      <c r="A24" s="3695"/>
      <c r="B24" s="3695" t="s">
        <v>1440</v>
      </c>
      <c r="C24" s="1112" t="s">
        <v>1450</v>
      </c>
      <c r="D24" s="1113"/>
      <c r="E24" s="1135">
        <v>0.5</v>
      </c>
      <c r="F24" s="1114"/>
      <c r="G24" s="1115"/>
      <c r="H24" s="1086"/>
      <c r="I24" s="1086"/>
    </row>
    <row r="25" spans="1:9" s="1528" customFormat="1" ht="19.5" customHeight="1">
      <c r="A25" s="3695"/>
      <c r="B25" s="3695"/>
      <c r="C25" s="1112" t="s">
        <v>1451</v>
      </c>
      <c r="D25" s="1113"/>
      <c r="E25" s="1135">
        <v>1.1000000000000001</v>
      </c>
      <c r="F25" s="1114"/>
      <c r="G25" s="1115"/>
      <c r="H25" s="1086"/>
      <c r="I25" s="1086"/>
    </row>
    <row r="26" spans="1:9" s="1528" customFormat="1" ht="19.5" customHeight="1">
      <c r="A26" s="3695"/>
      <c r="B26" s="3695"/>
      <c r="C26" s="1112" t="s">
        <v>1452</v>
      </c>
      <c r="D26" s="1113"/>
      <c r="E26" s="1135">
        <v>1.1000000000000001</v>
      </c>
      <c r="F26" s="1114"/>
      <c r="G26" s="1115"/>
      <c r="H26" s="1086"/>
      <c r="I26" s="1086"/>
    </row>
    <row r="27" spans="1:9" s="1528" customFormat="1" ht="19.5" customHeight="1">
      <c r="A27" s="3695"/>
      <c r="B27" s="3695"/>
      <c r="C27" s="1112" t="s">
        <v>1453</v>
      </c>
      <c r="D27" s="1113"/>
      <c r="E27" s="1135">
        <v>0.9</v>
      </c>
      <c r="F27" s="1114" t="s">
        <v>1454</v>
      </c>
      <c r="G27" s="1115"/>
      <c r="H27" s="1086"/>
      <c r="I27" s="1086"/>
    </row>
    <row r="28" spans="1:9" s="1528" customFormat="1" ht="19.5" customHeight="1">
      <c r="A28" s="3695"/>
      <c r="B28" s="3695"/>
      <c r="C28" s="1112" t="s">
        <v>1455</v>
      </c>
      <c r="D28" s="1113"/>
      <c r="E28" s="1135">
        <v>0.9</v>
      </c>
      <c r="F28" s="1114" t="s">
        <v>1456</v>
      </c>
      <c r="G28" s="1115"/>
      <c r="H28" s="1086"/>
      <c r="I28" s="1086"/>
    </row>
    <row r="29" spans="1:9" s="1528" customFormat="1" ht="19.5" customHeight="1">
      <c r="A29" s="3695"/>
      <c r="B29" s="3695"/>
      <c r="C29" s="1112" t="s">
        <v>1457</v>
      </c>
      <c r="D29" s="1113"/>
      <c r="E29" s="1135">
        <v>0.9</v>
      </c>
      <c r="F29" s="1114" t="s">
        <v>1458</v>
      </c>
      <c r="G29" s="1115"/>
      <c r="H29" s="1086"/>
      <c r="I29" s="1086"/>
    </row>
    <row r="30" spans="1:9" s="1528" customFormat="1" ht="19.5" customHeight="1">
      <c r="A30" s="3695"/>
      <c r="B30" s="3695"/>
      <c r="C30" s="1112" t="s">
        <v>1459</v>
      </c>
      <c r="D30" s="1113"/>
      <c r="E30" s="1135">
        <v>0.9</v>
      </c>
      <c r="F30" s="1114" t="s">
        <v>1460</v>
      </c>
      <c r="G30" s="1115"/>
      <c r="H30" s="1086"/>
      <c r="I30" s="1086"/>
    </row>
    <row r="31" spans="1:9" s="1528" customFormat="1" ht="19.5" customHeight="1">
      <c r="A31" s="3695"/>
      <c r="B31" s="3695"/>
      <c r="C31" s="1112" t="s">
        <v>1461</v>
      </c>
      <c r="D31" s="1113"/>
      <c r="E31" s="1135">
        <v>0.8</v>
      </c>
      <c r="F31" s="1114" t="s">
        <v>1462</v>
      </c>
      <c r="G31" s="1115"/>
      <c r="H31" s="1086"/>
      <c r="I31" s="1086"/>
    </row>
    <row r="32" spans="1:9" s="1528" customFormat="1" ht="19.5" customHeight="1">
      <c r="A32" s="3695"/>
      <c r="B32" s="3695"/>
      <c r="C32" s="1112" t="s">
        <v>1463</v>
      </c>
      <c r="D32" s="1113"/>
      <c r="E32" s="1135">
        <v>0.8</v>
      </c>
      <c r="F32" s="1114" t="s">
        <v>1464</v>
      </c>
      <c r="G32" s="1115"/>
      <c r="H32" s="1086"/>
      <c r="I32" s="1086"/>
    </row>
    <row r="33" spans="1:9" s="1528" customFormat="1" ht="19.5" customHeight="1">
      <c r="A33" s="3695" t="s">
        <v>1465</v>
      </c>
      <c r="B33" s="1135" t="s">
        <v>1437</v>
      </c>
      <c r="C33" s="1112" t="s">
        <v>1466</v>
      </c>
      <c r="D33" s="1113"/>
      <c r="E33" s="1135">
        <v>1</v>
      </c>
      <c r="F33" s="1114" t="s">
        <v>1467</v>
      </c>
      <c r="G33" s="1115"/>
      <c r="H33" s="1086"/>
      <c r="I33" s="1086"/>
    </row>
    <row r="34" spans="1:9" s="1528" customFormat="1" ht="19.5" customHeight="1">
      <c r="A34" s="3695"/>
      <c r="B34" s="1135" t="s">
        <v>1440</v>
      </c>
      <c r="C34" s="1112" t="s">
        <v>1468</v>
      </c>
      <c r="D34" s="1113"/>
      <c r="E34" s="1135">
        <v>1.5</v>
      </c>
      <c r="F34" s="1114" t="s">
        <v>1469</v>
      </c>
      <c r="G34" s="1115"/>
      <c r="H34" s="1086"/>
      <c r="I34" s="1086"/>
    </row>
    <row r="35" spans="1:9" s="1528" customFormat="1" ht="19.5" customHeight="1">
      <c r="A35" s="3695" t="s">
        <v>1423</v>
      </c>
      <c r="B35" s="1135" t="s">
        <v>1437</v>
      </c>
      <c r="C35" s="1112" t="s">
        <v>1470</v>
      </c>
      <c r="D35" s="1113"/>
      <c r="E35" s="1135">
        <v>1</v>
      </c>
      <c r="F35" s="1114" t="s">
        <v>1471</v>
      </c>
      <c r="G35" s="1115"/>
      <c r="H35" s="1086"/>
      <c r="I35" s="1086"/>
    </row>
    <row r="36" spans="1:9" s="1528" customFormat="1" ht="19.5" customHeight="1">
      <c r="A36" s="3695"/>
      <c r="B36" s="3695" t="s">
        <v>1440</v>
      </c>
      <c r="C36" s="1112" t="s">
        <v>1472</v>
      </c>
      <c r="D36" s="1113"/>
      <c r="E36" s="1135">
        <v>1</v>
      </c>
      <c r="F36" s="1114" t="s">
        <v>1473</v>
      </c>
      <c r="G36" s="1115"/>
      <c r="H36" s="1086"/>
      <c r="I36" s="1086"/>
    </row>
    <row r="37" spans="1:9" s="1528" customFormat="1" ht="19.5" customHeight="1">
      <c r="A37" s="3695"/>
      <c r="B37" s="3695"/>
      <c r="C37" s="1112" t="s">
        <v>1474</v>
      </c>
      <c r="D37" s="1113"/>
      <c r="E37" s="1135">
        <v>1.5</v>
      </c>
      <c r="F37" s="1114" t="s">
        <v>1475</v>
      </c>
      <c r="G37" s="1115"/>
      <c r="H37" s="1086"/>
      <c r="I37" s="1086"/>
    </row>
    <row r="38" spans="1:9" s="1528" customFormat="1" ht="19.5" customHeight="1">
      <c r="A38" s="3695"/>
      <c r="B38" s="3695"/>
      <c r="C38" s="1112" t="s">
        <v>1476</v>
      </c>
      <c r="D38" s="1113"/>
      <c r="E38" s="1135">
        <v>1</v>
      </c>
      <c r="F38" s="1114" t="s">
        <v>1477</v>
      </c>
      <c r="G38" s="1115"/>
      <c r="H38" s="1086"/>
      <c r="I38" s="1086"/>
    </row>
    <row r="39" spans="1:9" s="1528" customFormat="1" ht="19.5" customHeight="1">
      <c r="A39" s="3695"/>
      <c r="B39" s="3695"/>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695" t="s">
        <v>1492</v>
      </c>
      <c r="C61" s="1049" t="s">
        <v>1493</v>
      </c>
      <c r="D61" s="1049" t="s">
        <v>1494</v>
      </c>
      <c r="E61" s="1120">
        <v>0.5</v>
      </c>
      <c r="F61" s="1135">
        <v>80</v>
      </c>
      <c r="H61" s="1086">
        <f>SUMIF(C59:C119,基准地价!C8,E59:E119)</f>
        <v>0</v>
      </c>
    </row>
    <row r="62" spans="1:8" s="1086" customFormat="1" ht="24">
      <c r="A62" s="1135">
        <v>2</v>
      </c>
      <c r="B62" s="3695"/>
      <c r="C62" s="1049" t="s">
        <v>1495</v>
      </c>
      <c r="D62" s="1049" t="s">
        <v>1496</v>
      </c>
      <c r="E62" s="1120">
        <v>0.5</v>
      </c>
      <c r="F62" s="1135">
        <v>80</v>
      </c>
    </row>
    <row r="63" spans="1:8" s="1086" customFormat="1" ht="36">
      <c r="A63" s="1135">
        <v>3</v>
      </c>
      <c r="B63" s="3695"/>
      <c r="C63" s="1049" t="s">
        <v>1497</v>
      </c>
      <c r="D63" s="1049" t="s">
        <v>1498</v>
      </c>
      <c r="E63" s="1120">
        <v>0.5</v>
      </c>
      <c r="F63" s="1135">
        <v>80</v>
      </c>
    </row>
    <row r="64" spans="1:8" s="1086" customFormat="1" ht="36">
      <c r="A64" s="1135">
        <v>4</v>
      </c>
      <c r="B64" s="3695"/>
      <c r="C64" s="1049" t="s">
        <v>1499</v>
      </c>
      <c r="D64" s="1049" t="s">
        <v>1500</v>
      </c>
      <c r="E64" s="1120">
        <v>0.4</v>
      </c>
      <c r="F64" s="1135">
        <v>60</v>
      </c>
    </row>
    <row r="65" spans="1:6" s="1086" customFormat="1" ht="36">
      <c r="A65" s="1135">
        <v>5</v>
      </c>
      <c r="B65" s="3695"/>
      <c r="C65" s="1049" t="s">
        <v>1501</v>
      </c>
      <c r="D65" s="1049" t="s">
        <v>1502</v>
      </c>
      <c r="E65" s="1120">
        <v>0.2</v>
      </c>
      <c r="F65" s="1135">
        <v>30</v>
      </c>
    </row>
    <row r="66" spans="1:6" s="1086" customFormat="1" ht="36">
      <c r="A66" s="1135">
        <v>6</v>
      </c>
      <c r="B66" s="3695"/>
      <c r="C66" s="1049" t="s">
        <v>1503</v>
      </c>
      <c r="D66" s="1049" t="s">
        <v>1504</v>
      </c>
      <c r="E66" s="1120">
        <v>0.3</v>
      </c>
      <c r="F66" s="1135">
        <v>50</v>
      </c>
    </row>
    <row r="67" spans="1:6" s="1086" customFormat="1" ht="36">
      <c r="A67" s="1135">
        <v>7</v>
      </c>
      <c r="B67" s="3695"/>
      <c r="C67" s="1049" t="s">
        <v>1505</v>
      </c>
      <c r="D67" s="1049" t="s">
        <v>1506</v>
      </c>
      <c r="E67" s="1120">
        <v>0.2</v>
      </c>
      <c r="F67" s="1135">
        <v>30</v>
      </c>
    </row>
    <row r="68" spans="1:6" s="1086" customFormat="1" ht="36">
      <c r="A68" s="1135">
        <v>8</v>
      </c>
      <c r="B68" s="3695"/>
      <c r="C68" s="1049" t="s">
        <v>1507</v>
      </c>
      <c r="D68" s="1049" t="s">
        <v>1508</v>
      </c>
      <c r="E68" s="1120">
        <v>0.2</v>
      </c>
      <c r="F68" s="1135">
        <v>30</v>
      </c>
    </row>
    <row r="69" spans="1:6" s="1086" customFormat="1" ht="36">
      <c r="A69" s="1135">
        <v>9</v>
      </c>
      <c r="B69" s="3695"/>
      <c r="C69" s="1049" t="s">
        <v>1509</v>
      </c>
      <c r="D69" s="1049" t="s">
        <v>1510</v>
      </c>
      <c r="E69" s="1120">
        <v>0.2</v>
      </c>
      <c r="F69" s="1135">
        <v>30</v>
      </c>
    </row>
    <row r="70" spans="1:6" s="1086" customFormat="1" ht="48">
      <c r="A70" s="1135">
        <v>10</v>
      </c>
      <c r="B70" s="3695"/>
      <c r="C70" s="1049" t="s">
        <v>1511</v>
      </c>
      <c r="D70" s="1049" t="s">
        <v>1512</v>
      </c>
      <c r="E70" s="1120">
        <v>0.2</v>
      </c>
      <c r="F70" s="1135">
        <v>30</v>
      </c>
    </row>
    <row r="71" spans="1:6" s="1086" customFormat="1" ht="48">
      <c r="A71" s="1135">
        <v>11</v>
      </c>
      <c r="B71" s="3695"/>
      <c r="C71" s="1049" t="s">
        <v>1513</v>
      </c>
      <c r="D71" s="1049" t="s">
        <v>1514</v>
      </c>
      <c r="E71" s="1120">
        <v>0.2</v>
      </c>
      <c r="F71" s="1135">
        <v>30</v>
      </c>
    </row>
    <row r="72" spans="1:6" s="1086" customFormat="1" ht="36">
      <c r="A72" s="1135">
        <v>12</v>
      </c>
      <c r="B72" s="3695"/>
      <c r="C72" s="1049" t="s">
        <v>1515</v>
      </c>
      <c r="D72" s="1049" t="s">
        <v>1516</v>
      </c>
      <c r="E72" s="1120">
        <v>0.5</v>
      </c>
      <c r="F72" s="1135">
        <v>80</v>
      </c>
    </row>
    <row r="73" spans="1:6" s="1086" customFormat="1" ht="24">
      <c r="A73" s="1135">
        <v>13</v>
      </c>
      <c r="B73" s="3695"/>
      <c r="C73" s="1049" t="s">
        <v>1517</v>
      </c>
      <c r="D73" s="1049" t="s">
        <v>1518</v>
      </c>
      <c r="E73" s="1120">
        <v>0.4</v>
      </c>
      <c r="F73" s="1135">
        <v>60</v>
      </c>
    </row>
    <row r="74" spans="1:6" s="1086" customFormat="1" ht="24">
      <c r="A74" s="1135">
        <v>14</v>
      </c>
      <c r="B74" s="3695"/>
      <c r="C74" s="1049" t="s">
        <v>1519</v>
      </c>
      <c r="D74" s="1049" t="s">
        <v>1520</v>
      </c>
      <c r="E74" s="1120">
        <v>0.2</v>
      </c>
      <c r="F74" s="1135">
        <v>30</v>
      </c>
    </row>
    <row r="75" spans="1:6" s="1086" customFormat="1" ht="24">
      <c r="A75" s="1135">
        <v>15</v>
      </c>
      <c r="B75" s="3695"/>
      <c r="C75" s="1049" t="s">
        <v>1521</v>
      </c>
      <c r="D75" s="1049" t="s">
        <v>1522</v>
      </c>
      <c r="E75" s="1120">
        <v>0.2</v>
      </c>
      <c r="F75" s="1135">
        <v>30</v>
      </c>
    </row>
    <row r="76" spans="1:6" s="1086" customFormat="1" ht="24">
      <c r="A76" s="1135">
        <v>16</v>
      </c>
      <c r="B76" s="3695" t="s">
        <v>1523</v>
      </c>
      <c r="C76" s="1049" t="s">
        <v>1524</v>
      </c>
      <c r="D76" s="1049" t="s">
        <v>1525</v>
      </c>
      <c r="E76" s="1120">
        <v>0.5</v>
      </c>
      <c r="F76" s="1135">
        <v>80</v>
      </c>
    </row>
    <row r="77" spans="1:6" s="1086" customFormat="1" ht="24">
      <c r="A77" s="1135">
        <v>17</v>
      </c>
      <c r="B77" s="3695"/>
      <c r="C77" s="1049" t="s">
        <v>1526</v>
      </c>
      <c r="D77" s="1049" t="s">
        <v>1527</v>
      </c>
      <c r="E77" s="1120">
        <v>0.5</v>
      </c>
      <c r="F77" s="1135">
        <v>80</v>
      </c>
    </row>
    <row r="78" spans="1:6" s="1086" customFormat="1" ht="24">
      <c r="A78" s="1135">
        <v>18</v>
      </c>
      <c r="B78" s="3695"/>
      <c r="C78" s="1049" t="s">
        <v>1528</v>
      </c>
      <c r="D78" s="1049" t="s">
        <v>1529</v>
      </c>
      <c r="E78" s="1120">
        <v>0.2</v>
      </c>
      <c r="F78" s="1135">
        <v>30</v>
      </c>
    </row>
    <row r="79" spans="1:6" s="1086" customFormat="1" ht="24">
      <c r="A79" s="1135">
        <v>19</v>
      </c>
      <c r="B79" s="3695"/>
      <c r="C79" s="1049" t="s">
        <v>1530</v>
      </c>
      <c r="D79" s="1049" t="s">
        <v>1531</v>
      </c>
      <c r="E79" s="1120">
        <v>0.5</v>
      </c>
      <c r="F79" s="1135">
        <v>80</v>
      </c>
    </row>
    <row r="80" spans="1:6" s="1086" customFormat="1" ht="36">
      <c r="A80" s="1135">
        <v>20</v>
      </c>
      <c r="B80" s="3695"/>
      <c r="C80" s="1049" t="s">
        <v>1532</v>
      </c>
      <c r="D80" s="1049" t="s">
        <v>1533</v>
      </c>
      <c r="E80" s="1120">
        <v>0.2</v>
      </c>
      <c r="F80" s="1135">
        <v>30</v>
      </c>
    </row>
    <row r="81" spans="1:6" s="1086" customFormat="1" ht="36">
      <c r="A81" s="1135">
        <v>21</v>
      </c>
      <c r="B81" s="3695"/>
      <c r="C81" s="1049" t="s">
        <v>1534</v>
      </c>
      <c r="D81" s="1049" t="s">
        <v>1535</v>
      </c>
      <c r="E81" s="1120">
        <v>0.2</v>
      </c>
      <c r="F81" s="1135">
        <v>30</v>
      </c>
    </row>
    <row r="82" spans="1:6" s="1086" customFormat="1" ht="48">
      <c r="A82" s="1135">
        <v>22</v>
      </c>
      <c r="B82" s="3695"/>
      <c r="C82" s="1049" t="s">
        <v>1536</v>
      </c>
      <c r="D82" s="1049" t="s">
        <v>1537</v>
      </c>
      <c r="E82" s="1120">
        <v>0.2</v>
      </c>
      <c r="F82" s="1135">
        <v>30</v>
      </c>
    </row>
    <row r="83" spans="1:6" s="1086" customFormat="1" ht="48">
      <c r="A83" s="1135">
        <v>23</v>
      </c>
      <c r="B83" s="3695"/>
      <c r="C83" s="1049" t="s">
        <v>1538</v>
      </c>
      <c r="D83" s="1049" t="s">
        <v>1539</v>
      </c>
      <c r="E83" s="1120">
        <v>0.2</v>
      </c>
      <c r="F83" s="1135">
        <v>30</v>
      </c>
    </row>
    <row r="84" spans="1:6" s="1086" customFormat="1" ht="36">
      <c r="A84" s="1135">
        <v>24</v>
      </c>
      <c r="B84" s="3695"/>
      <c r="C84" s="1049" t="s">
        <v>1540</v>
      </c>
      <c r="D84" s="1049" t="s">
        <v>1541</v>
      </c>
      <c r="E84" s="1120">
        <v>0.2</v>
      </c>
      <c r="F84" s="1135">
        <v>30</v>
      </c>
    </row>
    <row r="85" spans="1:6" s="1086" customFormat="1" ht="36">
      <c r="A85" s="1135">
        <v>25</v>
      </c>
      <c r="B85" s="3695"/>
      <c r="C85" s="1049" t="s">
        <v>1542</v>
      </c>
      <c r="D85" s="1049" t="s">
        <v>1543</v>
      </c>
      <c r="E85" s="1120">
        <v>0.5</v>
      </c>
      <c r="F85" s="1135">
        <v>80</v>
      </c>
    </row>
    <row r="86" spans="1:6" s="1086" customFormat="1" ht="36">
      <c r="A86" s="1135">
        <v>26</v>
      </c>
      <c r="B86" s="3695"/>
      <c r="C86" s="1049" t="s">
        <v>1544</v>
      </c>
      <c r="D86" s="1049" t="s">
        <v>1545</v>
      </c>
      <c r="E86" s="1120">
        <v>0.2</v>
      </c>
      <c r="F86" s="1135">
        <v>30</v>
      </c>
    </row>
    <row r="87" spans="1:6" s="1086" customFormat="1" ht="36">
      <c r="A87" s="1135">
        <v>27</v>
      </c>
      <c r="B87" s="3695"/>
      <c r="C87" s="1049" t="s">
        <v>1546</v>
      </c>
      <c r="D87" s="1049" t="s">
        <v>1547</v>
      </c>
      <c r="E87" s="1120">
        <v>0.2</v>
      </c>
      <c r="F87" s="1135">
        <v>30</v>
      </c>
    </row>
    <row r="88" spans="1:6" s="1086" customFormat="1" ht="36">
      <c r="A88" s="1135">
        <v>28</v>
      </c>
      <c r="B88" s="3695"/>
      <c r="C88" s="1049" t="s">
        <v>1548</v>
      </c>
      <c r="D88" s="1049" t="s">
        <v>1549</v>
      </c>
      <c r="E88" s="1120">
        <v>0.2</v>
      </c>
      <c r="F88" s="1135">
        <v>30</v>
      </c>
    </row>
    <row r="89" spans="1:6" s="1086" customFormat="1" ht="24">
      <c r="A89" s="1135">
        <v>29</v>
      </c>
      <c r="B89" s="3695"/>
      <c r="C89" s="1049" t="s">
        <v>1550</v>
      </c>
      <c r="D89" s="1049" t="s">
        <v>1551</v>
      </c>
      <c r="E89" s="1120">
        <v>0.2</v>
      </c>
      <c r="F89" s="1135">
        <v>30</v>
      </c>
    </row>
    <row r="90" spans="1:6" s="1086" customFormat="1" ht="24">
      <c r="A90" s="1135">
        <v>30</v>
      </c>
      <c r="B90" s="3695"/>
      <c r="C90" s="1049" t="s">
        <v>1552</v>
      </c>
      <c r="D90" s="1049" t="s">
        <v>1553</v>
      </c>
      <c r="E90" s="1120">
        <v>0.2</v>
      </c>
      <c r="F90" s="1135">
        <v>30</v>
      </c>
    </row>
    <row r="91" spans="1:6" s="1086" customFormat="1" ht="36">
      <c r="A91" s="1135">
        <v>31</v>
      </c>
      <c r="B91" s="3695"/>
      <c r="C91" s="1049" t="s">
        <v>1554</v>
      </c>
      <c r="D91" s="1049" t="s">
        <v>1555</v>
      </c>
      <c r="E91" s="1120">
        <v>0.2</v>
      </c>
      <c r="F91" s="1135">
        <v>30</v>
      </c>
    </row>
    <row r="92" spans="1:6" s="1086" customFormat="1" ht="24">
      <c r="A92" s="1135">
        <v>32</v>
      </c>
      <c r="B92" s="3695" t="s">
        <v>1556</v>
      </c>
      <c r="C92" s="1135" t="s">
        <v>1557</v>
      </c>
      <c r="D92" s="1049" t="s">
        <v>1558</v>
      </c>
      <c r="E92" s="1120">
        <v>0.2</v>
      </c>
      <c r="F92" s="1135">
        <v>30</v>
      </c>
    </row>
    <row r="93" spans="1:6" s="1086" customFormat="1" ht="36">
      <c r="A93" s="1135">
        <v>33</v>
      </c>
      <c r="B93" s="3695"/>
      <c r="C93" s="1135" t="s">
        <v>1559</v>
      </c>
      <c r="D93" s="1049" t="s">
        <v>1560</v>
      </c>
      <c r="E93" s="1120">
        <v>0.2</v>
      </c>
      <c r="F93" s="1135">
        <v>30</v>
      </c>
    </row>
    <row r="94" spans="1:6" s="1086" customFormat="1" ht="48">
      <c r="A94" s="1135">
        <v>34</v>
      </c>
      <c r="B94" s="3695"/>
      <c r="C94" s="1135" t="s">
        <v>1561</v>
      </c>
      <c r="D94" s="1049" t="s">
        <v>1562</v>
      </c>
      <c r="E94" s="1120">
        <v>0.2</v>
      </c>
      <c r="F94" s="1135">
        <v>30</v>
      </c>
    </row>
    <row r="95" spans="1:6" s="1086" customFormat="1" ht="36">
      <c r="A95" s="1135">
        <v>35</v>
      </c>
      <c r="B95" s="3695"/>
      <c r="C95" s="1135" t="s">
        <v>1563</v>
      </c>
      <c r="D95" s="1049" t="s">
        <v>1564</v>
      </c>
      <c r="E95" s="1120">
        <v>0.2</v>
      </c>
      <c r="F95" s="1135">
        <v>30</v>
      </c>
    </row>
    <row r="96" spans="1:6" s="1086" customFormat="1" ht="48">
      <c r="A96" s="1135">
        <v>36</v>
      </c>
      <c r="B96" s="3695"/>
      <c r="C96" s="1049" t="s">
        <v>1565</v>
      </c>
      <c r="D96" s="1049" t="s">
        <v>1566</v>
      </c>
      <c r="E96" s="1120">
        <v>0.2</v>
      </c>
      <c r="F96" s="1135">
        <v>30</v>
      </c>
    </row>
    <row r="97" spans="1:6" s="1086" customFormat="1" ht="36">
      <c r="A97" s="1135">
        <v>37</v>
      </c>
      <c r="B97" s="3695"/>
      <c r="C97" s="1135" t="s">
        <v>1567</v>
      </c>
      <c r="D97" s="1049" t="s">
        <v>1568</v>
      </c>
      <c r="E97" s="1120">
        <v>0.2</v>
      </c>
      <c r="F97" s="1135">
        <v>30</v>
      </c>
    </row>
    <row r="98" spans="1:6" s="1086" customFormat="1" ht="36">
      <c r="A98" s="1135">
        <v>38</v>
      </c>
      <c r="B98" s="3695"/>
      <c r="C98" s="1135" t="s">
        <v>1569</v>
      </c>
      <c r="D98" s="1049" t="s">
        <v>1570</v>
      </c>
      <c r="E98" s="1120">
        <v>0.2</v>
      </c>
      <c r="F98" s="1135">
        <v>30</v>
      </c>
    </row>
    <row r="99" spans="1:6" s="1086" customFormat="1" ht="36">
      <c r="A99" s="1135">
        <v>39</v>
      </c>
      <c r="B99" s="3695" t="s">
        <v>1571</v>
      </c>
      <c r="C99" s="1135" t="s">
        <v>1572</v>
      </c>
      <c r="D99" s="1049" t="s">
        <v>1573</v>
      </c>
      <c r="E99" s="1120">
        <v>0.3</v>
      </c>
      <c r="F99" s="1135">
        <v>50</v>
      </c>
    </row>
    <row r="100" spans="1:6" s="1086" customFormat="1" ht="24">
      <c r="A100" s="1135">
        <v>40</v>
      </c>
      <c r="B100" s="3695"/>
      <c r="C100" s="1135" t="s">
        <v>1574</v>
      </c>
      <c r="D100" s="1049" t="s">
        <v>1575</v>
      </c>
      <c r="E100" s="1120">
        <v>0.2</v>
      </c>
      <c r="F100" s="1135">
        <v>30</v>
      </c>
    </row>
    <row r="101" spans="1:6" s="1086" customFormat="1" ht="36">
      <c r="A101" s="1135">
        <v>41</v>
      </c>
      <c r="B101" s="3695"/>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695" t="s">
        <v>1586</v>
      </c>
      <c r="C105" s="1135" t="s">
        <v>1587</v>
      </c>
      <c r="D105" s="1049" t="s">
        <v>1588</v>
      </c>
      <c r="E105" s="1120">
        <v>0.2</v>
      </c>
      <c r="F105" s="1135">
        <v>30</v>
      </c>
    </row>
    <row r="106" spans="1:6" s="1086" customFormat="1" ht="36">
      <c r="A106" s="1135">
        <v>46</v>
      </c>
      <c r="B106" s="3695"/>
      <c r="C106" s="1135" t="s">
        <v>1589</v>
      </c>
      <c r="D106" s="1049" t="s">
        <v>1590</v>
      </c>
      <c r="E106" s="1120">
        <v>0.2</v>
      </c>
      <c r="F106" s="1135">
        <v>30</v>
      </c>
    </row>
    <row r="107" spans="1:6" s="1086" customFormat="1" ht="36">
      <c r="A107" s="1135">
        <v>47</v>
      </c>
      <c r="B107" s="3695" t="s">
        <v>1591</v>
      </c>
      <c r="C107" s="1135" t="s">
        <v>1592</v>
      </c>
      <c r="D107" s="1049" t="s">
        <v>1593</v>
      </c>
      <c r="E107" s="1120">
        <v>0.3</v>
      </c>
      <c r="F107" s="1135">
        <v>50</v>
      </c>
    </row>
    <row r="108" spans="1:6" s="1086" customFormat="1" ht="36">
      <c r="A108" s="1135">
        <v>48</v>
      </c>
      <c r="B108" s="3695"/>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695" t="s">
        <v>1602</v>
      </c>
      <c r="C111" s="1135" t="s">
        <v>1603</v>
      </c>
      <c r="D111" s="1049" t="s">
        <v>1604</v>
      </c>
      <c r="E111" s="1120">
        <v>0.2</v>
      </c>
      <c r="F111" s="1135">
        <v>30</v>
      </c>
    </row>
    <row r="112" spans="1:6" s="1086" customFormat="1" ht="24">
      <c r="A112" s="1135">
        <v>52</v>
      </c>
      <c r="B112" s="3695"/>
      <c r="C112" s="1135" t="s">
        <v>1605</v>
      </c>
      <c r="D112" s="1049" t="s">
        <v>1606</v>
      </c>
      <c r="E112" s="1120">
        <v>0.2</v>
      </c>
      <c r="F112" s="1135">
        <v>30</v>
      </c>
    </row>
    <row r="113" spans="1:14" s="1086" customFormat="1" ht="24">
      <c r="A113" s="1135">
        <v>53</v>
      </c>
      <c r="B113" s="3695"/>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695" t="s">
        <v>1615</v>
      </c>
      <c r="C116" s="1135" t="s">
        <v>1616</v>
      </c>
      <c r="D116" s="1049" t="s">
        <v>1617</v>
      </c>
      <c r="E116" s="1120">
        <v>0.2</v>
      </c>
      <c r="F116" s="1135">
        <v>30</v>
      </c>
    </row>
    <row r="117" spans="1:14" ht="36">
      <c r="A117" s="1135">
        <v>57</v>
      </c>
      <c r="B117" s="3695"/>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694" t="s">
        <v>1624</v>
      </c>
      <c r="B121" s="3694"/>
      <c r="C121" s="3694"/>
      <c r="D121" s="3694"/>
      <c r="E121" s="3694"/>
      <c r="F121" s="3694"/>
      <c r="G121" s="3694"/>
      <c r="H121" s="3694"/>
      <c r="I121" s="3694"/>
      <c r="J121" s="3694"/>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696" t="s">
        <v>1030</v>
      </c>
      <c r="B1" s="3696"/>
      <c r="C1" s="3696"/>
      <c r="D1" s="3696"/>
      <c r="E1" s="3696"/>
      <c r="F1" s="3696"/>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697" t="s">
        <v>1043</v>
      </c>
      <c r="B2" s="3697"/>
      <c r="C2" s="3697"/>
      <c r="D2" s="3697"/>
      <c r="E2" s="3697"/>
      <c r="F2" s="3697"/>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698"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699"/>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2406</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2407</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2" customWidth="1"/>
    <col min="2" max="2" width="10.125" style="1793" customWidth="1"/>
  </cols>
  <sheetData>
    <row r="1" spans="1:6">
      <c r="A1" s="3700" t="s">
        <v>2067</v>
      </c>
      <c r="B1" s="3700"/>
    </row>
    <row r="2" spans="1:6" ht="14.25" thickBot="1">
      <c r="A2" s="1763"/>
      <c r="B2" s="1763"/>
    </row>
    <row r="3" spans="1:6" ht="14.25" thickBot="1">
      <c r="A3" s="1763"/>
      <c r="B3" s="1763"/>
      <c r="C3" s="1764" t="s">
        <v>2068</v>
      </c>
      <c r="D3" s="1764" t="s">
        <v>2069</v>
      </c>
      <c r="E3" s="1764" t="s">
        <v>2070</v>
      </c>
      <c r="F3" s="1764" t="s">
        <v>2071</v>
      </c>
    </row>
    <row r="4" spans="1:6" ht="14.25" thickBot="1">
      <c r="A4" s="1765" t="s">
        <v>2072</v>
      </c>
      <c r="B4" s="1766" t="s">
        <v>2073</v>
      </c>
      <c r="C4" s="1764"/>
      <c r="D4" s="1764"/>
      <c r="E4" s="1764"/>
      <c r="F4" s="1764"/>
    </row>
    <row r="5" spans="1:6" ht="14.25" thickBot="1">
      <c r="A5" s="1767" t="s">
        <v>2074</v>
      </c>
      <c r="B5" s="1768" t="s">
        <v>2075</v>
      </c>
      <c r="C5" s="1769">
        <v>8.8999999999999996E-2</v>
      </c>
      <c r="D5" s="1769">
        <v>7.3999999999999996E-2</v>
      </c>
      <c r="E5" s="1769">
        <v>7.4999999999999997E-2</v>
      </c>
      <c r="F5" s="1770">
        <v>0.1</v>
      </c>
    </row>
    <row r="6" spans="1:6" ht="14.25" thickBot="1">
      <c r="A6" s="1767" t="s">
        <v>1087</v>
      </c>
      <c r="B6" s="1771" t="s">
        <v>2076</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2077</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2078</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2079</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2080</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24.75" thickBot="1">
      <c r="A72" s="1767" t="s">
        <v>916</v>
      </c>
      <c r="B72" s="1771" t="s">
        <v>2081</v>
      </c>
      <c r="C72" s="1781"/>
      <c r="D72" s="1781"/>
      <c r="E72" s="1781"/>
      <c r="F72" s="1773">
        <v>0.05</v>
      </c>
    </row>
    <row r="73" spans="1:6" ht="24.75" thickBot="1">
      <c r="A73" s="1767" t="s">
        <v>916</v>
      </c>
      <c r="B73" s="1771" t="s">
        <v>2082</v>
      </c>
      <c r="C73" s="1781"/>
      <c r="D73" s="1781"/>
      <c r="E73" s="1781"/>
      <c r="F73" s="1773">
        <v>0.05</v>
      </c>
    </row>
    <row r="74" spans="1:6" ht="24.75" thickBot="1">
      <c r="A74" s="1767" t="s">
        <v>916</v>
      </c>
      <c r="B74" s="1771" t="s">
        <v>2083</v>
      </c>
      <c r="C74" s="1781"/>
      <c r="D74" s="1781"/>
      <c r="E74" s="1781"/>
      <c r="F74" s="1773">
        <v>0.05</v>
      </c>
    </row>
    <row r="75" spans="1:6" ht="24.75" thickBot="1">
      <c r="A75" s="1775" t="s">
        <v>916</v>
      </c>
      <c r="B75" s="1782" t="s">
        <v>2084</v>
      </c>
      <c r="C75" s="1778"/>
      <c r="D75" s="1778"/>
      <c r="E75" s="1778"/>
      <c r="F75" s="1783">
        <v>0.05</v>
      </c>
    </row>
    <row r="76" spans="1:6" ht="14.25" thickBot="1">
      <c r="A76" s="1767" t="s">
        <v>1398</v>
      </c>
      <c r="B76" s="1768" t="s">
        <v>2085</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24.75" thickBot="1">
      <c r="A102" s="1767" t="s">
        <v>1398</v>
      </c>
      <c r="B102" s="1771" t="s">
        <v>2086</v>
      </c>
      <c r="C102" s="1781"/>
      <c r="D102" s="1781"/>
      <c r="E102" s="1781"/>
      <c r="F102" s="1773">
        <v>0.05</v>
      </c>
    </row>
    <row r="103" spans="1:6" ht="24.75" thickBot="1">
      <c r="A103" s="1767" t="s">
        <v>1398</v>
      </c>
      <c r="B103" s="1771" t="s">
        <v>2087</v>
      </c>
      <c r="C103" s="1781"/>
      <c r="D103" s="1781"/>
      <c r="E103" s="1781"/>
      <c r="F103" s="1773">
        <v>0.05</v>
      </c>
    </row>
    <row r="104" spans="1:6" ht="14.25" thickBot="1">
      <c r="A104" s="1767" t="s">
        <v>1398</v>
      </c>
      <c r="B104" s="1771" t="s">
        <v>2088</v>
      </c>
      <c r="C104" s="1781"/>
      <c r="D104" s="1781"/>
      <c r="E104" s="1781"/>
      <c r="F104" s="1773">
        <v>0.05</v>
      </c>
    </row>
    <row r="105" spans="1:6" ht="14.25" thickBot="1">
      <c r="A105" s="1767" t="s">
        <v>1398</v>
      </c>
      <c r="B105" s="1771" t="s">
        <v>2089</v>
      </c>
      <c r="C105" s="1781"/>
      <c r="D105" s="1781"/>
      <c r="E105" s="1781"/>
      <c r="F105" s="1773">
        <v>0.05</v>
      </c>
    </row>
    <row r="106" spans="1:6" ht="14.25" thickBot="1">
      <c r="A106" s="1767" t="s">
        <v>1398</v>
      </c>
      <c r="B106" s="1771" t="s">
        <v>2090</v>
      </c>
      <c r="C106" s="1781"/>
      <c r="D106" s="1781"/>
      <c r="E106" s="1781"/>
      <c r="F106" s="1773">
        <v>0.05</v>
      </c>
    </row>
    <row r="107" spans="1:6" ht="24.75" thickBot="1">
      <c r="A107" s="1767" t="s">
        <v>1398</v>
      </c>
      <c r="B107" s="1771" t="s">
        <v>2091</v>
      </c>
      <c r="C107" s="1781"/>
      <c r="D107" s="1781"/>
      <c r="E107" s="1781"/>
      <c r="F107" s="1773">
        <v>0.05</v>
      </c>
    </row>
    <row r="108" spans="1:6" ht="24.75" thickBot="1">
      <c r="A108" s="1767" t="s">
        <v>1398</v>
      </c>
      <c r="B108" s="1771" t="s">
        <v>2092</v>
      </c>
      <c r="C108" s="1781"/>
      <c r="D108" s="1781"/>
      <c r="E108" s="1781"/>
      <c r="F108" s="1773">
        <v>0.05</v>
      </c>
    </row>
    <row r="109" spans="1:6" ht="24.75" thickBot="1">
      <c r="A109" s="1775" t="s">
        <v>1398</v>
      </c>
      <c r="B109" s="1782" t="s">
        <v>2093</v>
      </c>
      <c r="C109" s="1778"/>
      <c r="D109" s="1778"/>
      <c r="E109" s="1778"/>
      <c r="F109" s="1783">
        <v>0.05</v>
      </c>
    </row>
    <row r="110" spans="1:6" ht="14.25" thickBot="1">
      <c r="A110" s="1767" t="s">
        <v>1400</v>
      </c>
      <c r="B110" s="1768" t="s">
        <v>2094</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2095</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2096</v>
      </c>
      <c r="C138" s="1772">
        <v>0.105</v>
      </c>
      <c r="D138" s="1772">
        <v>0.125</v>
      </c>
      <c r="E138" s="1772">
        <v>0.112</v>
      </c>
      <c r="F138" s="1780"/>
    </row>
    <row r="139" spans="1:6" ht="14.25" thickBot="1">
      <c r="A139" s="1767" t="s">
        <v>1400</v>
      </c>
      <c r="B139" s="1771" t="s">
        <v>2097</v>
      </c>
      <c r="C139" s="1772">
        <v>0.127</v>
      </c>
      <c r="D139" s="1772">
        <v>0.127</v>
      </c>
      <c r="E139" s="1772">
        <v>0.122</v>
      </c>
      <c r="F139" s="1773">
        <v>0.13</v>
      </c>
    </row>
    <row r="140" spans="1:6" ht="14.25" thickBot="1">
      <c r="A140" s="1767" t="s">
        <v>1400</v>
      </c>
      <c r="B140" s="1771" t="s">
        <v>2098</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2099</v>
      </c>
      <c r="C144" s="1785">
        <v>0.126</v>
      </c>
      <c r="D144" s="1785">
        <v>0.126</v>
      </c>
      <c r="E144" s="1785">
        <v>0.121</v>
      </c>
      <c r="F144" s="1780"/>
    </row>
    <row r="145" spans="1:6" ht="14.25" thickBot="1">
      <c r="A145" s="1775" t="s">
        <v>1400</v>
      </c>
      <c r="B145" s="1786" t="s">
        <v>2100</v>
      </c>
      <c r="C145" s="1787"/>
      <c r="D145" s="1787"/>
      <c r="E145" s="1787"/>
      <c r="F145" s="1788">
        <v>0.05</v>
      </c>
    </row>
    <row r="146" spans="1:6" ht="24.75" thickBot="1">
      <c r="A146" s="1789" t="s">
        <v>1400</v>
      </c>
      <c r="B146" s="1774" t="s">
        <v>2101</v>
      </c>
      <c r="C146" s="1781"/>
      <c r="D146" s="1781"/>
      <c r="E146" s="1781"/>
      <c r="F146" s="1790">
        <v>0.05</v>
      </c>
    </row>
    <row r="147" spans="1:6" ht="24.75" thickBot="1">
      <c r="A147" s="1767" t="s">
        <v>1400</v>
      </c>
      <c r="B147" s="1771" t="s">
        <v>2102</v>
      </c>
      <c r="C147" s="1781"/>
      <c r="D147" s="1781"/>
      <c r="E147" s="1781"/>
      <c r="F147" s="1773">
        <v>0.05</v>
      </c>
    </row>
    <row r="148" spans="1:6" ht="24.75" thickBot="1">
      <c r="A148" s="1767" t="s">
        <v>1400</v>
      </c>
      <c r="B148" s="1771" t="s">
        <v>2103</v>
      </c>
      <c r="C148" s="1781"/>
      <c r="D148" s="1781"/>
      <c r="E148" s="1781"/>
      <c r="F148" s="1773">
        <v>0.05</v>
      </c>
    </row>
    <row r="149" spans="1:6" ht="24.75" thickBot="1">
      <c r="A149" s="1767" t="s">
        <v>1400</v>
      </c>
      <c r="B149" s="1771" t="s">
        <v>2104</v>
      </c>
      <c r="C149" s="1781"/>
      <c r="D149" s="1781"/>
      <c r="E149" s="1781"/>
      <c r="F149" s="1773">
        <v>0.05</v>
      </c>
    </row>
    <row r="150" spans="1:6" ht="24.75" thickBot="1">
      <c r="A150" s="1767" t="s">
        <v>1400</v>
      </c>
      <c r="B150" s="1771" t="s">
        <v>2105</v>
      </c>
      <c r="C150" s="1781"/>
      <c r="D150" s="1781"/>
      <c r="E150" s="1781"/>
      <c r="F150" s="1773">
        <v>0.05</v>
      </c>
    </row>
    <row r="151" spans="1:6" ht="24.75" thickBot="1">
      <c r="A151" s="1767" t="s">
        <v>1400</v>
      </c>
      <c r="B151" s="1771" t="s">
        <v>2106</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2107</v>
      </c>
      <c r="C153" s="1781"/>
      <c r="D153" s="1781"/>
      <c r="E153" s="1781"/>
      <c r="F153" s="1773">
        <v>0.05</v>
      </c>
    </row>
    <row r="154" spans="1:6" ht="14.25" thickBot="1">
      <c r="A154" s="1767" t="s">
        <v>1400</v>
      </c>
      <c r="B154" s="1771" t="s">
        <v>2108</v>
      </c>
      <c r="C154" s="1781"/>
      <c r="D154" s="1781"/>
      <c r="E154" s="1781"/>
      <c r="F154" s="1773">
        <v>0.05</v>
      </c>
    </row>
    <row r="155" spans="1:6" ht="24.75" thickBot="1">
      <c r="A155" s="1767" t="s">
        <v>1400</v>
      </c>
      <c r="B155" s="1771" t="s">
        <v>2109</v>
      </c>
      <c r="C155" s="1781"/>
      <c r="D155" s="1781"/>
      <c r="E155" s="1781"/>
      <c r="F155" s="1773">
        <v>0.05</v>
      </c>
    </row>
    <row r="156" spans="1:6" ht="24.75" thickBot="1">
      <c r="A156" s="1767" t="s">
        <v>1400</v>
      </c>
      <c r="B156" s="1771" t="s">
        <v>2110</v>
      </c>
      <c r="C156" s="1781"/>
      <c r="D156" s="1781"/>
      <c r="E156" s="1781"/>
      <c r="F156" s="1773">
        <v>0.05</v>
      </c>
    </row>
    <row r="157" spans="1:6" ht="14.25" thickBot="1">
      <c r="A157" s="1775" t="s">
        <v>1400</v>
      </c>
      <c r="B157" s="1782" t="s">
        <v>2111</v>
      </c>
      <c r="C157" s="1778"/>
      <c r="D157" s="1778"/>
      <c r="E157" s="1778"/>
      <c r="F157" s="1783">
        <v>0.05</v>
      </c>
    </row>
    <row r="158" spans="1:6" ht="14.25" thickBot="1">
      <c r="A158" s="1767" t="s">
        <v>1402</v>
      </c>
      <c r="B158" s="1768" t="s">
        <v>2112</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2113</v>
      </c>
      <c r="C171" s="1772">
        <v>0.127</v>
      </c>
      <c r="D171" s="1772">
        <v>0.126</v>
      </c>
      <c r="E171" s="1772">
        <v>0.126</v>
      </c>
      <c r="F171" s="1773">
        <v>0.11799999999999999</v>
      </c>
    </row>
    <row r="172" spans="1:6" ht="14.25" thickBot="1">
      <c r="A172" s="1767" t="s">
        <v>1402</v>
      </c>
      <c r="B172" s="1771" t="s">
        <v>2114</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2115</v>
      </c>
      <c r="C174" s="1772">
        <v>0.13</v>
      </c>
      <c r="D174" s="1772">
        <v>0.13</v>
      </c>
      <c r="E174" s="1772">
        <v>0.13</v>
      </c>
      <c r="F174" s="1773">
        <v>0.13</v>
      </c>
    </row>
    <row r="175" spans="1:6" ht="14.25" thickBot="1">
      <c r="A175" s="1767" t="s">
        <v>1402</v>
      </c>
      <c r="B175" s="1771" t="s">
        <v>2116</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2117</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2118</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2119</v>
      </c>
      <c r="C185" s="1772">
        <v>0.127</v>
      </c>
      <c r="D185" s="1772">
        <v>0.127</v>
      </c>
      <c r="E185" s="1772">
        <v>0.128</v>
      </c>
      <c r="F185" s="1773">
        <v>0.13</v>
      </c>
    </row>
    <row r="186" spans="1:6" ht="24.75" thickBot="1">
      <c r="A186" s="1767" t="s">
        <v>1402</v>
      </c>
      <c r="B186" s="1771" t="s">
        <v>2120</v>
      </c>
      <c r="C186" s="1781"/>
      <c r="D186" s="1781"/>
      <c r="E186" s="1781"/>
      <c r="F186" s="1773">
        <v>0.05</v>
      </c>
    </row>
    <row r="187" spans="1:6" ht="14.25" thickBot="1">
      <c r="A187" s="1767" t="s">
        <v>1402</v>
      </c>
      <c r="B187" s="1771" t="s">
        <v>2121</v>
      </c>
      <c r="C187" s="1781"/>
      <c r="D187" s="1781"/>
      <c r="E187" s="1781"/>
      <c r="F187" s="1773">
        <v>0.05</v>
      </c>
    </row>
    <row r="188" spans="1:6" ht="24.75" thickBot="1">
      <c r="A188" s="1767" t="s">
        <v>1402</v>
      </c>
      <c r="B188" s="1771" t="s">
        <v>2122</v>
      </c>
      <c r="C188" s="1781"/>
      <c r="D188" s="1781"/>
      <c r="E188" s="1781"/>
      <c r="F188" s="1773">
        <v>0.05</v>
      </c>
    </row>
    <row r="189" spans="1:6" ht="24.75" thickBot="1">
      <c r="A189" s="1767" t="s">
        <v>1402</v>
      </c>
      <c r="B189" s="1771" t="s">
        <v>2123</v>
      </c>
      <c r="C189" s="1781"/>
      <c r="D189" s="1781"/>
      <c r="E189" s="1781"/>
      <c r="F189" s="1773">
        <v>0.05</v>
      </c>
    </row>
    <row r="190" spans="1:6" ht="24.75" thickBot="1">
      <c r="A190" s="1767" t="s">
        <v>1402</v>
      </c>
      <c r="B190" s="1771" t="s">
        <v>2124</v>
      </c>
      <c r="C190" s="1781"/>
      <c r="D190" s="1781"/>
      <c r="E190" s="1781"/>
      <c r="F190" s="1773">
        <v>0.05</v>
      </c>
    </row>
    <row r="191" spans="1:6" ht="24.75" thickBot="1">
      <c r="A191" s="1767" t="s">
        <v>1402</v>
      </c>
      <c r="B191" s="1771" t="s">
        <v>2125</v>
      </c>
      <c r="C191" s="1781"/>
      <c r="D191" s="1781"/>
      <c r="E191" s="1781"/>
      <c r="F191" s="1773">
        <v>0.05</v>
      </c>
    </row>
    <row r="192" spans="1:6" ht="24.75" thickBot="1">
      <c r="A192" s="1767" t="s">
        <v>1402</v>
      </c>
      <c r="B192" s="1771" t="s">
        <v>2126</v>
      </c>
      <c r="C192" s="1781"/>
      <c r="D192" s="1781"/>
      <c r="E192" s="1781"/>
      <c r="F192" s="1773">
        <v>0.05</v>
      </c>
    </row>
    <row r="193" spans="1:6" ht="24.75" thickBot="1">
      <c r="A193" s="1767" t="s">
        <v>1402</v>
      </c>
      <c r="B193" s="1771" t="s">
        <v>2127</v>
      </c>
      <c r="C193" s="1781"/>
      <c r="D193" s="1781"/>
      <c r="E193" s="1781"/>
      <c r="F193" s="1773">
        <v>0.05</v>
      </c>
    </row>
    <row r="194" spans="1:6" ht="24.75" thickBot="1">
      <c r="A194" s="1767" t="s">
        <v>1402</v>
      </c>
      <c r="B194" s="1771" t="s">
        <v>2128</v>
      </c>
      <c r="C194" s="1781"/>
      <c r="D194" s="1781"/>
      <c r="E194" s="1781"/>
      <c r="F194" s="1773">
        <v>0.05</v>
      </c>
    </row>
    <row r="195" spans="1:6" ht="14.25" thickBot="1">
      <c r="A195" s="1767" t="s">
        <v>1402</v>
      </c>
      <c r="B195" s="1771" t="s">
        <v>2129</v>
      </c>
      <c r="C195" s="1781"/>
      <c r="D195" s="1781"/>
      <c r="E195" s="1781"/>
      <c r="F195" s="1773">
        <v>0.05</v>
      </c>
    </row>
    <row r="196" spans="1:6" ht="24.75" thickBot="1">
      <c r="A196" s="1767" t="s">
        <v>1402</v>
      </c>
      <c r="B196" s="1771" t="s">
        <v>2130</v>
      </c>
      <c r="C196" s="1781"/>
      <c r="D196" s="1781"/>
      <c r="E196" s="1781"/>
      <c r="F196" s="1773">
        <v>0.05</v>
      </c>
    </row>
    <row r="197" spans="1:6" ht="24.75" thickBot="1">
      <c r="A197" s="1767" t="s">
        <v>1402</v>
      </c>
      <c r="B197" s="1771" t="s">
        <v>2131</v>
      </c>
      <c r="C197" s="1781"/>
      <c r="D197" s="1781"/>
      <c r="E197" s="1781"/>
      <c r="F197" s="1773">
        <v>0.05</v>
      </c>
    </row>
    <row r="198" spans="1:6" ht="24.75" thickBot="1">
      <c r="A198" s="1767" t="s">
        <v>1402</v>
      </c>
      <c r="B198" s="1771" t="s">
        <v>2132</v>
      </c>
      <c r="C198" s="1781"/>
      <c r="D198" s="1781"/>
      <c r="E198" s="1781"/>
      <c r="F198" s="1773">
        <v>0.05</v>
      </c>
    </row>
    <row r="199" spans="1:6" ht="24.75" thickBot="1">
      <c r="A199" s="1767" t="s">
        <v>1402</v>
      </c>
      <c r="B199" s="1771" t="s">
        <v>2133</v>
      </c>
      <c r="C199" s="1781"/>
      <c r="D199" s="1781"/>
      <c r="E199" s="1781"/>
      <c r="F199" s="1773">
        <v>0.05</v>
      </c>
    </row>
    <row r="200" spans="1:6" ht="24.75" thickBot="1">
      <c r="A200" s="1767" t="s">
        <v>1402</v>
      </c>
      <c r="B200" s="1771" t="s">
        <v>2134</v>
      </c>
      <c r="C200" s="1781"/>
      <c r="D200" s="1781"/>
      <c r="E200" s="1781"/>
      <c r="F200" s="1773">
        <v>0.05</v>
      </c>
    </row>
    <row r="201" spans="1:6" ht="24.75" thickBot="1">
      <c r="A201" s="1767" t="s">
        <v>1402</v>
      </c>
      <c r="B201" s="1771" t="s">
        <v>2135</v>
      </c>
      <c r="C201" s="1781"/>
      <c r="D201" s="1781"/>
      <c r="E201" s="1781"/>
      <c r="F201" s="1773">
        <v>0.05</v>
      </c>
    </row>
    <row r="202" spans="1:6" ht="24.75" thickBot="1">
      <c r="A202" s="1767" t="s">
        <v>1402</v>
      </c>
      <c r="B202" s="1771" t="s">
        <v>2136</v>
      </c>
      <c r="C202" s="1781"/>
      <c r="D202" s="1781"/>
      <c r="E202" s="1781"/>
      <c r="F202" s="1773">
        <v>0.05</v>
      </c>
    </row>
    <row r="203" spans="1:6" ht="24.75" thickBot="1">
      <c r="A203" s="1767" t="s">
        <v>1402</v>
      </c>
      <c r="B203" s="1771" t="s">
        <v>2137</v>
      </c>
      <c r="C203" s="1781"/>
      <c r="D203" s="1781"/>
      <c r="E203" s="1781"/>
      <c r="F203" s="1773">
        <v>0.05</v>
      </c>
    </row>
    <row r="204" spans="1:6" ht="14.25" thickBot="1">
      <c r="A204" s="1767" t="s">
        <v>1402</v>
      </c>
      <c r="B204" s="1771" t="s">
        <v>2138</v>
      </c>
      <c r="C204" s="1781"/>
      <c r="D204" s="1781"/>
      <c r="E204" s="1781"/>
      <c r="F204" s="1773">
        <v>0.05</v>
      </c>
    </row>
    <row r="205" spans="1:6" ht="14.25" thickBot="1">
      <c r="A205" s="1775" t="s">
        <v>1402</v>
      </c>
      <c r="B205" s="1782" t="s">
        <v>2139</v>
      </c>
      <c r="C205" s="1778"/>
      <c r="D205" s="1778"/>
      <c r="E205" s="1778"/>
      <c r="F205" s="1783">
        <v>0.05</v>
      </c>
    </row>
    <row r="206" spans="1:6" ht="14.25" thickBot="1">
      <c r="A206" s="1767" t="s">
        <v>1404</v>
      </c>
      <c r="B206" s="1768" t="s">
        <v>2140</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2141</v>
      </c>
      <c r="C210" s="1772">
        <v>0.15</v>
      </c>
      <c r="D210" s="1772">
        <v>0.15</v>
      </c>
      <c r="E210" s="1772">
        <v>0.15</v>
      </c>
      <c r="F210" s="1773">
        <v>0.13800000000000001</v>
      </c>
    </row>
    <row r="211" spans="1:6" ht="14.25" thickBot="1">
      <c r="A211" s="1767" t="s">
        <v>1404</v>
      </c>
      <c r="B211" s="1771" t="s">
        <v>2142</v>
      </c>
      <c r="C211" s="1772">
        <v>0.13700000000000001</v>
      </c>
      <c r="D211" s="1772">
        <v>0.13500000000000001</v>
      </c>
      <c r="E211" s="1772">
        <v>0.13600000000000001</v>
      </c>
      <c r="F211" s="1773">
        <v>0.1</v>
      </c>
    </row>
    <row r="212" spans="1:6" ht="14.25" thickBot="1">
      <c r="A212" s="1767" t="s">
        <v>1404</v>
      </c>
      <c r="B212" s="1771" t="s">
        <v>2143</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2144</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2145</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2146</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2147</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2148</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2149</v>
      </c>
      <c r="C231" s="1772">
        <v>0.128</v>
      </c>
      <c r="D231" s="1772">
        <v>0.125</v>
      </c>
      <c r="E231" s="1772">
        <v>0.13200000000000001</v>
      </c>
      <c r="F231" s="1780"/>
    </row>
    <row r="232" spans="1:6" ht="14.25" thickBot="1">
      <c r="A232" s="1767" t="s">
        <v>1404</v>
      </c>
      <c r="B232" s="1771" t="s">
        <v>2150</v>
      </c>
      <c r="C232" s="1772">
        <v>0.14499999999999999</v>
      </c>
      <c r="D232" s="1772">
        <v>0.14399999999999999</v>
      </c>
      <c r="E232" s="1772">
        <v>0.14599999999999999</v>
      </c>
      <c r="F232" s="1773">
        <v>0.13800000000000001</v>
      </c>
    </row>
    <row r="233" spans="1:6" ht="14.25" thickBot="1">
      <c r="A233" s="1767" t="s">
        <v>1404</v>
      </c>
      <c r="B233" s="1771" t="s">
        <v>2151</v>
      </c>
      <c r="C233" s="1772">
        <v>0.14499999999999999</v>
      </c>
      <c r="D233" s="1772">
        <v>0.14299999999999999</v>
      </c>
      <c r="E233" s="1772">
        <v>0.14199999999999999</v>
      </c>
      <c r="F233" s="1780"/>
    </row>
    <row r="234" spans="1:6" ht="14.25" thickBot="1">
      <c r="A234" s="1767" t="s">
        <v>1404</v>
      </c>
      <c r="B234" s="1771" t="s">
        <v>2152</v>
      </c>
      <c r="C234" s="1772">
        <v>0.14000000000000001</v>
      </c>
      <c r="D234" s="1772">
        <v>0.14000000000000001</v>
      </c>
      <c r="E234" s="1772">
        <v>0.14399999999999999</v>
      </c>
      <c r="F234" s="1780"/>
    </row>
    <row r="235" spans="1:6" ht="14.25" thickBot="1">
      <c r="A235" s="1767" t="s">
        <v>1404</v>
      </c>
      <c r="B235" s="1771" t="s">
        <v>2153</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2154</v>
      </c>
      <c r="C237" s="1781"/>
      <c r="D237" s="1781"/>
      <c r="E237" s="1781"/>
      <c r="F237" s="1773">
        <v>0.05</v>
      </c>
    </row>
    <row r="238" spans="1:6" ht="24.75" thickBot="1">
      <c r="A238" s="1767" t="s">
        <v>1404</v>
      </c>
      <c r="B238" s="1771" t="s">
        <v>2155</v>
      </c>
      <c r="C238" s="1781"/>
      <c r="D238" s="1781"/>
      <c r="E238" s="1781"/>
      <c r="F238" s="1773">
        <v>0.05</v>
      </c>
    </row>
    <row r="239" spans="1:6" ht="24.75" thickBot="1">
      <c r="A239" s="1767" t="s">
        <v>1404</v>
      </c>
      <c r="B239" s="1771" t="s">
        <v>2156</v>
      </c>
      <c r="C239" s="1781"/>
      <c r="D239" s="1781"/>
      <c r="E239" s="1781"/>
      <c r="F239" s="1773">
        <v>0.05</v>
      </c>
    </row>
    <row r="240" spans="1:6" ht="24.75" thickBot="1">
      <c r="A240" s="1767" t="s">
        <v>1404</v>
      </c>
      <c r="B240" s="1771" t="s">
        <v>2157</v>
      </c>
      <c r="C240" s="1781"/>
      <c r="D240" s="1781"/>
      <c r="E240" s="1781"/>
      <c r="F240" s="1773">
        <v>0.05</v>
      </c>
    </row>
    <row r="241" spans="1:6" ht="24.75" thickBot="1">
      <c r="A241" s="1767" t="s">
        <v>1404</v>
      </c>
      <c r="B241" s="1771" t="s">
        <v>2158</v>
      </c>
      <c r="C241" s="1781"/>
      <c r="D241" s="1781"/>
      <c r="E241" s="1781"/>
      <c r="F241" s="1773">
        <v>0.05</v>
      </c>
    </row>
    <row r="242" spans="1:6" ht="24.75" thickBot="1">
      <c r="A242" s="1767" t="s">
        <v>1404</v>
      </c>
      <c r="B242" s="1771" t="s">
        <v>2159</v>
      </c>
      <c r="C242" s="1781"/>
      <c r="D242" s="1781"/>
      <c r="E242" s="1781"/>
      <c r="F242" s="1773">
        <v>0.05</v>
      </c>
    </row>
    <row r="243" spans="1:6" ht="24.75" thickBot="1">
      <c r="A243" s="1767" t="s">
        <v>1404</v>
      </c>
      <c r="B243" s="1771" t="s">
        <v>2160</v>
      </c>
      <c r="C243" s="1781"/>
      <c r="D243" s="1781"/>
      <c r="E243" s="1781"/>
      <c r="F243" s="1773">
        <v>0.05</v>
      </c>
    </row>
    <row r="244" spans="1:6" ht="24.75" thickBot="1">
      <c r="A244" s="1775" t="s">
        <v>1404</v>
      </c>
      <c r="B244" s="1782" t="s">
        <v>2161</v>
      </c>
      <c r="C244" s="1778"/>
      <c r="D244" s="1778"/>
      <c r="E244" s="1778"/>
      <c r="F244" s="1783">
        <v>0.05</v>
      </c>
    </row>
    <row r="245" spans="1:6" ht="14.25" thickBot="1">
      <c r="A245" s="1767" t="s">
        <v>1406</v>
      </c>
      <c r="B245" s="1768" t="s">
        <v>2162</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2163</v>
      </c>
      <c r="C247" s="1772">
        <v>0.15</v>
      </c>
      <c r="D247" s="1772">
        <v>0.15</v>
      </c>
      <c r="E247" s="1772">
        <v>0.15</v>
      </c>
      <c r="F247" s="1773">
        <v>0.15</v>
      </c>
    </row>
    <row r="248" spans="1:6" ht="14.25" thickBot="1">
      <c r="A248" s="1767" t="s">
        <v>1406</v>
      </c>
      <c r="B248" s="1771" t="s">
        <v>2164</v>
      </c>
      <c r="C248" s="1772">
        <v>0.15</v>
      </c>
      <c r="D248" s="1772">
        <v>0.15</v>
      </c>
      <c r="E248" s="1772">
        <v>0.15</v>
      </c>
      <c r="F248" s="1773">
        <v>0.14000000000000001</v>
      </c>
    </row>
    <row r="249" spans="1:6" ht="14.25" thickBot="1">
      <c r="A249" s="1767" t="s">
        <v>1406</v>
      </c>
      <c r="B249" s="1771" t="s">
        <v>2165</v>
      </c>
      <c r="C249" s="1772">
        <v>0.15</v>
      </c>
      <c r="D249" s="1772">
        <v>0.14899999999999999</v>
      </c>
      <c r="E249" s="1772">
        <v>0.15</v>
      </c>
      <c r="F249" s="1773">
        <v>0.1</v>
      </c>
    </row>
    <row r="250" spans="1:6" ht="14.25" thickBot="1">
      <c r="A250" s="1767" t="s">
        <v>1406</v>
      </c>
      <c r="B250" s="1771" t="s">
        <v>2166</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2167</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2168</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2169</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2170</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2171</v>
      </c>
      <c r="C273" s="1772">
        <v>0.14199999999999999</v>
      </c>
      <c r="D273" s="1772">
        <v>0.14299999999999999</v>
      </c>
      <c r="E273" s="1772">
        <v>0.15</v>
      </c>
      <c r="F273" s="1773">
        <v>0.1</v>
      </c>
    </row>
    <row r="274" spans="1:6" ht="14.25" thickBot="1">
      <c r="A274" s="1767" t="s">
        <v>1406</v>
      </c>
      <c r="B274" s="1771" t="s">
        <v>2172</v>
      </c>
      <c r="C274" s="1772">
        <v>0.14799999999999999</v>
      </c>
      <c r="D274" s="1772">
        <v>0.14799999999999999</v>
      </c>
      <c r="E274" s="1772">
        <v>0.15</v>
      </c>
      <c r="F274" s="1773">
        <v>6.7000000000000004E-2</v>
      </c>
    </row>
    <row r="275" spans="1:6" ht="14.25" thickBot="1">
      <c r="A275" s="1767" t="s">
        <v>1406</v>
      </c>
      <c r="B275" s="1771" t="s">
        <v>2173</v>
      </c>
      <c r="C275" s="1772">
        <v>0.15</v>
      </c>
      <c r="D275" s="1772">
        <v>0.15</v>
      </c>
      <c r="E275" s="1772">
        <v>0.15</v>
      </c>
      <c r="F275" s="1773">
        <v>0.15</v>
      </c>
    </row>
    <row r="276" spans="1:6" ht="14.25" thickBot="1">
      <c r="A276" s="1767" t="s">
        <v>1406</v>
      </c>
      <c r="B276" s="1771" t="s">
        <v>2174</v>
      </c>
      <c r="C276" s="1772">
        <v>0.14499999999999999</v>
      </c>
      <c r="D276" s="1772">
        <v>0.14299999999999999</v>
      </c>
      <c r="E276" s="1772">
        <v>0.15</v>
      </c>
      <c r="F276" s="1773">
        <v>5.8999999999999997E-2</v>
      </c>
    </row>
    <row r="277" spans="1:6" ht="14.25" thickBot="1">
      <c r="A277" s="1767" t="s">
        <v>1406</v>
      </c>
      <c r="B277" s="1771" t="s">
        <v>2175</v>
      </c>
      <c r="C277" s="1772">
        <v>0.15</v>
      </c>
      <c r="D277" s="1772">
        <v>0.15</v>
      </c>
      <c r="E277" s="1772">
        <v>0.15</v>
      </c>
      <c r="F277" s="1773">
        <v>0.121</v>
      </c>
    </row>
    <row r="278" spans="1:6" ht="14.25" thickBot="1">
      <c r="A278" s="1767" t="s">
        <v>1406</v>
      </c>
      <c r="B278" s="1771" t="s">
        <v>2176</v>
      </c>
      <c r="C278" s="1772">
        <v>0.15</v>
      </c>
      <c r="D278" s="1772">
        <v>0.15</v>
      </c>
      <c r="E278" s="1772">
        <v>0.15</v>
      </c>
      <c r="F278" s="1773">
        <v>0.13800000000000001</v>
      </c>
    </row>
    <row r="279" spans="1:6" ht="24.75" thickBot="1">
      <c r="A279" s="1767" t="s">
        <v>1406</v>
      </c>
      <c r="B279" s="1771" t="s">
        <v>2177</v>
      </c>
      <c r="C279" s="1781"/>
      <c r="D279" s="1781"/>
      <c r="E279" s="1781"/>
      <c r="F279" s="1773">
        <v>0.05</v>
      </c>
    </row>
    <row r="280" spans="1:6" ht="24.75" thickBot="1">
      <c r="A280" s="1767" t="s">
        <v>1406</v>
      </c>
      <c r="B280" s="1771" t="s">
        <v>2178</v>
      </c>
      <c r="C280" s="1781"/>
      <c r="D280" s="1781"/>
      <c r="E280" s="1781"/>
      <c r="F280" s="1773">
        <v>0.05</v>
      </c>
    </row>
    <row r="281" spans="1:6" ht="24.75" thickBot="1">
      <c r="A281" s="1767" t="s">
        <v>1406</v>
      </c>
      <c r="B281" s="1771" t="s">
        <v>2179</v>
      </c>
      <c r="C281" s="1781"/>
      <c r="D281" s="1781"/>
      <c r="E281" s="1781"/>
      <c r="F281" s="1773">
        <v>0.05</v>
      </c>
    </row>
    <row r="282" spans="1:6" ht="24.75" thickBot="1">
      <c r="A282" s="1767" t="s">
        <v>1406</v>
      </c>
      <c r="B282" s="1771" t="s">
        <v>2180</v>
      </c>
      <c r="C282" s="1781"/>
      <c r="D282" s="1781"/>
      <c r="E282" s="1781"/>
      <c r="F282" s="1773">
        <v>0.05</v>
      </c>
    </row>
    <row r="283" spans="1:6" ht="24.75" thickBot="1">
      <c r="A283" s="1767" t="s">
        <v>1406</v>
      </c>
      <c r="B283" s="1771" t="s">
        <v>2181</v>
      </c>
      <c r="C283" s="1781"/>
      <c r="D283" s="1781"/>
      <c r="E283" s="1781"/>
      <c r="F283" s="1773">
        <v>0.05</v>
      </c>
    </row>
    <row r="284" spans="1:6" ht="24.75" thickBot="1">
      <c r="A284" s="1767" t="s">
        <v>1406</v>
      </c>
      <c r="B284" s="1771" t="s">
        <v>2182</v>
      </c>
      <c r="C284" s="1781"/>
      <c r="D284" s="1781"/>
      <c r="E284" s="1781"/>
      <c r="F284" s="1773">
        <v>0.05</v>
      </c>
    </row>
    <row r="285" spans="1:6" ht="24.75" thickBot="1">
      <c r="A285" s="1767" t="s">
        <v>1406</v>
      </c>
      <c r="B285" s="1771" t="s">
        <v>2183</v>
      </c>
      <c r="C285" s="1781"/>
      <c r="D285" s="1781"/>
      <c r="E285" s="1781"/>
      <c r="F285" s="1773">
        <v>0.05</v>
      </c>
    </row>
    <row r="286" spans="1:6" ht="24.75" thickBot="1">
      <c r="A286" s="1767" t="s">
        <v>1406</v>
      </c>
      <c r="B286" s="1771" t="s">
        <v>2184</v>
      </c>
      <c r="C286" s="1781"/>
      <c r="D286" s="1781"/>
      <c r="E286" s="1781"/>
      <c r="F286" s="1773">
        <v>0.05</v>
      </c>
    </row>
    <row r="287" spans="1:6" ht="24.75" thickBot="1">
      <c r="A287" s="1767" t="s">
        <v>1406</v>
      </c>
      <c r="B287" s="1771" t="s">
        <v>2185</v>
      </c>
      <c r="C287" s="1781"/>
      <c r="D287" s="1781"/>
      <c r="E287" s="1781"/>
      <c r="F287" s="1773">
        <v>0.05</v>
      </c>
    </row>
    <row r="288" spans="1:6" ht="24.75" thickBot="1">
      <c r="A288" s="1767" t="s">
        <v>1406</v>
      </c>
      <c r="B288" s="1771" t="s">
        <v>2186</v>
      </c>
      <c r="C288" s="1781"/>
      <c r="D288" s="1781"/>
      <c r="E288" s="1781"/>
      <c r="F288" s="1773">
        <v>0.05</v>
      </c>
    </row>
    <row r="289" spans="1:6" ht="24.75" thickBot="1">
      <c r="A289" s="1775" t="s">
        <v>1406</v>
      </c>
      <c r="B289" s="1782" t="s">
        <v>2187</v>
      </c>
      <c r="C289" s="1778"/>
      <c r="D289" s="1778"/>
      <c r="E289" s="1778"/>
      <c r="F289" s="1783">
        <v>0.05</v>
      </c>
    </row>
    <row r="290" spans="1:6" ht="14.25" thickBot="1">
      <c r="A290" s="1767" t="s">
        <v>1410</v>
      </c>
      <c r="B290" s="1768" t="s">
        <v>2188</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2189</v>
      </c>
      <c r="C292" s="1772">
        <v>0.15</v>
      </c>
      <c r="D292" s="1772">
        <v>0.15</v>
      </c>
      <c r="E292" s="1772">
        <v>0.15</v>
      </c>
      <c r="F292" s="1773">
        <v>0.14699999999999999</v>
      </c>
    </row>
    <row r="293" spans="1:6" ht="14.25" thickBot="1">
      <c r="A293" s="1767" t="s">
        <v>1410</v>
      </c>
      <c r="B293" s="1771" t="s">
        <v>2190</v>
      </c>
      <c r="C293" s="1781"/>
      <c r="D293" s="1781"/>
      <c r="E293" s="1781"/>
      <c r="F293" s="1773">
        <v>0.1</v>
      </c>
    </row>
    <row r="294" spans="1:6" ht="14.25" thickBot="1">
      <c r="A294" s="1767" t="s">
        <v>1410</v>
      </c>
      <c r="B294" s="1771" t="s">
        <v>2191</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2192</v>
      </c>
      <c r="C296" s="1772">
        <v>0.15</v>
      </c>
      <c r="D296" s="1772">
        <v>0.15</v>
      </c>
      <c r="E296" s="1772">
        <v>0.15</v>
      </c>
      <c r="F296" s="1773">
        <v>0.15</v>
      </c>
    </row>
    <row r="297" spans="1:6" ht="14.25" thickBot="1">
      <c r="A297" s="1767" t="s">
        <v>1410</v>
      </c>
      <c r="B297" s="1771" t="s">
        <v>2193</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2194</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2195</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2196</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2197</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2198</v>
      </c>
      <c r="C310" s="1772">
        <v>0.15</v>
      </c>
      <c r="D310" s="1772">
        <v>0.15</v>
      </c>
      <c r="E310" s="1772">
        <v>0.15</v>
      </c>
      <c r="F310" s="1773">
        <v>0.13700000000000001</v>
      </c>
    </row>
    <row r="311" spans="1:6" ht="14.25" thickBot="1">
      <c r="A311" s="1767" t="s">
        <v>1410</v>
      </c>
      <c r="B311" s="1771" t="s">
        <v>2199</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2200</v>
      </c>
      <c r="C313" s="1772">
        <v>0.15</v>
      </c>
      <c r="D313" s="1772">
        <v>0.15</v>
      </c>
      <c r="E313" s="1772">
        <v>0.15</v>
      </c>
      <c r="F313" s="1773">
        <v>0.15</v>
      </c>
    </row>
    <row r="314" spans="1:6" ht="24.75" thickBot="1">
      <c r="A314" s="1767" t="s">
        <v>1410</v>
      </c>
      <c r="B314" s="1771" t="s">
        <v>2201</v>
      </c>
      <c r="C314" s="1781"/>
      <c r="D314" s="1781"/>
      <c r="E314" s="1781"/>
      <c r="F314" s="1773">
        <v>0.05</v>
      </c>
    </row>
    <row r="315" spans="1:6" ht="24.75" thickBot="1">
      <c r="A315" s="1767" t="s">
        <v>1410</v>
      </c>
      <c r="B315" s="1771" t="s">
        <v>2202</v>
      </c>
      <c r="C315" s="1781"/>
      <c r="D315" s="1781"/>
      <c r="E315" s="1781"/>
      <c r="F315" s="1773">
        <v>0.05</v>
      </c>
    </row>
    <row r="316" spans="1:6" ht="24.75" thickBot="1">
      <c r="A316" s="1775" t="s">
        <v>1410</v>
      </c>
      <c r="B316" s="1782" t="s">
        <v>2203</v>
      </c>
      <c r="C316" s="1778"/>
      <c r="D316" s="1778"/>
      <c r="E316" s="1778"/>
      <c r="F316" s="1783">
        <v>0.05</v>
      </c>
    </row>
    <row r="317" spans="1:6" ht="14.25" thickBot="1">
      <c r="A317" s="1767" t="s">
        <v>2204</v>
      </c>
      <c r="B317" s="1768" t="s">
        <v>2205</v>
      </c>
      <c r="C317" s="1769">
        <v>0.15</v>
      </c>
      <c r="D317" s="1769">
        <v>0.15</v>
      </c>
      <c r="E317" s="1769">
        <v>0.15</v>
      </c>
      <c r="F317" s="1770">
        <v>0.15</v>
      </c>
    </row>
    <row r="318" spans="1:6" ht="14.25" thickBot="1">
      <c r="A318" s="1767" t="s">
        <v>2204</v>
      </c>
      <c r="B318" s="1771" t="s">
        <v>2206</v>
      </c>
      <c r="C318" s="1772">
        <v>0.107</v>
      </c>
      <c r="D318" s="1772">
        <v>0.11</v>
      </c>
      <c r="E318" s="1772">
        <v>0.112</v>
      </c>
      <c r="F318" s="1780"/>
    </row>
    <row r="319" spans="1:6" ht="14.25" thickBot="1">
      <c r="A319" s="1767" t="s">
        <v>2204</v>
      </c>
      <c r="B319" s="1771" t="s">
        <v>2207</v>
      </c>
      <c r="C319" s="1772">
        <v>0.15</v>
      </c>
      <c r="D319" s="1772">
        <v>0.15</v>
      </c>
      <c r="E319" s="1772">
        <v>0.15</v>
      </c>
      <c r="F319" s="1773">
        <v>0.15</v>
      </c>
    </row>
    <row r="320" spans="1:6" ht="14.25" thickBot="1">
      <c r="A320" s="1767" t="s">
        <v>2204</v>
      </c>
      <c r="B320" s="1771" t="s">
        <v>1098</v>
      </c>
      <c r="C320" s="1772">
        <v>0.15</v>
      </c>
      <c r="D320" s="1772">
        <v>0.15</v>
      </c>
      <c r="E320" s="1772">
        <v>0.15</v>
      </c>
      <c r="F320" s="1780"/>
    </row>
    <row r="321" spans="1:6" ht="14.25" thickBot="1">
      <c r="A321" s="1767" t="s">
        <v>2204</v>
      </c>
      <c r="B321" s="1771" t="s">
        <v>2208</v>
      </c>
      <c r="C321" s="1772">
        <v>0.15</v>
      </c>
      <c r="D321" s="1772">
        <v>0.15</v>
      </c>
      <c r="E321" s="1772">
        <v>0.15</v>
      </c>
      <c r="F321" s="1780"/>
    </row>
    <row r="322" spans="1:6" ht="14.25" thickBot="1">
      <c r="A322" s="1767" t="s">
        <v>2204</v>
      </c>
      <c r="B322" s="1771" t="s">
        <v>2209</v>
      </c>
      <c r="C322" s="1772">
        <v>0.15</v>
      </c>
      <c r="D322" s="1772">
        <v>0.15</v>
      </c>
      <c r="E322" s="1772">
        <v>0.15</v>
      </c>
      <c r="F322" s="1773">
        <v>0.15</v>
      </c>
    </row>
    <row r="323" spans="1:6" ht="14.25" thickBot="1">
      <c r="A323" s="1767" t="s">
        <v>2204</v>
      </c>
      <c r="B323" s="1771" t="s">
        <v>2210</v>
      </c>
      <c r="C323" s="1772">
        <v>0.15</v>
      </c>
      <c r="D323" s="1772">
        <v>0.15</v>
      </c>
      <c r="E323" s="1772">
        <v>0.15</v>
      </c>
      <c r="F323" s="1780"/>
    </row>
    <row r="324" spans="1:6" ht="14.25" thickBot="1">
      <c r="A324" s="1767" t="s">
        <v>2204</v>
      </c>
      <c r="B324" s="1771" t="s">
        <v>2211</v>
      </c>
      <c r="C324" s="1772">
        <v>0.15</v>
      </c>
      <c r="D324" s="1772">
        <v>0.15</v>
      </c>
      <c r="E324" s="1772">
        <v>0.15</v>
      </c>
      <c r="F324" s="1780"/>
    </row>
    <row r="325" spans="1:6" ht="14.25" thickBot="1">
      <c r="A325" s="1767" t="s">
        <v>2204</v>
      </c>
      <c r="B325" s="1771" t="s">
        <v>2212</v>
      </c>
      <c r="C325" s="1772">
        <v>0.15</v>
      </c>
      <c r="D325" s="1772">
        <v>0.15</v>
      </c>
      <c r="E325" s="1772">
        <v>0.15</v>
      </c>
      <c r="F325" s="1773">
        <v>0.14699999999999999</v>
      </c>
    </row>
    <row r="326" spans="1:6" ht="14.25" thickBot="1">
      <c r="A326" s="1767" t="s">
        <v>2204</v>
      </c>
      <c r="B326" s="1771" t="s">
        <v>1167</v>
      </c>
      <c r="C326" s="1772">
        <v>0.15</v>
      </c>
      <c r="D326" s="1772">
        <v>0.15</v>
      </c>
      <c r="E326" s="1772">
        <v>0.15</v>
      </c>
      <c r="F326" s="1780"/>
    </row>
    <row r="327" spans="1:6" ht="14.25" thickBot="1">
      <c r="A327" s="1767" t="s">
        <v>2204</v>
      </c>
      <c r="B327" s="1771" t="s">
        <v>2213</v>
      </c>
      <c r="C327" s="1772">
        <v>0.15</v>
      </c>
      <c r="D327" s="1772">
        <v>0.15</v>
      </c>
      <c r="E327" s="1772">
        <v>0.15</v>
      </c>
      <c r="F327" s="1773">
        <v>0.15</v>
      </c>
    </row>
    <row r="328" spans="1:6" ht="14.25" thickBot="1">
      <c r="A328" s="1767" t="s">
        <v>2204</v>
      </c>
      <c r="B328" s="1771" t="s">
        <v>1187</v>
      </c>
      <c r="C328" s="1772">
        <v>0.15</v>
      </c>
      <c r="D328" s="1772">
        <v>0.15</v>
      </c>
      <c r="E328" s="1772">
        <v>0.15</v>
      </c>
      <c r="F328" s="1773">
        <v>0.14099999999999999</v>
      </c>
    </row>
    <row r="329" spans="1:6" ht="14.25" thickBot="1">
      <c r="A329" s="1767" t="s">
        <v>2204</v>
      </c>
      <c r="B329" s="1771" t="s">
        <v>1197</v>
      </c>
      <c r="C329" s="1772">
        <v>0.15</v>
      </c>
      <c r="D329" s="1772">
        <v>0.15</v>
      </c>
      <c r="E329" s="1772">
        <v>0.15</v>
      </c>
      <c r="F329" s="1773">
        <v>0.15</v>
      </c>
    </row>
    <row r="330" spans="1:6" ht="14.25" thickBot="1">
      <c r="A330" s="1767" t="s">
        <v>2204</v>
      </c>
      <c r="B330" s="1771" t="s">
        <v>1207</v>
      </c>
      <c r="C330" s="1772">
        <v>0.15</v>
      </c>
      <c r="D330" s="1772">
        <v>0.15</v>
      </c>
      <c r="E330" s="1772">
        <v>0.15</v>
      </c>
      <c r="F330" s="1780"/>
    </row>
    <row r="331" spans="1:6" ht="14.25" thickBot="1">
      <c r="A331" s="1767" t="s">
        <v>2204</v>
      </c>
      <c r="B331" s="1771" t="s">
        <v>2214</v>
      </c>
      <c r="C331" s="1772">
        <v>0.15</v>
      </c>
      <c r="D331" s="1772">
        <v>0.15</v>
      </c>
      <c r="E331" s="1772">
        <v>0.15</v>
      </c>
      <c r="F331" s="1773">
        <v>0.15</v>
      </c>
    </row>
    <row r="332" spans="1:6" ht="14.25" thickBot="1">
      <c r="A332" s="1767" t="s">
        <v>2204</v>
      </c>
      <c r="B332" s="1771" t="s">
        <v>1227</v>
      </c>
      <c r="C332" s="1772">
        <v>0.15</v>
      </c>
      <c r="D332" s="1772">
        <v>0.15</v>
      </c>
      <c r="E332" s="1772">
        <v>0.15</v>
      </c>
      <c r="F332" s="1773">
        <v>0.15</v>
      </c>
    </row>
    <row r="333" spans="1:6" ht="14.25" thickBot="1">
      <c r="A333" s="1767" t="s">
        <v>2204</v>
      </c>
      <c r="B333" s="1771" t="s">
        <v>2215</v>
      </c>
      <c r="C333" s="1772">
        <v>0.15</v>
      </c>
      <c r="D333" s="1772">
        <v>0.15</v>
      </c>
      <c r="E333" s="1772">
        <v>0.15</v>
      </c>
      <c r="F333" s="1773">
        <v>0.14099999999999999</v>
      </c>
    </row>
    <row r="334" spans="1:6" ht="14.25" thickBot="1">
      <c r="A334" s="1767" t="s">
        <v>2204</v>
      </c>
      <c r="B334" s="1771" t="s">
        <v>1247</v>
      </c>
      <c r="C334" s="1772">
        <v>0.15</v>
      </c>
      <c r="D334" s="1772">
        <v>0.15</v>
      </c>
      <c r="E334" s="1772">
        <v>0.15</v>
      </c>
      <c r="F334" s="1773">
        <v>0.15</v>
      </c>
    </row>
    <row r="335" spans="1:6" ht="14.25" thickBot="1">
      <c r="A335" s="1767" t="s">
        <v>2204</v>
      </c>
      <c r="B335" s="1771" t="s">
        <v>1257</v>
      </c>
      <c r="C335" s="1772">
        <v>0.15</v>
      </c>
      <c r="D335" s="1772">
        <v>0.15</v>
      </c>
      <c r="E335" s="1772">
        <v>0.15</v>
      </c>
      <c r="F335" s="1780"/>
    </row>
    <row r="336" spans="1:6" ht="14.25" thickBot="1">
      <c r="A336" s="1767" t="s">
        <v>2204</v>
      </c>
      <c r="B336" s="1771" t="s">
        <v>2216</v>
      </c>
      <c r="C336" s="1772">
        <v>0.15</v>
      </c>
      <c r="D336" s="1772">
        <v>0.15</v>
      </c>
      <c r="E336" s="1772">
        <v>0.15</v>
      </c>
      <c r="F336" s="1773">
        <v>0.11799999999999999</v>
      </c>
    </row>
    <row r="337" spans="1:6" ht="14.25" thickBot="1">
      <c r="A337" s="1775" t="s">
        <v>2204</v>
      </c>
      <c r="B337" s="1782" t="s">
        <v>1275</v>
      </c>
      <c r="C337" s="1778"/>
      <c r="D337" s="1778"/>
      <c r="E337" s="1778"/>
      <c r="F337" s="1783">
        <v>0.14299999999999999</v>
      </c>
    </row>
    <row r="338" spans="1:6" ht="14.25" thickBot="1">
      <c r="A338" s="1767" t="s">
        <v>2217</v>
      </c>
      <c r="B338" s="1768" t="s">
        <v>2218</v>
      </c>
      <c r="C338" s="1769">
        <v>0.15</v>
      </c>
      <c r="D338" s="1769">
        <v>0.15</v>
      </c>
      <c r="E338" s="1769">
        <v>0.15</v>
      </c>
      <c r="F338" s="1791"/>
    </row>
    <row r="339" spans="1:6" ht="14.25" thickBot="1">
      <c r="A339" s="1767" t="s">
        <v>2217</v>
      </c>
      <c r="B339" s="1771" t="s">
        <v>2219</v>
      </c>
      <c r="C339" s="1772">
        <v>0.15</v>
      </c>
      <c r="D339" s="1772">
        <v>0.15</v>
      </c>
      <c r="E339" s="1772">
        <v>0.15</v>
      </c>
      <c r="F339" s="1780"/>
    </row>
    <row r="340" spans="1:6" ht="14.25" thickBot="1">
      <c r="A340" s="1767" t="s">
        <v>2217</v>
      </c>
      <c r="B340" s="1771" t="s">
        <v>2220</v>
      </c>
      <c r="C340" s="1772">
        <v>0.15</v>
      </c>
      <c r="D340" s="1772">
        <v>0.15</v>
      </c>
      <c r="E340" s="1772">
        <v>0.15</v>
      </c>
      <c r="F340" s="1780"/>
    </row>
    <row r="341" spans="1:6" ht="14.25" thickBot="1">
      <c r="A341" s="1767" t="s">
        <v>2221</v>
      </c>
      <c r="B341" s="1771" t="s">
        <v>2222</v>
      </c>
      <c r="C341" s="1772">
        <v>0.15</v>
      </c>
      <c r="D341" s="1772">
        <v>0.15</v>
      </c>
      <c r="E341" s="1772">
        <v>0.15</v>
      </c>
      <c r="F341" s="1773">
        <v>0.15</v>
      </c>
    </row>
    <row r="342" spans="1:6" ht="14.25" thickBot="1">
      <c r="A342" s="1767" t="s">
        <v>2217</v>
      </c>
      <c r="B342" s="1771" t="s">
        <v>2223</v>
      </c>
      <c r="C342" s="1772">
        <v>0.15</v>
      </c>
      <c r="D342" s="1772">
        <v>0.15</v>
      </c>
      <c r="E342" s="1772">
        <v>0.15</v>
      </c>
      <c r="F342" s="1773">
        <v>0.15</v>
      </c>
    </row>
    <row r="343" spans="1:6" ht="14.25" thickBot="1">
      <c r="A343" s="1767" t="s">
        <v>2217</v>
      </c>
      <c r="B343" s="1771" t="s">
        <v>2224</v>
      </c>
      <c r="C343" s="1772">
        <v>0.15</v>
      </c>
      <c r="D343" s="1772">
        <v>0.15</v>
      </c>
      <c r="E343" s="1772">
        <v>0.15</v>
      </c>
      <c r="F343" s="1773">
        <v>0.15</v>
      </c>
    </row>
    <row r="344" spans="1:6" ht="14.25" thickBot="1">
      <c r="A344" s="1775" t="s">
        <v>2217</v>
      </c>
      <c r="B344" s="1782" t="s">
        <v>2225</v>
      </c>
      <c r="C344" s="1777">
        <v>0.15</v>
      </c>
      <c r="D344" s="1777">
        <v>0.15</v>
      </c>
      <c r="E344" s="1777">
        <v>0.15</v>
      </c>
      <c r="F344" s="178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3" sqref="I3"/>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708" t="s">
        <v>2549</v>
      </c>
      <c r="C1" s="3708"/>
      <c r="D1" s="3708"/>
      <c r="E1" s="3708"/>
      <c r="F1" s="3708"/>
      <c r="G1" s="3707" t="s">
        <v>2550</v>
      </c>
      <c r="H1" s="3707"/>
      <c r="I1" s="3707"/>
      <c r="J1" s="3707"/>
      <c r="K1" s="3707"/>
      <c r="L1" s="3707"/>
      <c r="N1" s="3707" t="s">
        <v>2551</v>
      </c>
      <c r="O1" s="3707"/>
      <c r="P1" s="3707"/>
      <c r="Q1" s="3707"/>
      <c r="S1" s="3707" t="s">
        <v>2552</v>
      </c>
      <c r="T1" s="3707"/>
      <c r="U1" s="3707"/>
      <c r="V1" s="3707"/>
      <c r="X1" s="3706" t="s">
        <v>2612</v>
      </c>
      <c r="Y1" s="3707"/>
      <c r="Z1" s="3707"/>
      <c r="AA1" s="3707"/>
      <c r="AB1" s="3707"/>
      <c r="AD1" s="3706" t="s">
        <v>2616</v>
      </c>
      <c r="AE1" s="3707"/>
      <c r="AF1" s="3707"/>
      <c r="AG1" s="3707"/>
      <c r="AH1" s="3707"/>
    </row>
    <row r="2" spans="1:34" s="2862" customFormat="1" ht="14.25" thickBot="1">
      <c r="B2" s="2863" t="s">
        <v>2553</v>
      </c>
      <c r="C2" s="2863" t="s">
        <v>2614</v>
      </c>
      <c r="D2" s="2864" t="s">
        <v>1635</v>
      </c>
      <c r="E2" s="2864" t="s">
        <v>1937</v>
      </c>
      <c r="F2" s="2863" t="s">
        <v>2615</v>
      </c>
      <c r="G2" s="2865"/>
      <c r="I2" s="2863" t="s">
        <v>2911</v>
      </c>
      <c r="J2" s="2864" t="s">
        <v>2913</v>
      </c>
      <c r="K2" s="2864" t="s">
        <v>2914</v>
      </c>
      <c r="L2" s="2863" t="s">
        <v>2915</v>
      </c>
      <c r="N2" s="2863" t="s">
        <v>2553</v>
      </c>
      <c r="O2" s="2864" t="s">
        <v>2912</v>
      </c>
      <c r="P2" s="2864" t="s">
        <v>1937</v>
      </c>
      <c r="Q2" s="2863" t="s">
        <v>2615</v>
      </c>
      <c r="S2" s="2863" t="s">
        <v>2553</v>
      </c>
      <c r="T2" s="2864" t="s">
        <v>2912</v>
      </c>
      <c r="U2" s="2864" t="s">
        <v>1937</v>
      </c>
      <c r="V2" s="2863" t="s">
        <v>2615</v>
      </c>
      <c r="X2" s="2863" t="s">
        <v>2553</v>
      </c>
      <c r="Y2" s="2863" t="s">
        <v>2614</v>
      </c>
      <c r="Z2" s="2864" t="s">
        <v>1635</v>
      </c>
      <c r="AA2" s="2864" t="s">
        <v>1937</v>
      </c>
      <c r="AB2" s="2863" t="s">
        <v>2615</v>
      </c>
      <c r="AD2" s="2863" t="s">
        <v>2553</v>
      </c>
      <c r="AE2" s="2863" t="s">
        <v>2614</v>
      </c>
      <c r="AF2" s="2864" t="s">
        <v>1635</v>
      </c>
      <c r="AG2" s="2864" t="s">
        <v>1937</v>
      </c>
      <c r="AH2" s="2863" t="s">
        <v>2615</v>
      </c>
    </row>
    <row r="3" spans="1:34" s="2872" customFormat="1" ht="14.25">
      <c r="A3" s="2866" t="s">
        <v>2922</v>
      </c>
      <c r="B3" s="2867"/>
      <c r="C3" s="2867"/>
      <c r="D3" s="2868"/>
      <c r="E3" s="2868"/>
      <c r="F3" s="2867"/>
      <c r="G3" s="2869"/>
      <c r="H3" s="2870"/>
      <c r="I3" s="2871">
        <f>ROUND(AVERAGE($I4:$I32),2)</f>
        <v>1.73</v>
      </c>
      <c r="J3" s="2871">
        <f>ROUND(AVERAGE($J4:$J32),2)</f>
        <v>1.1599999999999999</v>
      </c>
      <c r="K3" s="2871">
        <f>ROUND(AVERAGE($K4:$K32),2)</f>
        <v>1.9</v>
      </c>
      <c r="L3" s="2871">
        <f>ROUND(AVERAGE($L4:$L32),2)</f>
        <v>1.23</v>
      </c>
      <c r="N3" s="2869"/>
      <c r="S3" s="2869"/>
      <c r="W3" s="2873"/>
      <c r="X3" s="2874">
        <f>ROUND(SUMPRODUCT(PRODUCT(1+N3:N$31)),4)</f>
        <v>1.5652999999999999</v>
      </c>
      <c r="Y3" s="2874">
        <f>ROUND(SUMPRODUCT(PRODUCT(1+O3:O$31)),4)</f>
        <v>1.3472</v>
      </c>
      <c r="Z3" s="2874">
        <f t="shared" ref="Z3" si="0">Y3</f>
        <v>1.3472</v>
      </c>
      <c r="AA3" s="2874">
        <f>ROUND(SUMPRODUCT(PRODUCT(1+P3:P$31)),4)</f>
        <v>1.6335999999999999</v>
      </c>
      <c r="AB3" s="2874">
        <f>ROUND(SUMPRODUCT(PRODUCT(1+Q3:Q$31)),4)</f>
        <v>1.3880999999999999</v>
      </c>
      <c r="AD3" s="2875">
        <f>ROUND(AVERAGE(I3:I$32)/100,4)</f>
        <v>1.7299999999999999E-2</v>
      </c>
      <c r="AE3" s="2875">
        <f>ROUND(AVERAGE(J3:J$32)/100,4)</f>
        <v>1.1599999999999999E-2</v>
      </c>
      <c r="AF3" s="2875">
        <f t="shared" ref="AF3:AF30" si="1">AE3</f>
        <v>1.1599999999999999E-2</v>
      </c>
      <c r="AG3" s="2875">
        <f>ROUND(AVERAGE(K3:K$32)/100,4)</f>
        <v>1.9E-2</v>
      </c>
      <c r="AH3" s="2875">
        <f>ROUND(AVERAGE(L3:L$32)/100,4)</f>
        <v>1.23E-2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2987</v>
      </c>
      <c r="B5" s="2886">
        <f t="shared" ref="B5" si="2">B6*(1+N5)</f>
        <v>481.4103506697644</v>
      </c>
      <c r="C5" s="2886">
        <f t="shared" ref="C5" si="3">C6*(1+O5)</f>
        <v>347.29066026648707</v>
      </c>
      <c r="D5" s="2886">
        <f t="shared" ref="D5" si="4">C5</f>
        <v>347.29066026648707</v>
      </c>
      <c r="E5" s="2886">
        <f t="shared" ref="E5" si="5">E6*(1+P5)</f>
        <v>690.85977273901995</v>
      </c>
      <c r="F5" s="2886">
        <f t="shared" ref="F5" si="6">F6*(1+Q5)</f>
        <v>319.13136737000184</v>
      </c>
      <c r="G5" s="2879">
        <v>2020</v>
      </c>
      <c r="H5" s="2887">
        <v>4</v>
      </c>
      <c r="I5" s="2888">
        <v>0</v>
      </c>
      <c r="J5" s="2888">
        <v>0</v>
      </c>
      <c r="K5" s="2888">
        <v>0</v>
      </c>
      <c r="L5" s="2888">
        <v>0</v>
      </c>
      <c r="N5" s="2890">
        <f t="shared" ref="N5" si="7">I5/100</f>
        <v>0</v>
      </c>
      <c r="O5" s="2890">
        <f t="shared" ref="O5" si="8">J5/100</f>
        <v>0</v>
      </c>
      <c r="P5" s="2890">
        <f t="shared" ref="P5" si="9">K5/100</f>
        <v>0</v>
      </c>
      <c r="Q5" s="2890">
        <f t="shared" ref="Q5" si="10">L5/100</f>
        <v>0</v>
      </c>
      <c r="S5" s="2891"/>
      <c r="W5" s="2892" t="s">
        <v>2923</v>
      </c>
      <c r="X5" s="2893">
        <f>ROUND(SUMPRODUCT(PRODUCT(1+N5:N$32)),4)</f>
        <v>1.6117999999999999</v>
      </c>
      <c r="Y5" s="2893">
        <f>ROUND(SUMPRODUCT(PRODUCT(1+O5:O$32)),4)</f>
        <v>1.3788</v>
      </c>
      <c r="Z5" s="2893">
        <f t="shared" ref="Z5" si="11">Y5</f>
        <v>1.3788</v>
      </c>
      <c r="AA5" s="2893">
        <f>ROUND(SUMPRODUCT(PRODUCT(1+P5:P$32)),4)</f>
        <v>1.6872</v>
      </c>
      <c r="AB5" s="2893">
        <f>ROUND(SUMPRODUCT(PRODUCT(1+Q5:Q$32)),4)</f>
        <v>1.4069</v>
      </c>
      <c r="AD5" s="2894">
        <f>ROUND(AVERAGE(I5:I$32)/100,4)</f>
        <v>1.7299999999999999E-2</v>
      </c>
      <c r="AE5" s="2894">
        <f>ROUND(AVERAGE(J5:J$32)/100,4)</f>
        <v>1.1599999999999999E-2</v>
      </c>
      <c r="AF5" s="2894">
        <f t="shared" ref="AF5" si="12">AE5</f>
        <v>1.1599999999999999E-2</v>
      </c>
      <c r="AG5" s="2894">
        <f>ROUND(AVERAGE(K5:K$32)/100,4)</f>
        <v>1.9E-2</v>
      </c>
      <c r="AH5" s="2894">
        <f>ROUND(AVERAGE(L5:L$32)/100,4)</f>
        <v>1.23E-2</v>
      </c>
    </row>
    <row r="6" spans="1:34" s="2902" customFormat="1">
      <c r="A6" s="2895" t="s">
        <v>2986</v>
      </c>
      <c r="B6" s="2896">
        <f t="shared" ref="B6" si="13">B7*(1+N6)</f>
        <v>481.4103506697644</v>
      </c>
      <c r="C6" s="2896">
        <f t="shared" ref="C6" si="14">C7*(1+O6)</f>
        <v>347.29066026648707</v>
      </c>
      <c r="D6" s="2896">
        <f t="shared" ref="D6" si="15">C6</f>
        <v>347.29066026648707</v>
      </c>
      <c r="E6" s="2896">
        <f t="shared" ref="E6" si="16">E7*(1+P6)</f>
        <v>690.85977273901995</v>
      </c>
      <c r="F6" s="2896">
        <f t="shared" ref="F6" si="17">F7*(1+Q6)</f>
        <v>319.13136737000184</v>
      </c>
      <c r="G6" s="2879">
        <v>2020</v>
      </c>
      <c r="H6" s="2897">
        <v>3</v>
      </c>
      <c r="I6" s="2859">
        <v>0</v>
      </c>
      <c r="J6" s="2859">
        <v>0</v>
      </c>
      <c r="K6" s="2859">
        <v>0</v>
      </c>
      <c r="L6" s="2860">
        <v>0</v>
      </c>
      <c r="M6" s="2883"/>
      <c r="N6" s="2898">
        <f t="shared" ref="N6" si="18">I6/100</f>
        <v>0</v>
      </c>
      <c r="O6" s="2884">
        <f t="shared" ref="O6" si="19">J6/100</f>
        <v>0</v>
      </c>
      <c r="P6" s="2884">
        <f t="shared" ref="P6" si="20">K6/100</f>
        <v>0</v>
      </c>
      <c r="Q6" s="2884">
        <f t="shared" ref="Q6" si="21">L6/100</f>
        <v>0</v>
      </c>
      <c r="R6" s="2899"/>
      <c r="S6" s="2900"/>
      <c r="T6" s="2901"/>
      <c r="U6" s="2901"/>
      <c r="V6" s="2901"/>
      <c r="W6" s="2883"/>
      <c r="X6" s="2883">
        <f>ROUND(SUMPRODUCT(PRODUCT(1+N6:N$32)),4)</f>
        <v>1.6117999999999999</v>
      </c>
      <c r="Y6" s="2883">
        <f>ROUND(SUMPRODUCT(PRODUCT(1+O6:O$32)),4)</f>
        <v>1.3788</v>
      </c>
      <c r="Z6" s="2883">
        <f t="shared" ref="Z6" si="22">Y6</f>
        <v>1.3788</v>
      </c>
      <c r="AA6" s="2883">
        <f>ROUND(SUMPRODUCT(PRODUCT(1+P6:P$32)),4)</f>
        <v>1.6872</v>
      </c>
      <c r="AB6" s="2883">
        <f>ROUND(SUMPRODUCT(PRODUCT(1+Q6:Q$32)),4)</f>
        <v>1.4069</v>
      </c>
      <c r="AC6" s="2883"/>
      <c r="AD6" s="2884">
        <f>ROUND(AVERAGE(I6:I$32)/100,4)</f>
        <v>1.7899999999999999E-2</v>
      </c>
      <c r="AE6" s="2884">
        <f>ROUND(AVERAGE(J6:J$32)/100,4)</f>
        <v>1.2E-2</v>
      </c>
      <c r="AF6" s="2884">
        <f t="shared" ref="AF6" si="23">AE6</f>
        <v>1.2E-2</v>
      </c>
      <c r="AG6" s="2884">
        <f>ROUND(AVERAGE(K6:K$32)/100,4)</f>
        <v>1.9699999999999999E-2</v>
      </c>
      <c r="AH6" s="2884">
        <f>ROUND(AVERAGE(L6:L$32)/100,4)</f>
        <v>1.2699999999999999E-2</v>
      </c>
    </row>
    <row r="7" spans="1:34" s="2902" customFormat="1">
      <c r="A7" s="2895" t="s">
        <v>2949</v>
      </c>
      <c r="B7" s="2896">
        <f t="shared" ref="B7" si="24">B8*(1+N7)</f>
        <v>481.4103506697644</v>
      </c>
      <c r="C7" s="2896">
        <f t="shared" ref="C7" si="25">C8*(1+O7)</f>
        <v>347.29066026648707</v>
      </c>
      <c r="D7" s="2896">
        <f t="shared" ref="D7" si="26">C7</f>
        <v>347.29066026648707</v>
      </c>
      <c r="E7" s="2896">
        <f t="shared" ref="E7" si="27">E8*(1+P7)</f>
        <v>690.85977273901995</v>
      </c>
      <c r="F7" s="2896">
        <f t="shared" ref="F7" si="28">F8*(1+Q7)</f>
        <v>319.13136737000184</v>
      </c>
      <c r="G7" s="2879">
        <v>2020</v>
      </c>
      <c r="H7" s="2897">
        <v>2</v>
      </c>
      <c r="I7" s="2859">
        <v>0.31</v>
      </c>
      <c r="J7" s="2859">
        <v>-0.78</v>
      </c>
      <c r="K7" s="2859">
        <v>0.5</v>
      </c>
      <c r="L7" s="2860">
        <v>0.47</v>
      </c>
      <c r="M7" s="2883"/>
      <c r="N7" s="2898">
        <f t="shared" ref="N7" si="29">I7/100</f>
        <v>3.0999999999999999E-3</v>
      </c>
      <c r="O7" s="2884">
        <f t="shared" ref="O7" si="30">J7/100</f>
        <v>-7.8000000000000005E-3</v>
      </c>
      <c r="P7" s="2884">
        <f t="shared" ref="P7" si="31">K7/100</f>
        <v>5.0000000000000001E-3</v>
      </c>
      <c r="Q7" s="2884">
        <f t="shared" ref="Q7" si="32">L7/100</f>
        <v>4.6999999999999993E-3</v>
      </c>
      <c r="R7" s="2899"/>
      <c r="S7" s="2900"/>
      <c r="T7" s="2901"/>
      <c r="U7" s="2901"/>
      <c r="V7" s="2901"/>
      <c r="W7" s="2883"/>
      <c r="X7" s="2883">
        <f>ROUND(SUMPRODUCT(PRODUCT(1+N7:N$32)),4)</f>
        <v>1.6117999999999999</v>
      </c>
      <c r="Y7" s="2883">
        <f>ROUND(SUMPRODUCT(PRODUCT(1+O7:O$32)),4)</f>
        <v>1.3788</v>
      </c>
      <c r="Z7" s="2883">
        <f t="shared" ref="Z7" si="33">Y7</f>
        <v>1.3788</v>
      </c>
      <c r="AA7" s="2883">
        <f>ROUND(SUMPRODUCT(PRODUCT(1+P7:P$32)),4)</f>
        <v>1.6872</v>
      </c>
      <c r="AB7" s="2883">
        <f>ROUND(SUMPRODUCT(PRODUCT(1+Q7:Q$32)),4)</f>
        <v>1.4069</v>
      </c>
      <c r="AC7" s="2883"/>
      <c r="AD7" s="2884">
        <f>ROUND(AVERAGE(I7:I$32)/100,4)</f>
        <v>1.8599999999999998E-2</v>
      </c>
      <c r="AE7" s="2884">
        <f>ROUND(AVERAGE(J7:J$32)/100,4)</f>
        <v>1.2500000000000001E-2</v>
      </c>
      <c r="AF7" s="2884">
        <f t="shared" ref="AF7" si="34">AE7</f>
        <v>1.2500000000000001E-2</v>
      </c>
      <c r="AG7" s="2884">
        <f>ROUND(AVERAGE(K7:K$32)/100,4)</f>
        <v>2.0400000000000001E-2</v>
      </c>
      <c r="AH7" s="2884">
        <f>ROUND(AVERAGE(L7:L$32)/100,4)</f>
        <v>1.32E-2</v>
      </c>
    </row>
    <row r="8" spans="1:34" s="2902" customFormat="1">
      <c r="A8" s="2895" t="s">
        <v>2947</v>
      </c>
      <c r="B8" s="2896">
        <f t="shared" ref="B8" si="35">B9*(1+N8)</f>
        <v>479.92259063878413</v>
      </c>
      <c r="C8" s="2896">
        <f t="shared" ref="C8" si="36">C9*(1+O8)</f>
        <v>350.02082268341775</v>
      </c>
      <c r="D8" s="2896">
        <f t="shared" ref="D8" si="37">C8</f>
        <v>350.02082268341775</v>
      </c>
      <c r="E8" s="2896">
        <f t="shared" ref="E8" si="38">E9*(1+P8)</f>
        <v>687.42265944181099</v>
      </c>
      <c r="F8" s="2896">
        <f t="shared" ref="F8" si="39">F9*(1+Q8)</f>
        <v>317.63846657708956</v>
      </c>
      <c r="G8" s="2879">
        <v>2020</v>
      </c>
      <c r="H8" s="2897">
        <v>1</v>
      </c>
      <c r="I8" s="2859">
        <v>0.12</v>
      </c>
      <c r="J8" s="2859">
        <v>-0.4</v>
      </c>
      <c r="K8" s="2859">
        <v>0.21</v>
      </c>
      <c r="L8" s="2860">
        <v>0.27</v>
      </c>
      <c r="M8" s="2883"/>
      <c r="N8" s="2898">
        <f t="shared" ref="N8" si="40">I8/100</f>
        <v>1.1999999999999999E-3</v>
      </c>
      <c r="O8" s="2884">
        <f t="shared" ref="O8" si="41">J8/100</f>
        <v>-4.0000000000000001E-3</v>
      </c>
      <c r="P8" s="2884">
        <f t="shared" ref="P8" si="42">K8/100</f>
        <v>2.0999999999999999E-3</v>
      </c>
      <c r="Q8" s="2884">
        <f t="shared" ref="Q8" si="43">L8/100</f>
        <v>2.7000000000000001E-3</v>
      </c>
      <c r="R8" s="2899"/>
      <c r="S8" s="2900">
        <f>B8/B9-1</f>
        <v>1.2000000000000899E-3</v>
      </c>
      <c r="T8" s="2901">
        <f>C8/C9-1</f>
        <v>-4.0000000000000036E-3</v>
      </c>
      <c r="U8" s="2901">
        <f>E8/E9-1</f>
        <v>2.0999999999999908E-3</v>
      </c>
      <c r="V8" s="2901">
        <f>F8/F9-1</f>
        <v>2.6999999999999247E-3</v>
      </c>
      <c r="W8" s="2883"/>
      <c r="X8" s="2883">
        <f>ROUND(SUMPRODUCT(PRODUCT(1+N8:N$32)),4)</f>
        <v>1.6068</v>
      </c>
      <c r="Y8" s="2883">
        <f>ROUND(SUMPRODUCT(PRODUCT(1+O8:O$32)),4)</f>
        <v>1.3895999999999999</v>
      </c>
      <c r="Z8" s="2883">
        <f t="shared" ref="Z8:Z31" si="44">Y8</f>
        <v>1.3895999999999999</v>
      </c>
      <c r="AA8" s="2883">
        <f>ROUND(SUMPRODUCT(PRODUCT(1+P8:P$32)),4)</f>
        <v>1.6788000000000001</v>
      </c>
      <c r="AB8" s="2883">
        <f>ROUND(SUMPRODUCT(PRODUCT(1+Q8:Q$32)),4)</f>
        <v>1.4004000000000001</v>
      </c>
      <c r="AC8" s="2883"/>
      <c r="AD8" s="2884">
        <f>ROUND(AVERAGE(I8:I$32)/100,4)</f>
        <v>1.9199999999999998E-2</v>
      </c>
      <c r="AE8" s="2884">
        <f>ROUND(AVERAGE(J8:J$32)/100,4)</f>
        <v>1.3299999999999999E-2</v>
      </c>
      <c r="AF8" s="2884">
        <f t="shared" ref="AF8" si="45">AE8</f>
        <v>1.3299999999999999E-2</v>
      </c>
      <c r="AG8" s="2884">
        <f>ROUND(AVERAGE(K8:K$32)/100,4)</f>
        <v>2.1100000000000001E-2</v>
      </c>
      <c r="AH8" s="2884">
        <f>ROUND(AVERAGE(L8:L$32)/100,4)</f>
        <v>1.3599999999999999E-2</v>
      </c>
    </row>
    <row r="9" spans="1:34" s="2902" customFormat="1">
      <c r="A9" s="2895" t="s">
        <v>2944</v>
      </c>
      <c r="B9" s="2896">
        <f t="shared" ref="B9" si="46">B10*(1+N9)</f>
        <v>479.34737379023579</v>
      </c>
      <c r="C9" s="2896">
        <f t="shared" ref="C9" si="47">C10*(1+O9)</f>
        <v>351.4265287986122</v>
      </c>
      <c r="D9" s="2896">
        <f t="shared" ref="D9" si="48">C9</f>
        <v>351.4265287986122</v>
      </c>
      <c r="E9" s="2896">
        <f t="shared" ref="E9" si="49">E10*(1+P9)</f>
        <v>685.98209703803116</v>
      </c>
      <c r="F9" s="2896">
        <f t="shared" ref="F9" si="50">F10*(1+Q9)</f>
        <v>316.78315206651001</v>
      </c>
      <c r="G9" s="2879">
        <v>2019</v>
      </c>
      <c r="H9" s="2897">
        <v>4</v>
      </c>
      <c r="I9" s="2897">
        <v>0.45</v>
      </c>
      <c r="J9" s="2897">
        <v>-0.12</v>
      </c>
      <c r="K9" s="2897">
        <v>0.54</v>
      </c>
      <c r="L9" s="2903">
        <v>0.48</v>
      </c>
      <c r="M9" s="2883"/>
      <c r="N9" s="2898">
        <f t="shared" ref="N9" si="51">I9/100</f>
        <v>4.5000000000000005E-3</v>
      </c>
      <c r="O9" s="2884">
        <f t="shared" ref="O9" si="52">J9/100</f>
        <v>-1.1999999999999999E-3</v>
      </c>
      <c r="P9" s="2884">
        <f t="shared" ref="P9" si="53">K9/100</f>
        <v>5.4000000000000003E-3</v>
      </c>
      <c r="Q9" s="2884">
        <f t="shared" ref="Q9" si="54">L9/100</f>
        <v>4.7999999999999996E-3</v>
      </c>
      <c r="R9" s="2899"/>
      <c r="S9" s="2900"/>
      <c r="T9" s="2901"/>
      <c r="U9" s="2901"/>
      <c r="V9" s="2901"/>
      <c r="W9" s="2883"/>
      <c r="X9" s="2883">
        <f>ROUND(SUMPRODUCT(PRODUCT(1+N9:N$32)),4)</f>
        <v>1.6049</v>
      </c>
      <c r="Y9" s="2883">
        <f>ROUND(SUMPRODUCT(PRODUCT(1+O9:O$32)),4)</f>
        <v>1.3952</v>
      </c>
      <c r="Z9" s="2883">
        <f t="shared" si="44"/>
        <v>1.3952</v>
      </c>
      <c r="AA9" s="2883">
        <f>ROUND(SUMPRODUCT(PRODUCT(1+P9:P$32)),4)</f>
        <v>1.6753</v>
      </c>
      <c r="AB9" s="2883">
        <f>ROUND(SUMPRODUCT(PRODUCT(1+Q9:Q$32)),4)</f>
        <v>1.3966000000000001</v>
      </c>
      <c r="AC9" s="2883"/>
      <c r="AD9" s="2884">
        <f>ROUND(AVERAGE(I9:I$32)/100,4)</f>
        <v>0.02</v>
      </c>
      <c r="AE9" s="2884">
        <f>ROUND(AVERAGE(J9:J$32)/100,4)</f>
        <v>1.4E-2</v>
      </c>
      <c r="AF9" s="2884">
        <f t="shared" ref="AF9" si="55">AE9</f>
        <v>1.4E-2</v>
      </c>
      <c r="AG9" s="2884">
        <f>ROUND(AVERAGE(K9:K$32)/100,4)</f>
        <v>2.1899999999999999E-2</v>
      </c>
      <c r="AH9" s="2884">
        <f>ROUND(AVERAGE(L9:L$32)/100,4)</f>
        <v>1.4E-2</v>
      </c>
    </row>
    <row r="10" spans="1:34" s="2902" customFormat="1" ht="13.5" thickBot="1">
      <c r="A10" s="2895" t="s">
        <v>2943</v>
      </c>
      <c r="B10" s="2896">
        <f t="shared" ref="B10" si="56">B11*(1+N10)</f>
        <v>477.19997390765138</v>
      </c>
      <c r="C10" s="2896">
        <f t="shared" ref="C10" si="57">C11*(1+O10)</f>
        <v>351.84874729536665</v>
      </c>
      <c r="D10" s="2896">
        <f t="shared" ref="D10" si="58">C10</f>
        <v>351.84874729536665</v>
      </c>
      <c r="E10" s="2896">
        <f t="shared" ref="E10" si="59">E11*(1+P10)</f>
        <v>682.29768951465201</v>
      </c>
      <c r="F10" s="2896">
        <f t="shared" ref="F10" si="60">F11*(1+Q10)</f>
        <v>315.26985675409043</v>
      </c>
      <c r="G10" s="2879">
        <v>2019</v>
      </c>
      <c r="H10" s="2897">
        <v>3</v>
      </c>
      <c r="I10" s="2897">
        <v>0.61</v>
      </c>
      <c r="J10" s="2897">
        <v>0.67</v>
      </c>
      <c r="K10" s="2897">
        <v>0.6</v>
      </c>
      <c r="L10" s="2903">
        <v>1.03</v>
      </c>
      <c r="M10" s="2883"/>
      <c r="N10" s="2898">
        <f t="shared" ref="N10" si="61">I10/100</f>
        <v>6.0999999999999995E-3</v>
      </c>
      <c r="O10" s="2884">
        <f t="shared" ref="O10" si="62">J10/100</f>
        <v>6.7000000000000002E-3</v>
      </c>
      <c r="P10" s="2884">
        <f t="shared" ref="P10" si="63">K10/100</f>
        <v>6.0000000000000001E-3</v>
      </c>
      <c r="Q10" s="2884">
        <f t="shared" ref="Q10" si="64">L10/100</f>
        <v>1.03E-2</v>
      </c>
      <c r="R10" s="2899"/>
      <c r="S10" s="2900"/>
      <c r="T10" s="2901"/>
      <c r="U10" s="2901"/>
      <c r="V10" s="2901"/>
      <c r="W10" s="2883"/>
      <c r="X10" s="2883">
        <f>ROUND(SUMPRODUCT(PRODUCT(1+N10:N$32)),4)</f>
        <v>1.5976999999999999</v>
      </c>
      <c r="Y10" s="2883">
        <f>ROUND(SUMPRODUCT(PRODUCT(1+O10:O$32)),4)</f>
        <v>1.3969</v>
      </c>
      <c r="Z10" s="2883">
        <f t="shared" si="44"/>
        <v>1.3969</v>
      </c>
      <c r="AA10" s="2883">
        <f>ROUND(SUMPRODUCT(PRODUCT(1+P10:P$32)),4)</f>
        <v>1.6662999999999999</v>
      </c>
      <c r="AB10" s="2883">
        <f>ROUND(SUMPRODUCT(PRODUCT(1+Q10:Q$32)),4)</f>
        <v>1.3898999999999999</v>
      </c>
      <c r="AC10" s="2883"/>
      <c r="AD10" s="2884">
        <f>ROUND(AVERAGE(I10:I$32)/100,4)</f>
        <v>2.07E-2</v>
      </c>
      <c r="AE10" s="2884">
        <f>ROUND(AVERAGE(J10:J$32)/100,4)</f>
        <v>1.47E-2</v>
      </c>
      <c r="AF10" s="2884">
        <f t="shared" ref="AF10" si="65">AE10</f>
        <v>1.47E-2</v>
      </c>
      <c r="AG10" s="2884">
        <f>ROUND(AVERAGE(K10:K$32)/100,4)</f>
        <v>2.2599999999999999E-2</v>
      </c>
      <c r="AH10" s="2884">
        <f>ROUND(AVERAGE(L10:L$32)/100,4)</f>
        <v>1.44E-2</v>
      </c>
    </row>
    <row r="11" spans="1:34" s="2902" customFormat="1">
      <c r="A11" s="2895" t="s">
        <v>2942</v>
      </c>
      <c r="B11" s="2896">
        <f t="shared" ref="B11:B16" si="66">B12*(1+N11)</f>
        <v>474.30670301923408</v>
      </c>
      <c r="C11" s="2896">
        <f t="shared" ref="C11" si="67">C12*(1+O11)</f>
        <v>349.50705005996491</v>
      </c>
      <c r="D11" s="2896">
        <f t="shared" ref="D11" si="68">C11</f>
        <v>349.50705005996491</v>
      </c>
      <c r="E11" s="2896">
        <f t="shared" ref="E11" si="69">E12*(1+P11)</f>
        <v>678.22831959706957</v>
      </c>
      <c r="F11" s="2896">
        <f t="shared" ref="F11" si="70">F12*(1+Q11)</f>
        <v>312.0556832169558</v>
      </c>
      <c r="G11" s="2879">
        <v>2019</v>
      </c>
      <c r="H11" s="2904">
        <v>2</v>
      </c>
      <c r="I11" s="2904">
        <v>1.53</v>
      </c>
      <c r="J11" s="2904">
        <v>1.01</v>
      </c>
      <c r="K11" s="2904">
        <v>1.62</v>
      </c>
      <c r="L11" s="2905">
        <v>1.25</v>
      </c>
      <c r="M11" s="2883"/>
      <c r="N11" s="2898">
        <f t="shared" ref="N11" si="71">I11/100</f>
        <v>1.5300000000000001E-2</v>
      </c>
      <c r="O11" s="2884">
        <f t="shared" ref="O11" si="72">J11/100</f>
        <v>1.01E-2</v>
      </c>
      <c r="P11" s="2884">
        <f t="shared" ref="P11" si="73">K11/100</f>
        <v>1.6200000000000003E-2</v>
      </c>
      <c r="Q11" s="2884">
        <f t="shared" ref="Q11" si="74">L11/100</f>
        <v>1.2500000000000001E-2</v>
      </c>
      <c r="R11" s="2899"/>
      <c r="S11" s="2900"/>
      <c r="T11" s="2901"/>
      <c r="U11" s="2901"/>
      <c r="V11" s="2901"/>
      <c r="W11" s="2883"/>
      <c r="X11" s="2883">
        <f>ROUND(SUMPRODUCT(PRODUCT(1+N11:N$32)),4)</f>
        <v>1.5880000000000001</v>
      </c>
      <c r="Y11" s="2883">
        <f>ROUND(SUMPRODUCT(PRODUCT(1+O11:O$32)),4)</f>
        <v>1.3875999999999999</v>
      </c>
      <c r="Z11" s="2883">
        <f t="shared" si="44"/>
        <v>1.3875999999999999</v>
      </c>
      <c r="AA11" s="2883">
        <f>ROUND(SUMPRODUCT(PRODUCT(1+P11:P$32)),4)</f>
        <v>1.6563000000000001</v>
      </c>
      <c r="AB11" s="2883">
        <f>ROUND(SUMPRODUCT(PRODUCT(1+Q11:Q$32)),4)</f>
        <v>1.3756999999999999</v>
      </c>
      <c r="AC11" s="2883"/>
      <c r="AD11" s="2884">
        <f>ROUND(AVERAGE(I11:I$32)/100,4)</f>
        <v>2.1299999999999999E-2</v>
      </c>
      <c r="AE11" s="2884">
        <f>ROUND(AVERAGE(J11:J$32)/100,4)</f>
        <v>1.4999999999999999E-2</v>
      </c>
      <c r="AF11" s="2884">
        <f t="shared" ref="AF11" si="75">AE11</f>
        <v>1.4999999999999999E-2</v>
      </c>
      <c r="AG11" s="2884">
        <f>ROUND(AVERAGE(K11:K$32)/100,4)</f>
        <v>2.3300000000000001E-2</v>
      </c>
      <c r="AH11" s="2884">
        <f>ROUND(AVERAGE(L11:L$32)/100,4)</f>
        <v>1.46E-2</v>
      </c>
    </row>
    <row r="12" spans="1:34" s="2902" customFormat="1" ht="13.5" thickBot="1">
      <c r="A12" s="2895" t="s">
        <v>2941</v>
      </c>
      <c r="B12" s="2896">
        <f t="shared" si="66"/>
        <v>467.15916775261894</v>
      </c>
      <c r="C12" s="2896">
        <f t="shared" ref="C12" si="76">C13*(1+O12)</f>
        <v>346.01232557169084</v>
      </c>
      <c r="D12" s="2896">
        <f t="shared" ref="D12" si="77">C12</f>
        <v>346.01232557169084</v>
      </c>
      <c r="E12" s="2896">
        <f t="shared" ref="E12" si="78">E13*(1+P12)</f>
        <v>667.41617752122568</v>
      </c>
      <c r="F12" s="2896">
        <f t="shared" ref="F12" si="79">F13*(1+Q12)</f>
        <v>308.20314391798104</v>
      </c>
      <c r="G12" s="2879">
        <v>2019</v>
      </c>
      <c r="H12" s="2897">
        <v>1</v>
      </c>
      <c r="I12" s="2897">
        <v>0.6</v>
      </c>
      <c r="J12" s="2897">
        <v>0.37</v>
      </c>
      <c r="K12" s="2897">
        <v>0.63</v>
      </c>
      <c r="L12" s="2903">
        <v>1.1299999999999999</v>
      </c>
      <c r="M12" s="2883"/>
      <c r="N12" s="2898">
        <f t="shared" ref="N12" si="80">I12/100</f>
        <v>6.0000000000000001E-3</v>
      </c>
      <c r="O12" s="2884">
        <f t="shared" ref="O12" si="81">J12/100</f>
        <v>3.7000000000000002E-3</v>
      </c>
      <c r="P12" s="2884">
        <f t="shared" ref="P12" si="82">K12/100</f>
        <v>6.3E-3</v>
      </c>
      <c r="Q12" s="2884">
        <f t="shared" ref="Q12" si="83">L12/100</f>
        <v>1.1299999999999999E-2</v>
      </c>
      <c r="R12" s="2899"/>
      <c r="S12" s="2900">
        <f>B12/B13-1</f>
        <v>6.0000000000000053E-3</v>
      </c>
      <c r="T12" s="2901">
        <f>C12/C13-1</f>
        <v>3.7000000000000366E-3</v>
      </c>
      <c r="U12" s="2901">
        <f>E12/E13-1</f>
        <v>6.2999999999999723E-3</v>
      </c>
      <c r="V12" s="2901">
        <f>F12/F13-1</f>
        <v>1.1300000000000088E-2</v>
      </c>
      <c r="W12" s="2883"/>
      <c r="X12" s="2883">
        <f>ROUND(SUMPRODUCT(PRODUCT(1+N12:N$32)),4)</f>
        <v>1.5641</v>
      </c>
      <c r="Y12" s="2883">
        <f>ROUND(SUMPRODUCT(PRODUCT(1+O12:O$32)),4)</f>
        <v>1.3736999999999999</v>
      </c>
      <c r="Z12" s="2883">
        <f t="shared" si="44"/>
        <v>1.3736999999999999</v>
      </c>
      <c r="AA12" s="2883">
        <f>ROUND(SUMPRODUCT(PRODUCT(1+P12:P$32)),4)</f>
        <v>1.6298999999999999</v>
      </c>
      <c r="AB12" s="2883">
        <f>ROUND(SUMPRODUCT(PRODUCT(1+Q12:Q$32)),4)</f>
        <v>1.3588</v>
      </c>
      <c r="AC12" s="2883"/>
      <c r="AD12" s="2884">
        <f>ROUND(AVERAGE(I12:I$32)/100,4)</f>
        <v>2.1600000000000001E-2</v>
      </c>
      <c r="AE12" s="2884">
        <f>ROUND(AVERAGE(J12:J$32)/100,4)</f>
        <v>1.5299999999999999E-2</v>
      </c>
      <c r="AF12" s="2884">
        <f t="shared" ref="AF12" si="84">AE12</f>
        <v>1.5299999999999999E-2</v>
      </c>
      <c r="AG12" s="2884">
        <f>ROUND(AVERAGE(K12:K$32)/100,4)</f>
        <v>2.3699999999999999E-2</v>
      </c>
      <c r="AH12" s="2884">
        <f>ROUND(AVERAGE(L12:L$32)/100,4)</f>
        <v>1.47E-2</v>
      </c>
    </row>
    <row r="13" spans="1:34" s="2902" customFormat="1">
      <c r="A13" s="2895" t="s">
        <v>2939</v>
      </c>
      <c r="B13" s="2906">
        <f t="shared" si="66"/>
        <v>464.37293017158942</v>
      </c>
      <c r="C13" s="2906">
        <f t="shared" ref="C13" si="85">C14*(1+O13)</f>
        <v>344.73679941385956</v>
      </c>
      <c r="D13" s="2906">
        <f t="shared" ref="D13" si="86">C13</f>
        <v>344.73679941385956</v>
      </c>
      <c r="E13" s="2906">
        <f t="shared" ref="E13" si="87">E14*(1+P13)</f>
        <v>663.2377795103107</v>
      </c>
      <c r="F13" s="2907">
        <f t="shared" ref="F13" si="88">F14*(1+Q13)</f>
        <v>304.75936311478398</v>
      </c>
      <c r="G13" s="3702">
        <v>2018</v>
      </c>
      <c r="H13" s="2904">
        <v>4</v>
      </c>
      <c r="I13" s="2904">
        <v>0.96</v>
      </c>
      <c r="J13" s="2904">
        <v>1.03</v>
      </c>
      <c r="K13" s="2904">
        <v>0.92</v>
      </c>
      <c r="L13" s="2905">
        <v>1.29</v>
      </c>
      <c r="M13" s="2883"/>
      <c r="N13" s="2898">
        <f t="shared" ref="N13" si="89">I13/100</f>
        <v>9.5999999999999992E-3</v>
      </c>
      <c r="O13" s="2884">
        <f t="shared" ref="O13" si="90">J13/100</f>
        <v>1.03E-2</v>
      </c>
      <c r="P13" s="2884">
        <f t="shared" ref="P13" si="91">K13/100</f>
        <v>9.1999999999999998E-3</v>
      </c>
      <c r="Q13" s="2884">
        <f t="shared" ref="Q13" si="92">L13/100</f>
        <v>1.29E-2</v>
      </c>
      <c r="R13" s="2899"/>
      <c r="S13" s="2908"/>
      <c r="T13" s="2909"/>
      <c r="U13" s="2909"/>
      <c r="V13" s="2909"/>
      <c r="W13" s="2883"/>
      <c r="X13" s="2883">
        <f>ROUND(SUMPRODUCT(PRODUCT(1+N13:N$32)),4)</f>
        <v>1.5548</v>
      </c>
      <c r="Y13" s="2883">
        <f>ROUND(SUMPRODUCT(PRODUCT(1+O13:O$32)),4)</f>
        <v>1.3686</v>
      </c>
      <c r="Z13" s="2883">
        <f t="shared" si="44"/>
        <v>1.3686</v>
      </c>
      <c r="AA13" s="2883">
        <f>ROUND(SUMPRODUCT(PRODUCT(1+P13:P$32)),4)</f>
        <v>1.6196999999999999</v>
      </c>
      <c r="AB13" s="2883">
        <f>ROUND(SUMPRODUCT(PRODUCT(1+Q13:Q$32)),4)</f>
        <v>1.3435999999999999</v>
      </c>
      <c r="AC13" s="2883"/>
      <c r="AD13" s="2884">
        <f>ROUND(AVERAGE(I13:I$32)/100,4)</f>
        <v>2.24E-2</v>
      </c>
      <c r="AE13" s="2884">
        <f>ROUND(AVERAGE(J13:J$32)/100,4)</f>
        <v>1.5800000000000002E-2</v>
      </c>
      <c r="AF13" s="2884">
        <f t="shared" ref="AF13" si="93">AE13</f>
        <v>1.5800000000000002E-2</v>
      </c>
      <c r="AG13" s="2884">
        <f>ROUND(AVERAGE(K13:K$32)/100,4)</f>
        <v>2.4500000000000001E-2</v>
      </c>
      <c r="AH13" s="2884">
        <f>ROUND(AVERAGE(L13:L$32)/100,4)</f>
        <v>1.49E-2</v>
      </c>
    </row>
    <row r="14" spans="1:34" s="2902" customFormat="1" ht="14.45" customHeight="1">
      <c r="A14" s="2895" t="s">
        <v>2932</v>
      </c>
      <c r="B14" s="2896">
        <f t="shared" si="66"/>
        <v>459.95733971036987</v>
      </c>
      <c r="C14" s="2896">
        <f t="shared" ref="C14" si="94">C15*(1+O14)</f>
        <v>341.22221064422405</v>
      </c>
      <c r="D14" s="2896">
        <f t="shared" ref="D14" si="95">C14</f>
        <v>341.22221064422405</v>
      </c>
      <c r="E14" s="2896">
        <f t="shared" ref="E14" si="96">E15*(1+P14)</f>
        <v>657.19161663724799</v>
      </c>
      <c r="F14" s="2896">
        <f t="shared" ref="F14" si="97">F15*(1+Q14)</f>
        <v>300.87803644464805</v>
      </c>
      <c r="G14" s="3702"/>
      <c r="H14" s="2897">
        <v>3</v>
      </c>
      <c r="I14" s="2897">
        <v>1.51</v>
      </c>
      <c r="J14" s="2897">
        <v>1.41</v>
      </c>
      <c r="K14" s="2897">
        <v>1.52</v>
      </c>
      <c r="L14" s="2903">
        <v>1.74</v>
      </c>
      <c r="M14" s="2883"/>
      <c r="N14" s="2898">
        <f t="shared" ref="N14" si="98">I14/100</f>
        <v>1.5100000000000001E-2</v>
      </c>
      <c r="O14" s="2884">
        <f t="shared" ref="O14" si="99">J14/100</f>
        <v>1.41E-2</v>
      </c>
      <c r="P14" s="2884">
        <f t="shared" ref="P14" si="100">K14/100</f>
        <v>1.52E-2</v>
      </c>
      <c r="Q14" s="2884">
        <f t="shared" ref="Q14" si="101">L14/100</f>
        <v>1.7399999999999999E-2</v>
      </c>
      <c r="R14" s="2899"/>
      <c r="S14" s="2898"/>
      <c r="T14" s="2884"/>
      <c r="U14" s="2884"/>
      <c r="V14" s="2884"/>
      <c r="W14" s="2883"/>
      <c r="X14" s="2883">
        <f>ROUND(SUMPRODUCT(PRODUCT(1+N14:N$32)),4)</f>
        <v>1.54</v>
      </c>
      <c r="Y14" s="2883">
        <f>ROUND(SUMPRODUCT(PRODUCT(1+O14:O$32)),4)</f>
        <v>1.3547</v>
      </c>
      <c r="Z14" s="2883">
        <f t="shared" si="44"/>
        <v>1.3547</v>
      </c>
      <c r="AA14" s="2883">
        <f>ROUND(SUMPRODUCT(PRODUCT(1+P14:P$32)),4)</f>
        <v>1.605</v>
      </c>
      <c r="AB14" s="2883">
        <f>ROUND(SUMPRODUCT(PRODUCT(1+Q14:Q$32)),4)</f>
        <v>1.3265</v>
      </c>
      <c r="AC14" s="2883"/>
      <c r="AD14" s="2884">
        <f>ROUND(AVERAGE(I14:I$32)/100,4)</f>
        <v>2.3099999999999999E-2</v>
      </c>
      <c r="AE14" s="2884">
        <f>ROUND(AVERAGE(J14:J$32)/100,4)</f>
        <v>1.61E-2</v>
      </c>
      <c r="AF14" s="2884">
        <f t="shared" ref="AF14" si="102">AE14</f>
        <v>1.61E-2</v>
      </c>
      <c r="AG14" s="2884">
        <f>ROUND(AVERAGE(K14:K$32)/100,4)</f>
        <v>2.53E-2</v>
      </c>
      <c r="AH14" s="2884">
        <f>ROUND(AVERAGE(L14:L$32)/100,4)</f>
        <v>1.4999999999999999E-2</v>
      </c>
    </row>
    <row r="15" spans="1:34" s="2902" customFormat="1" ht="14.45" customHeight="1">
      <c r="A15" s="2895" t="s">
        <v>2933</v>
      </c>
      <c r="B15" s="2896">
        <f t="shared" si="66"/>
        <v>453.11529869999993</v>
      </c>
      <c r="C15" s="2896">
        <f t="shared" ref="C15" si="103">C16*(1+O15)</f>
        <v>336.47787264000004</v>
      </c>
      <c r="D15" s="2896">
        <f t="shared" ref="D15" si="104">C15</f>
        <v>336.47787264000004</v>
      </c>
      <c r="E15" s="2896">
        <f t="shared" ref="E15" si="105">E16*(1+P15)</f>
        <v>647.35186823999993</v>
      </c>
      <c r="F15" s="2896">
        <f t="shared" ref="F15" si="106">F16*(1+Q15)</f>
        <v>295.73229452000004</v>
      </c>
      <c r="G15" s="3702"/>
      <c r="H15" s="2910">
        <v>2</v>
      </c>
      <c r="I15" s="2910">
        <v>1.49</v>
      </c>
      <c r="J15" s="2910">
        <v>0.96</v>
      </c>
      <c r="K15" s="2910">
        <v>1.58</v>
      </c>
      <c r="L15" s="2911">
        <v>2.44</v>
      </c>
      <c r="M15" s="2883"/>
      <c r="N15" s="2898">
        <f t="shared" ref="N15" si="107">I15/100</f>
        <v>1.49E-2</v>
      </c>
      <c r="O15" s="2884">
        <f t="shared" ref="O15" si="108">J15/100</f>
        <v>9.5999999999999992E-3</v>
      </c>
      <c r="P15" s="2884">
        <f t="shared" ref="P15" si="109">K15/100</f>
        <v>1.5800000000000002E-2</v>
      </c>
      <c r="Q15" s="2884">
        <f t="shared" ref="Q15" si="110">L15/100</f>
        <v>2.4399999999999998E-2</v>
      </c>
      <c r="R15" s="2899"/>
      <c r="S15" s="2898"/>
      <c r="T15" s="2884"/>
      <c r="U15" s="2884"/>
      <c r="V15" s="2884"/>
      <c r="W15" s="2883"/>
      <c r="X15" s="2883">
        <f>ROUND(SUMPRODUCT(PRODUCT(1+N15:N$32)),4)</f>
        <v>1.5170999999999999</v>
      </c>
      <c r="Y15" s="2883">
        <f>ROUND(SUMPRODUCT(PRODUCT(1+O15:O$32)),4)</f>
        <v>1.3358000000000001</v>
      </c>
      <c r="Z15" s="2883">
        <f t="shared" si="44"/>
        <v>1.3358000000000001</v>
      </c>
      <c r="AA15" s="2883">
        <f>ROUND(SUMPRODUCT(PRODUCT(1+P15:P$32)),4)</f>
        <v>1.5809</v>
      </c>
      <c r="AB15" s="2883">
        <f>ROUND(SUMPRODUCT(PRODUCT(1+Q15:Q$32)),4)</f>
        <v>1.3038000000000001</v>
      </c>
      <c r="AC15" s="2883"/>
      <c r="AD15" s="2884">
        <f>ROUND(AVERAGE(I15:I$32)/100,4)</f>
        <v>2.35E-2</v>
      </c>
      <c r="AE15" s="2884">
        <f>ROUND(AVERAGE(J15:J$32)/100,4)</f>
        <v>1.6199999999999999E-2</v>
      </c>
      <c r="AF15" s="2884">
        <f t="shared" ref="AF15" si="111">AE15</f>
        <v>1.6199999999999999E-2</v>
      </c>
      <c r="AG15" s="2884">
        <f>ROUND(AVERAGE(K15:K$32)/100,4)</f>
        <v>2.5899999999999999E-2</v>
      </c>
      <c r="AH15" s="2884">
        <f>ROUND(AVERAGE(L15:L$32)/100,4)</f>
        <v>1.49E-2</v>
      </c>
    </row>
    <row r="16" spans="1:34" s="2902" customFormat="1" ht="15" customHeight="1" thickBot="1">
      <c r="A16" s="2895" t="s">
        <v>2929</v>
      </c>
      <c r="B16" s="2896">
        <f t="shared" si="66"/>
        <v>446.46299999999997</v>
      </c>
      <c r="C16" s="2896">
        <f t="shared" ref="C16" si="112">C17*(1+O16)</f>
        <v>333.27840000000003</v>
      </c>
      <c r="D16" s="2896">
        <f t="shared" ref="D16:D21" si="113">C16</f>
        <v>333.27840000000003</v>
      </c>
      <c r="E16" s="2896">
        <f t="shared" ref="E16" si="114">E17*(1+P16)</f>
        <v>637.28279999999995</v>
      </c>
      <c r="F16" s="2896">
        <f t="shared" ref="F16" si="115">F17*(1+Q16)</f>
        <v>288.68830000000003</v>
      </c>
      <c r="G16" s="3703"/>
      <c r="H16" s="2897">
        <v>1</v>
      </c>
      <c r="I16" s="2897">
        <v>1.7</v>
      </c>
      <c r="J16" s="2897">
        <v>1.92</v>
      </c>
      <c r="K16" s="2897">
        <v>1.64</v>
      </c>
      <c r="L16" s="2903">
        <v>2.0099999999999998</v>
      </c>
      <c r="M16" s="2883"/>
      <c r="N16" s="2898">
        <f t="shared" ref="N16:N21" si="116">I16/100</f>
        <v>1.7000000000000001E-2</v>
      </c>
      <c r="O16" s="2884">
        <f t="shared" ref="O16" si="117">J16/100</f>
        <v>1.9199999999999998E-2</v>
      </c>
      <c r="P16" s="2884">
        <f t="shared" ref="P16" si="118">K16/100</f>
        <v>1.6399999999999998E-2</v>
      </c>
      <c r="Q16" s="2884">
        <f t="shared" ref="Q16" si="119">L16/100</f>
        <v>2.0099999999999996E-2</v>
      </c>
      <c r="R16" s="2899"/>
      <c r="S16" s="2900">
        <f>B16/B17-1</f>
        <v>1.6999999999999904E-2</v>
      </c>
      <c r="T16" s="2901">
        <f>C16/C17-1</f>
        <v>1.9200000000000106E-2</v>
      </c>
      <c r="U16" s="2901">
        <f>E16/E17-1</f>
        <v>1.639999999999997E-2</v>
      </c>
      <c r="V16" s="2901">
        <f>F16/F17-1</f>
        <v>2.0100000000000007E-2</v>
      </c>
      <c r="W16" s="2883"/>
      <c r="X16" s="2883">
        <f>ROUND(SUMPRODUCT(PRODUCT(1+N16:N$32)),4)</f>
        <v>1.4947999999999999</v>
      </c>
      <c r="Y16" s="2883">
        <f>ROUND(SUMPRODUCT(PRODUCT(1+O16:O$32)),4)</f>
        <v>1.3230999999999999</v>
      </c>
      <c r="Z16" s="2883">
        <f t="shared" si="44"/>
        <v>1.3230999999999999</v>
      </c>
      <c r="AA16" s="2883">
        <f>ROUND(SUMPRODUCT(PRODUCT(1+P16:P$32)),4)</f>
        <v>1.5564</v>
      </c>
      <c r="AB16" s="2883">
        <f>ROUND(SUMPRODUCT(PRODUCT(1+Q16:Q$32)),4)</f>
        <v>1.2726999999999999</v>
      </c>
      <c r="AC16" s="2883"/>
      <c r="AD16" s="2884">
        <f>ROUND(AVERAGE(I16:I$32)/100,4)</f>
        <v>2.4E-2</v>
      </c>
      <c r="AE16" s="2884">
        <f>ROUND(AVERAGE(J16:J$32)/100,4)</f>
        <v>1.66E-2</v>
      </c>
      <c r="AF16" s="2884">
        <f t="shared" ref="AF16" si="120">AE16</f>
        <v>1.66E-2</v>
      </c>
      <c r="AG16" s="2884">
        <f>ROUND(AVERAGE(K16:K$32)/100,4)</f>
        <v>2.6499999999999999E-2</v>
      </c>
      <c r="AH16" s="2884">
        <f>ROUND(AVERAGE(L16:L$32)/100,4)</f>
        <v>1.43E-2</v>
      </c>
    </row>
    <row r="17" spans="1:34">
      <c r="A17" s="2895" t="s">
        <v>2921</v>
      </c>
      <c r="B17" s="2912">
        <v>439</v>
      </c>
      <c r="C17" s="2912">
        <v>327</v>
      </c>
      <c r="D17" s="2912">
        <f t="shared" si="113"/>
        <v>327</v>
      </c>
      <c r="E17" s="2912">
        <v>627</v>
      </c>
      <c r="F17" s="2913">
        <v>283</v>
      </c>
      <c r="G17" s="3701">
        <v>2017</v>
      </c>
      <c r="H17" s="2904">
        <v>4</v>
      </c>
      <c r="I17" s="2904">
        <v>1.71</v>
      </c>
      <c r="J17" s="2904">
        <v>1.78</v>
      </c>
      <c r="K17" s="2904">
        <v>1.71</v>
      </c>
      <c r="L17" s="2905">
        <v>1.43</v>
      </c>
      <c r="N17" s="2914">
        <f t="shared" si="116"/>
        <v>1.7100000000000001E-2</v>
      </c>
      <c r="O17" s="2915">
        <f t="shared" ref="O17" si="121">J17/100</f>
        <v>1.78E-2</v>
      </c>
      <c r="P17" s="2915">
        <f t="shared" ref="P17" si="122">K17/100</f>
        <v>1.7100000000000001E-2</v>
      </c>
      <c r="Q17" s="2915">
        <f t="shared" ref="Q17" si="123">L17/100</f>
        <v>1.43E-2</v>
      </c>
      <c r="R17" s="2899"/>
      <c r="S17" s="2908"/>
      <c r="T17" s="2909"/>
      <c r="U17" s="2909"/>
      <c r="V17" s="2909"/>
      <c r="X17" s="2883">
        <f>ROUND(SUMPRODUCT(PRODUCT(1+N17:N$32)),4)</f>
        <v>1.4698</v>
      </c>
      <c r="Y17" s="2883">
        <f>ROUND(SUMPRODUCT(PRODUCT(1+O17:O$32)),4)</f>
        <v>1.2982</v>
      </c>
      <c r="Z17" s="2883">
        <f t="shared" si="44"/>
        <v>1.2982</v>
      </c>
      <c r="AA17" s="2883">
        <f>ROUND(SUMPRODUCT(PRODUCT(1+P17:P$32)),4)</f>
        <v>1.5311999999999999</v>
      </c>
      <c r="AB17" s="2883">
        <f>ROUND(SUMPRODUCT(PRODUCT(1+Q17:Q$32)),4)</f>
        <v>1.2476</v>
      </c>
      <c r="AD17" s="2884">
        <f>ROUND(AVERAGE(I17:I$32)/100,4)</f>
        <v>2.4500000000000001E-2</v>
      </c>
      <c r="AE17" s="2884">
        <f>ROUND(AVERAGE(J17:J$32)/100,4)</f>
        <v>1.6500000000000001E-2</v>
      </c>
      <c r="AF17" s="2884">
        <f t="shared" si="1"/>
        <v>1.6500000000000001E-2</v>
      </c>
      <c r="AG17" s="2884">
        <f>ROUND(AVERAGE(K17:K$32)/100,4)</f>
        <v>2.7099999999999999E-2</v>
      </c>
      <c r="AH17" s="2884">
        <f>ROUND(AVERAGE(L17:L$32)/100,4)</f>
        <v>1.3899999999999999E-2</v>
      </c>
    </row>
    <row r="18" spans="1:34" s="2902" customFormat="1" ht="14.45" customHeight="1">
      <c r="A18" s="2895" t="s">
        <v>2924</v>
      </c>
      <c r="B18" s="2896">
        <f t="shared" ref="B18:C20" si="124">B19*(1+N18)</f>
        <v>431.80730811680002</v>
      </c>
      <c r="C18" s="2896">
        <f t="shared" si="124"/>
        <v>320.57880516480003</v>
      </c>
      <c r="D18" s="2896">
        <f t="shared" si="113"/>
        <v>320.57880516480003</v>
      </c>
      <c r="E18" s="2896">
        <f t="shared" ref="E18:F20" si="125">E19*(1+P18)</f>
        <v>615.96110553196797</v>
      </c>
      <c r="F18" s="2896">
        <f t="shared" si="125"/>
        <v>279.46777300108801</v>
      </c>
      <c r="G18" s="3702"/>
      <c r="H18" s="2897">
        <v>3</v>
      </c>
      <c r="I18" s="2897">
        <v>2.98</v>
      </c>
      <c r="J18" s="2897">
        <v>2.11</v>
      </c>
      <c r="K18" s="2897">
        <v>3.24</v>
      </c>
      <c r="L18" s="2903">
        <v>1.72</v>
      </c>
      <c r="M18" s="2883"/>
      <c r="N18" s="2898">
        <f t="shared" si="116"/>
        <v>2.98E-2</v>
      </c>
      <c r="O18" s="2916">
        <f t="shared" ref="O18:O19" si="126">J18/100</f>
        <v>2.1099999999999997E-2</v>
      </c>
      <c r="P18" s="2916">
        <f t="shared" ref="P18:P19" si="127">K18/100</f>
        <v>3.2400000000000005E-2</v>
      </c>
      <c r="Q18" s="2916">
        <f t="shared" ref="Q18:Q19" si="128">L18/100</f>
        <v>1.72E-2</v>
      </c>
      <c r="R18" s="2899"/>
      <c r="S18" s="2898"/>
      <c r="T18" s="2884"/>
      <c r="U18" s="2884"/>
      <c r="V18" s="2884"/>
      <c r="W18" s="2883"/>
      <c r="X18" s="2883">
        <f>ROUND(SUMPRODUCT(PRODUCT(1+N18:N$32)),4)</f>
        <v>1.4451000000000001</v>
      </c>
      <c r="Y18" s="2883">
        <f>ROUND(SUMPRODUCT(PRODUCT(1+O18:O$32)),4)</f>
        <v>1.2755000000000001</v>
      </c>
      <c r="Z18" s="2883">
        <f t="shared" si="44"/>
        <v>1.2755000000000001</v>
      </c>
      <c r="AA18" s="2883">
        <f>ROUND(SUMPRODUCT(PRODUCT(1+P18:P$32)),4)</f>
        <v>1.5055000000000001</v>
      </c>
      <c r="AB18" s="2883">
        <f>ROUND(SUMPRODUCT(PRODUCT(1+Q18:Q$32)),4)</f>
        <v>1.2301</v>
      </c>
      <c r="AC18" s="2883"/>
      <c r="AD18" s="2884">
        <f>ROUND(AVERAGE(I18:I$32)/100,4)</f>
        <v>2.4899999999999999E-2</v>
      </c>
      <c r="AE18" s="2884">
        <f>ROUND(AVERAGE(J18:J$32)/100,4)</f>
        <v>1.6400000000000001E-2</v>
      </c>
      <c r="AF18" s="2884">
        <f t="shared" si="1"/>
        <v>1.6400000000000001E-2</v>
      </c>
      <c r="AG18" s="2884">
        <f>ROUND(AVERAGE(K18:K$32)/100,4)</f>
        <v>2.7799999999999998E-2</v>
      </c>
      <c r="AH18" s="2884">
        <f>ROUND(AVERAGE(L18:L$32)/100,4)</f>
        <v>1.3899999999999999E-2</v>
      </c>
    </row>
    <row r="19" spans="1:34" s="2861" customFormat="1" ht="14.45" customHeight="1">
      <c r="A19" s="2895" t="s">
        <v>2554</v>
      </c>
      <c r="B19" s="2896">
        <f t="shared" si="124"/>
        <v>419.31181600000002</v>
      </c>
      <c r="C19" s="2896">
        <f t="shared" si="124"/>
        <v>313.95436800000004</v>
      </c>
      <c r="D19" s="2896">
        <f t="shared" si="113"/>
        <v>313.95436800000004</v>
      </c>
      <c r="E19" s="2896">
        <f t="shared" si="125"/>
        <v>596.63028431999999</v>
      </c>
      <c r="F19" s="2896">
        <f t="shared" si="125"/>
        <v>274.74220703999998</v>
      </c>
      <c r="G19" s="3702"/>
      <c r="H19" s="2910">
        <v>2</v>
      </c>
      <c r="I19" s="2910">
        <v>3.4</v>
      </c>
      <c r="J19" s="2910">
        <v>2</v>
      </c>
      <c r="K19" s="2910">
        <v>3.82</v>
      </c>
      <c r="L19" s="2911">
        <v>1.68</v>
      </c>
      <c r="N19" s="2898">
        <f t="shared" si="116"/>
        <v>3.4000000000000002E-2</v>
      </c>
      <c r="O19" s="2916">
        <f t="shared" si="126"/>
        <v>0.02</v>
      </c>
      <c r="P19" s="2916">
        <f t="shared" si="127"/>
        <v>3.8199999999999998E-2</v>
      </c>
      <c r="Q19" s="2916">
        <f t="shared" si="128"/>
        <v>1.6799999999999999E-2</v>
      </c>
      <c r="S19" s="2898"/>
      <c r="T19" s="2884"/>
      <c r="U19" s="2884"/>
      <c r="V19" s="2884"/>
      <c r="X19" s="2883">
        <f>ROUND(SUMPRODUCT(PRODUCT(1+N19:N$32)),4)</f>
        <v>1.4033</v>
      </c>
      <c r="Y19" s="2883">
        <f>ROUND(SUMPRODUCT(PRODUCT(1+O19:O$32)),4)</f>
        <v>1.2491000000000001</v>
      </c>
      <c r="Z19" s="2883">
        <f t="shared" si="44"/>
        <v>1.2491000000000001</v>
      </c>
      <c r="AA19" s="2883">
        <f>ROUND(SUMPRODUCT(PRODUCT(1+P19:P$32)),4)</f>
        <v>1.4581999999999999</v>
      </c>
      <c r="AB19" s="2883">
        <f>ROUND(SUMPRODUCT(PRODUCT(1+Q19:Q$32)),4)</f>
        <v>1.2093</v>
      </c>
      <c r="AD19" s="2884">
        <f>ROUND(AVERAGE(I19:I$32)/100,4)</f>
        <v>2.46E-2</v>
      </c>
      <c r="AE19" s="2884">
        <f>ROUND(AVERAGE(J19:J$32)/100,4)</f>
        <v>1.6E-2</v>
      </c>
      <c r="AF19" s="2884">
        <f t="shared" si="1"/>
        <v>1.6E-2</v>
      </c>
      <c r="AG19" s="2884">
        <f>ROUND(AVERAGE(K19:K$32)/100,4)</f>
        <v>2.75E-2</v>
      </c>
      <c r="AH19" s="2884">
        <f>ROUND(AVERAGE(L19:L$32)/100,4)</f>
        <v>1.37E-2</v>
      </c>
    </row>
    <row r="20" spans="1:34" s="2902" customFormat="1" ht="15" customHeight="1" thickBot="1">
      <c r="A20" s="2895" t="s">
        <v>2555</v>
      </c>
      <c r="B20" s="2896">
        <f t="shared" si="124"/>
        <v>405.524</v>
      </c>
      <c r="C20" s="2896">
        <f t="shared" si="124"/>
        <v>307.79840000000002</v>
      </c>
      <c r="D20" s="2896">
        <f t="shared" si="113"/>
        <v>307.79840000000002</v>
      </c>
      <c r="E20" s="2896">
        <f t="shared" si="125"/>
        <v>574.67759999999998</v>
      </c>
      <c r="F20" s="2896">
        <f t="shared" si="125"/>
        <v>270.20280000000002</v>
      </c>
      <c r="G20" s="3703"/>
      <c r="H20" s="2897">
        <v>1</v>
      </c>
      <c r="I20" s="2897">
        <v>3.45</v>
      </c>
      <c r="J20" s="2897">
        <v>1.92</v>
      </c>
      <c r="K20" s="2897">
        <v>3.92</v>
      </c>
      <c r="L20" s="2903">
        <v>1.58</v>
      </c>
      <c r="M20" s="2883"/>
      <c r="N20" s="2900">
        <f t="shared" si="116"/>
        <v>3.4500000000000003E-2</v>
      </c>
      <c r="O20" s="2901">
        <f t="shared" ref="O20" si="129">J20/100</f>
        <v>1.9199999999999998E-2</v>
      </c>
      <c r="P20" s="2901">
        <f t="shared" ref="P20" si="130">K20/100</f>
        <v>3.9199999999999999E-2</v>
      </c>
      <c r="Q20" s="2901">
        <f t="shared" ref="Q20" si="131">L20/100</f>
        <v>1.5800000000000002E-2</v>
      </c>
      <c r="R20" s="2899"/>
      <c r="S20" s="2900">
        <f>B20/B21-1</f>
        <v>3.4499999999999975E-2</v>
      </c>
      <c r="T20" s="2901">
        <f>C20/C21-1</f>
        <v>1.9200000000000106E-2</v>
      </c>
      <c r="U20" s="2901">
        <f>E20/E21-1</f>
        <v>3.9199999999999902E-2</v>
      </c>
      <c r="V20" s="2901">
        <f>F20/F21-1</f>
        <v>1.5800000000000036E-2</v>
      </c>
      <c r="W20" s="2883"/>
      <c r="X20" s="2883">
        <f>ROUND(SUMPRODUCT(PRODUCT(1+N20:N$32)),4)</f>
        <v>1.3571</v>
      </c>
      <c r="Y20" s="2883">
        <f>ROUND(SUMPRODUCT(PRODUCT(1+O20:O$32)),4)</f>
        <v>1.2245999999999999</v>
      </c>
      <c r="Z20" s="2883">
        <f t="shared" si="44"/>
        <v>1.2245999999999999</v>
      </c>
      <c r="AA20" s="2883">
        <f>ROUND(SUMPRODUCT(PRODUCT(1+P20:P$32)),4)</f>
        <v>1.4046000000000001</v>
      </c>
      <c r="AB20" s="2883">
        <f>ROUND(SUMPRODUCT(PRODUCT(1+Q20:Q$32)),4)</f>
        <v>1.1893</v>
      </c>
      <c r="AC20" s="2883"/>
      <c r="AD20" s="2884">
        <f>ROUND(AVERAGE(I20:I$32)/100,4)</f>
        <v>2.3900000000000001E-2</v>
      </c>
      <c r="AE20" s="2884">
        <f>ROUND(AVERAGE(J20:J$32)/100,4)</f>
        <v>1.5699999999999999E-2</v>
      </c>
      <c r="AF20" s="2884">
        <f t="shared" si="1"/>
        <v>1.5699999999999999E-2</v>
      </c>
      <c r="AG20" s="2884">
        <f>ROUND(AVERAGE(K20:K$32)/100,4)</f>
        <v>2.6599999999999999E-2</v>
      </c>
      <c r="AH20" s="2884">
        <f>ROUND(AVERAGE(L20:L$32)/100,4)</f>
        <v>1.34E-2</v>
      </c>
    </row>
    <row r="21" spans="1:34">
      <c r="A21" s="2895" t="s">
        <v>961</v>
      </c>
      <c r="B21" s="2917">
        <v>392</v>
      </c>
      <c r="C21" s="2917">
        <v>302</v>
      </c>
      <c r="D21" s="2917">
        <f t="shared" si="113"/>
        <v>302</v>
      </c>
      <c r="E21" s="2917">
        <v>553</v>
      </c>
      <c r="F21" s="2918">
        <v>266</v>
      </c>
      <c r="G21" s="3701">
        <v>2016</v>
      </c>
      <c r="H21" s="2904">
        <v>4</v>
      </c>
      <c r="I21" s="2904">
        <v>4.5599999999999996</v>
      </c>
      <c r="J21" s="2904">
        <v>2.15</v>
      </c>
      <c r="K21" s="2904">
        <v>5.32</v>
      </c>
      <c r="L21" s="2905">
        <v>1.57</v>
      </c>
      <c r="N21" s="2898">
        <f t="shared" si="116"/>
        <v>4.5599999999999995E-2</v>
      </c>
      <c r="O21" s="2884">
        <f t="shared" ref="O21:Q36" si="132">J21/100</f>
        <v>2.1499999999999998E-2</v>
      </c>
      <c r="P21" s="2884">
        <f t="shared" si="132"/>
        <v>5.3200000000000004E-2</v>
      </c>
      <c r="Q21" s="2884">
        <f t="shared" si="132"/>
        <v>1.5700000000000002E-2</v>
      </c>
      <c r="R21" s="2899"/>
      <c r="S21" s="2908"/>
      <c r="T21" s="2909"/>
      <c r="U21" s="2909"/>
      <c r="V21" s="2909"/>
      <c r="X21" s="2883">
        <f>ROUND(SUMPRODUCT(PRODUCT(1+N21:N$32)),4)</f>
        <v>1.3119000000000001</v>
      </c>
      <c r="Y21" s="2883">
        <f>ROUND(SUMPRODUCT(PRODUCT(1+O21:O$32)),4)</f>
        <v>1.2016</v>
      </c>
      <c r="Z21" s="2883">
        <f t="shared" si="44"/>
        <v>1.2016</v>
      </c>
      <c r="AA21" s="2883">
        <f>ROUND(SUMPRODUCT(PRODUCT(1+P21:P$32)),4)</f>
        <v>1.3515999999999999</v>
      </c>
      <c r="AB21" s="2883">
        <f>ROUND(SUMPRODUCT(PRODUCT(1+Q21:Q$32)),4)</f>
        <v>1.1708000000000001</v>
      </c>
      <c r="AD21" s="2884">
        <f>ROUND(AVERAGE(I21:I$32)/100,4)</f>
        <v>2.3E-2</v>
      </c>
      <c r="AE21" s="2884">
        <f>ROUND(AVERAGE(J21:J$32)/100,4)</f>
        <v>1.55E-2</v>
      </c>
      <c r="AF21" s="2884">
        <f t="shared" si="1"/>
        <v>1.55E-2</v>
      </c>
      <c r="AG21" s="2884">
        <f>ROUND(AVERAGE(K21:K$32)/100,4)</f>
        <v>2.5600000000000001E-2</v>
      </c>
      <c r="AH21" s="2884">
        <f>ROUND(AVERAGE(L21:L$32)/100,4)</f>
        <v>1.32E-2</v>
      </c>
    </row>
    <row r="22" spans="1:34">
      <c r="A22" s="2895" t="s">
        <v>960</v>
      </c>
      <c r="B22" s="2896">
        <f t="shared" ref="B22:C24" si="133">B21/(1+N21)</f>
        <v>374.90436113236416</v>
      </c>
      <c r="C22" s="2896">
        <f t="shared" si="133"/>
        <v>295.64366128242779</v>
      </c>
      <c r="D22" s="2896">
        <f t="shared" ref="D22:D81" si="134">C22</f>
        <v>295.64366128242779</v>
      </c>
      <c r="E22" s="2896">
        <f t="shared" ref="E22:F24" si="135">E21/(1+P21)</f>
        <v>525.06646410938095</v>
      </c>
      <c r="F22" s="2896">
        <f t="shared" si="135"/>
        <v>261.88835286009646</v>
      </c>
      <c r="G22" s="3702"/>
      <c r="H22" s="2897">
        <v>3</v>
      </c>
      <c r="I22" s="2897">
        <v>4.12</v>
      </c>
      <c r="J22" s="2897">
        <v>2</v>
      </c>
      <c r="K22" s="2897">
        <v>4.79</v>
      </c>
      <c r="L22" s="2903">
        <v>1.97</v>
      </c>
      <c r="N22" s="2898">
        <f t="shared" ref="N22:Q56" si="136">I22/100</f>
        <v>4.1200000000000001E-2</v>
      </c>
      <c r="O22" s="2884">
        <f t="shared" si="132"/>
        <v>0.02</v>
      </c>
      <c r="P22" s="2884">
        <f t="shared" si="132"/>
        <v>4.7899999999999998E-2</v>
      </c>
      <c r="Q22" s="2884">
        <f t="shared" si="132"/>
        <v>1.9699999999999999E-2</v>
      </c>
      <c r="R22" s="2899"/>
      <c r="S22" s="2898"/>
      <c r="T22" s="2884"/>
      <c r="U22" s="2884"/>
      <c r="V22" s="2884"/>
      <c r="X22" s="2883">
        <f>ROUND(SUMPRODUCT(PRODUCT(1+N22:N$32)),4)</f>
        <v>1.2546999999999999</v>
      </c>
      <c r="Y22" s="2883">
        <f>ROUND(SUMPRODUCT(PRODUCT(1+O22:O$32)),4)</f>
        <v>1.1762999999999999</v>
      </c>
      <c r="Z22" s="2883">
        <f t="shared" si="44"/>
        <v>1.1762999999999999</v>
      </c>
      <c r="AA22" s="2883">
        <f>ROUND(SUMPRODUCT(PRODUCT(1+P22:P$32)),4)</f>
        <v>1.2833000000000001</v>
      </c>
      <c r="AB22" s="2883">
        <f>ROUND(SUMPRODUCT(PRODUCT(1+Q22:Q$32)),4)</f>
        <v>1.1527000000000001</v>
      </c>
      <c r="AD22" s="2884">
        <f>ROUND(AVERAGE(I22:I$32)/100,4)</f>
        <v>2.0899999999999998E-2</v>
      </c>
      <c r="AE22" s="2884">
        <f>ROUND(AVERAGE(J22:J$32)/100,4)</f>
        <v>1.49E-2</v>
      </c>
      <c r="AF22" s="2884">
        <f t="shared" si="1"/>
        <v>1.49E-2</v>
      </c>
      <c r="AG22" s="2884">
        <f>ROUND(AVERAGE(K22:K$32)/100,4)</f>
        <v>2.3099999999999999E-2</v>
      </c>
      <c r="AH22" s="2884">
        <f>ROUND(AVERAGE(L22:L$32)/100,4)</f>
        <v>1.2999999999999999E-2</v>
      </c>
    </row>
    <row r="23" spans="1:34">
      <c r="A23" s="2895" t="s">
        <v>950</v>
      </c>
      <c r="B23" s="2896">
        <f t="shared" si="133"/>
        <v>360.06949782209392</v>
      </c>
      <c r="C23" s="2896">
        <f t="shared" si="133"/>
        <v>289.84672674747821</v>
      </c>
      <c r="D23" s="2896">
        <f t="shared" si="134"/>
        <v>289.84672674747821</v>
      </c>
      <c r="E23" s="2896">
        <f t="shared" si="135"/>
        <v>501.06543001181495</v>
      </c>
      <c r="F23" s="2896">
        <f t="shared" si="135"/>
        <v>256.82882500744967</v>
      </c>
      <c r="G23" s="3702"/>
      <c r="H23" s="2910">
        <v>2</v>
      </c>
      <c r="I23" s="2910">
        <v>3.85</v>
      </c>
      <c r="J23" s="2910">
        <v>1.95</v>
      </c>
      <c r="K23" s="2910">
        <v>4.4800000000000004</v>
      </c>
      <c r="L23" s="2911">
        <v>1.41</v>
      </c>
      <c r="N23" s="2898">
        <f t="shared" si="136"/>
        <v>3.85E-2</v>
      </c>
      <c r="O23" s="2884">
        <f t="shared" si="132"/>
        <v>1.95E-2</v>
      </c>
      <c r="P23" s="2884">
        <f t="shared" si="132"/>
        <v>4.4800000000000006E-2</v>
      </c>
      <c r="Q23" s="2884">
        <f t="shared" si="132"/>
        <v>1.41E-2</v>
      </c>
      <c r="R23" s="2899"/>
      <c r="S23" s="2898"/>
      <c r="T23" s="2884"/>
      <c r="U23" s="2884"/>
      <c r="V23" s="2884"/>
      <c r="X23" s="2883">
        <f>ROUND(SUMPRODUCT(PRODUCT(1+N23:N$32)),4)</f>
        <v>1.2050000000000001</v>
      </c>
      <c r="Y23" s="2883">
        <f>ROUND(SUMPRODUCT(PRODUCT(1+O23:O$32)),4)</f>
        <v>1.1532</v>
      </c>
      <c r="Z23" s="2883">
        <f t="shared" si="44"/>
        <v>1.1532</v>
      </c>
      <c r="AA23" s="2883">
        <f>ROUND(SUMPRODUCT(PRODUCT(1+P23:P$32)),4)</f>
        <v>1.2246999999999999</v>
      </c>
      <c r="AB23" s="2883">
        <f>ROUND(SUMPRODUCT(PRODUCT(1+Q23:Q$32)),4)</f>
        <v>1.1304000000000001</v>
      </c>
      <c r="AD23" s="2884">
        <f>ROUND(AVERAGE(I23:I$32)/100,4)</f>
        <v>1.89E-2</v>
      </c>
      <c r="AE23" s="2884">
        <f>ROUND(AVERAGE(J23:J$32)/100,4)</f>
        <v>1.44E-2</v>
      </c>
      <c r="AF23" s="2884">
        <f t="shared" si="1"/>
        <v>1.44E-2</v>
      </c>
      <c r="AG23" s="2884">
        <f>ROUND(AVERAGE(K23:K$32)/100,4)</f>
        <v>2.06E-2</v>
      </c>
      <c r="AH23" s="2884">
        <f>ROUND(AVERAGE(L23:L$32)/100,4)</f>
        <v>1.23E-2</v>
      </c>
    </row>
    <row r="24" spans="1:34" ht="13.5" thickBot="1">
      <c r="A24" s="2895" t="s">
        <v>959</v>
      </c>
      <c r="B24" s="2896">
        <f t="shared" si="133"/>
        <v>346.720748986128</v>
      </c>
      <c r="C24" s="2896">
        <f t="shared" si="133"/>
        <v>284.30282172386285</v>
      </c>
      <c r="D24" s="2896">
        <f t="shared" si="134"/>
        <v>284.30282172386285</v>
      </c>
      <c r="E24" s="2896">
        <f t="shared" si="135"/>
        <v>479.58023546306947</v>
      </c>
      <c r="F24" s="2896">
        <f t="shared" si="135"/>
        <v>253.25788877571213</v>
      </c>
      <c r="G24" s="3705"/>
      <c r="H24" s="2897">
        <v>1</v>
      </c>
      <c r="I24" s="2897">
        <v>4.09</v>
      </c>
      <c r="J24" s="2897">
        <v>2.93</v>
      </c>
      <c r="K24" s="2897">
        <v>4.54</v>
      </c>
      <c r="L24" s="2903">
        <v>1.48</v>
      </c>
      <c r="N24" s="2898">
        <f t="shared" si="136"/>
        <v>4.0899999999999999E-2</v>
      </c>
      <c r="O24" s="2884">
        <f t="shared" si="132"/>
        <v>2.9300000000000003E-2</v>
      </c>
      <c r="P24" s="2884">
        <f t="shared" si="132"/>
        <v>4.5400000000000003E-2</v>
      </c>
      <c r="Q24" s="2884">
        <f t="shared" si="132"/>
        <v>1.4800000000000001E-2</v>
      </c>
      <c r="R24" s="2899"/>
      <c r="S24" s="2900">
        <f>B24/B25-1</f>
        <v>4.1203450408792808E-2</v>
      </c>
      <c r="T24" s="2901">
        <f>C24/C25-1</f>
        <v>2.6363977342465095E-2</v>
      </c>
      <c r="U24" s="2901">
        <f>E24/E25-1</f>
        <v>4.4837114298626357E-2</v>
      </c>
      <c r="V24" s="2901">
        <f>F24/F25-1</f>
        <v>1.7099954922538574E-2</v>
      </c>
      <c r="X24" s="2883">
        <f>ROUND(SUMPRODUCT(PRODUCT(1+N24:N$32)),4)</f>
        <v>1.1604000000000001</v>
      </c>
      <c r="Y24" s="2883">
        <f>ROUND(SUMPRODUCT(PRODUCT(1+O24:O$32)),4)</f>
        <v>1.1312</v>
      </c>
      <c r="Z24" s="2883">
        <f t="shared" si="44"/>
        <v>1.1312</v>
      </c>
      <c r="AA24" s="2883">
        <f>ROUND(SUMPRODUCT(PRODUCT(1+P24:P$32)),4)</f>
        <v>1.1721999999999999</v>
      </c>
      <c r="AB24" s="2883">
        <f>ROUND(SUMPRODUCT(PRODUCT(1+Q24:Q$32)),4)</f>
        <v>1.1147</v>
      </c>
      <c r="AD24" s="2884">
        <f>ROUND(AVERAGE(I24:I$32)/100,4)</f>
        <v>1.67E-2</v>
      </c>
      <c r="AE24" s="2884">
        <f>ROUND(AVERAGE(J24:J$32)/100,4)</f>
        <v>1.38E-2</v>
      </c>
      <c r="AF24" s="2884">
        <f t="shared" si="1"/>
        <v>1.38E-2</v>
      </c>
      <c r="AG24" s="2884">
        <f>ROUND(AVERAGE(K24:K$32)/100,4)</f>
        <v>1.7899999999999999E-2</v>
      </c>
      <c r="AH24" s="2884">
        <f>ROUND(AVERAGE(L24:L$32)/100,4)</f>
        <v>1.21E-2</v>
      </c>
    </row>
    <row r="25" spans="1:34" ht="13.5" thickBot="1">
      <c r="A25" s="2895" t="s">
        <v>958</v>
      </c>
      <c r="B25" s="2917">
        <v>333</v>
      </c>
      <c r="C25" s="2917">
        <v>277</v>
      </c>
      <c r="D25" s="2917">
        <f t="shared" si="134"/>
        <v>277</v>
      </c>
      <c r="E25" s="2917">
        <v>459</v>
      </c>
      <c r="F25" s="2918">
        <v>249</v>
      </c>
      <c r="G25" s="3704">
        <v>2015</v>
      </c>
      <c r="H25" s="2919">
        <v>4</v>
      </c>
      <c r="I25" s="2919">
        <v>1.63</v>
      </c>
      <c r="J25" s="2919">
        <v>1.1100000000000001</v>
      </c>
      <c r="K25" s="2919">
        <v>1.77</v>
      </c>
      <c r="L25" s="2920">
        <v>1.89</v>
      </c>
      <c r="N25" s="2914">
        <f t="shared" si="136"/>
        <v>1.6299999999999999E-2</v>
      </c>
      <c r="O25" s="2915">
        <f t="shared" si="132"/>
        <v>1.11E-2</v>
      </c>
      <c r="P25" s="2915">
        <f t="shared" si="132"/>
        <v>1.77E-2</v>
      </c>
      <c r="Q25" s="2915">
        <f t="shared" si="132"/>
        <v>1.89E-2</v>
      </c>
      <c r="R25" s="2899"/>
      <c r="X25" s="2883">
        <f>ROUND(SUMPRODUCT(PRODUCT(1+N25:N$32)),4)</f>
        <v>1.1148</v>
      </c>
      <c r="Y25" s="2883">
        <f>ROUND(SUMPRODUCT(PRODUCT(1+O25:O$32)),4)</f>
        <v>1.099</v>
      </c>
      <c r="Z25" s="2883">
        <f t="shared" si="44"/>
        <v>1.099</v>
      </c>
      <c r="AA25" s="2883">
        <f>ROUND(SUMPRODUCT(PRODUCT(1+P25:P$32)),4)</f>
        <v>1.1213</v>
      </c>
      <c r="AB25" s="2883">
        <f>ROUND(SUMPRODUCT(PRODUCT(1+Q25:Q$32)),4)</f>
        <v>1.0984</v>
      </c>
      <c r="AD25" s="2884">
        <f>ROUND(AVERAGE(I25:I$32)/100,4)</f>
        <v>1.37E-2</v>
      </c>
      <c r="AE25" s="2884">
        <f>ROUND(AVERAGE(J25:J$32)/100,4)</f>
        <v>1.1900000000000001E-2</v>
      </c>
      <c r="AF25" s="2884">
        <f t="shared" si="1"/>
        <v>1.1900000000000001E-2</v>
      </c>
      <c r="AG25" s="2884">
        <f>ROUND(AVERAGE(K25:K$32)/100,4)</f>
        <v>1.4500000000000001E-2</v>
      </c>
      <c r="AH25" s="2884">
        <f>ROUND(AVERAGE(L25:L$32)/100,4)</f>
        <v>1.18E-2</v>
      </c>
    </row>
    <row r="26" spans="1:34">
      <c r="A26" s="2895" t="s">
        <v>957</v>
      </c>
      <c r="B26" s="2896">
        <f t="shared" ref="B26:C28" si="137">B25/(1+N25)</f>
        <v>327.65915576109415</v>
      </c>
      <c r="C26" s="2896">
        <f t="shared" si="137"/>
        <v>273.95905449510434</v>
      </c>
      <c r="D26" s="2896">
        <f t="shared" si="134"/>
        <v>273.95905449510434</v>
      </c>
      <c r="E26" s="2896">
        <f t="shared" ref="E26:F28" si="138">E25/(1+P25)</f>
        <v>451.01699911565294</v>
      </c>
      <c r="F26" s="2896">
        <f t="shared" si="138"/>
        <v>244.38119540681129</v>
      </c>
      <c r="G26" s="3702"/>
      <c r="H26" s="2922">
        <v>3</v>
      </c>
      <c r="I26" s="2922">
        <v>1.65</v>
      </c>
      <c r="J26" s="2922">
        <v>0.92</v>
      </c>
      <c r="K26" s="2922">
        <v>1.88</v>
      </c>
      <c r="L26" s="2923">
        <v>1.26</v>
      </c>
      <c r="N26" s="2898">
        <f t="shared" si="136"/>
        <v>1.6500000000000001E-2</v>
      </c>
      <c r="O26" s="2916">
        <f t="shared" si="132"/>
        <v>9.1999999999999998E-3</v>
      </c>
      <c r="P26" s="2916">
        <f t="shared" si="132"/>
        <v>1.8799999999999997E-2</v>
      </c>
      <c r="Q26" s="2916">
        <f t="shared" si="132"/>
        <v>1.26E-2</v>
      </c>
      <c r="R26" s="2899"/>
      <c r="S26" s="2898"/>
      <c r="T26" s="2884"/>
      <c r="U26" s="2884"/>
      <c r="V26" s="2884"/>
      <c r="X26" s="2883">
        <f>ROUND(SUMPRODUCT(PRODUCT(1+N26:N$32)),4)</f>
        <v>1.0969</v>
      </c>
      <c r="Y26" s="2883">
        <f>ROUND(SUMPRODUCT(PRODUCT(1+O26:O$32)),4)</f>
        <v>1.0869</v>
      </c>
      <c r="Z26" s="2883">
        <f t="shared" si="44"/>
        <v>1.0869</v>
      </c>
      <c r="AA26" s="2883">
        <f>ROUND(SUMPRODUCT(PRODUCT(1+P26:P$32)),4)</f>
        <v>1.1017999999999999</v>
      </c>
      <c r="AB26" s="2883">
        <f>ROUND(SUMPRODUCT(PRODUCT(1+Q26:Q$32)),4)</f>
        <v>1.0781000000000001</v>
      </c>
      <c r="AD26" s="2884">
        <f>ROUND(AVERAGE(I26:I$32)/100,4)</f>
        <v>1.3299999999999999E-2</v>
      </c>
      <c r="AE26" s="2884">
        <f>ROUND(AVERAGE(J26:J$32)/100,4)</f>
        <v>1.2E-2</v>
      </c>
      <c r="AF26" s="2884">
        <f t="shared" si="1"/>
        <v>1.2E-2</v>
      </c>
      <c r="AG26" s="2884">
        <f>ROUND(AVERAGE(K26:K$32)/100,4)</f>
        <v>1.4E-2</v>
      </c>
      <c r="AH26" s="2884">
        <f>ROUND(AVERAGE(L26:L$32)/100,4)</f>
        <v>1.0800000000000001E-2</v>
      </c>
    </row>
    <row r="27" spans="1:34">
      <c r="A27" s="2895" t="s">
        <v>956</v>
      </c>
      <c r="B27" s="2896">
        <f t="shared" si="137"/>
        <v>322.34053690220776</v>
      </c>
      <c r="C27" s="2896">
        <f t="shared" si="137"/>
        <v>271.46160770422546</v>
      </c>
      <c r="D27" s="2896">
        <f t="shared" si="134"/>
        <v>271.46160770422546</v>
      </c>
      <c r="E27" s="2896">
        <f t="shared" si="138"/>
        <v>442.69434542172456</v>
      </c>
      <c r="F27" s="2896">
        <f t="shared" si="138"/>
        <v>241.34030753190925</v>
      </c>
      <c r="G27" s="3702"/>
      <c r="H27" s="2910">
        <v>2</v>
      </c>
      <c r="I27" s="2910">
        <v>0.77</v>
      </c>
      <c r="J27" s="2910">
        <v>0.69</v>
      </c>
      <c r="K27" s="2910">
        <v>0.8</v>
      </c>
      <c r="L27" s="2911">
        <v>0.88</v>
      </c>
      <c r="N27" s="2898">
        <f t="shared" si="136"/>
        <v>7.7000000000000002E-3</v>
      </c>
      <c r="O27" s="2916">
        <f t="shared" si="132"/>
        <v>6.8999999999999999E-3</v>
      </c>
      <c r="P27" s="2916">
        <f t="shared" si="132"/>
        <v>8.0000000000000002E-3</v>
      </c>
      <c r="Q27" s="2916">
        <f t="shared" si="132"/>
        <v>8.8000000000000005E-3</v>
      </c>
      <c r="R27" s="2899"/>
      <c r="S27" s="2898"/>
      <c r="T27" s="2884"/>
      <c r="U27" s="2884"/>
      <c r="V27" s="2884"/>
      <c r="X27" s="2883">
        <f>ROUND(SUMPRODUCT(PRODUCT(1+N27:N$32)),4)</f>
        <v>1.0790999999999999</v>
      </c>
      <c r="Y27" s="2883">
        <f>ROUND(SUMPRODUCT(PRODUCT(1+O27:O$32)),4)</f>
        <v>1.077</v>
      </c>
      <c r="Z27" s="2883">
        <f t="shared" si="44"/>
        <v>1.077</v>
      </c>
      <c r="AA27" s="2883">
        <f>ROUND(SUMPRODUCT(PRODUCT(1+P27:P$32)),4)</f>
        <v>1.0813999999999999</v>
      </c>
      <c r="AB27" s="2883">
        <f>ROUND(SUMPRODUCT(PRODUCT(1+Q27:Q$32)),4)</f>
        <v>1.0647</v>
      </c>
      <c r="AD27" s="2884">
        <f>ROUND(AVERAGE(I27:I$32)/100,4)</f>
        <v>1.2800000000000001E-2</v>
      </c>
      <c r="AE27" s="2884">
        <f>ROUND(AVERAGE(J27:J$32)/100,4)</f>
        <v>1.2500000000000001E-2</v>
      </c>
      <c r="AF27" s="2884">
        <f t="shared" si="1"/>
        <v>1.2500000000000001E-2</v>
      </c>
      <c r="AG27" s="2884">
        <f>ROUND(AVERAGE(K27:K$32)/100,4)</f>
        <v>1.32E-2</v>
      </c>
      <c r="AH27" s="2884">
        <f>ROUND(AVERAGE(L27:L$32)/100,4)</f>
        <v>1.0500000000000001E-2</v>
      </c>
    </row>
    <row r="28" spans="1:34">
      <c r="A28" s="2895" t="s">
        <v>955</v>
      </c>
      <c r="B28" s="2896">
        <f t="shared" si="137"/>
        <v>319.87748030386797</v>
      </c>
      <c r="C28" s="2896">
        <f t="shared" si="137"/>
        <v>269.60135833173649</v>
      </c>
      <c r="D28" s="2896">
        <f t="shared" si="134"/>
        <v>269.60135833173649</v>
      </c>
      <c r="E28" s="2896">
        <f t="shared" si="138"/>
        <v>439.18089823583784</v>
      </c>
      <c r="F28" s="2896">
        <f t="shared" si="138"/>
        <v>239.23503918706311</v>
      </c>
      <c r="G28" s="3705"/>
      <c r="H28" s="2897">
        <v>1</v>
      </c>
      <c r="I28" s="2897">
        <v>0.51</v>
      </c>
      <c r="J28" s="2897">
        <v>0.54</v>
      </c>
      <c r="K28" s="2897">
        <v>0.48</v>
      </c>
      <c r="L28" s="2903">
        <v>0.93</v>
      </c>
      <c r="N28" s="2900">
        <f t="shared" si="136"/>
        <v>5.1000000000000004E-3</v>
      </c>
      <c r="O28" s="2901">
        <f t="shared" si="132"/>
        <v>5.4000000000000003E-3</v>
      </c>
      <c r="P28" s="2901">
        <f t="shared" si="132"/>
        <v>4.7999999999999996E-3</v>
      </c>
      <c r="Q28" s="2901">
        <f t="shared" si="132"/>
        <v>9.300000000000001E-3</v>
      </c>
      <c r="R28" s="2899"/>
      <c r="S28" s="2900">
        <f>B28/B29-1</f>
        <v>5.9040261127922822E-3</v>
      </c>
      <c r="T28" s="2901">
        <f>C28/C29-1</f>
        <v>5.9752176557332781E-3</v>
      </c>
      <c r="U28" s="2901">
        <f>E28/E29-1</f>
        <v>4.9906138119859556E-3</v>
      </c>
      <c r="V28" s="2901">
        <f>F28/F29-1</f>
        <v>9.4305450930933787E-3</v>
      </c>
      <c r="X28" s="2883">
        <f>ROUND(SUMPRODUCT(PRODUCT(1+N28:N$32)),4)</f>
        <v>1.0708</v>
      </c>
      <c r="Y28" s="2883">
        <f>ROUND(SUMPRODUCT(PRODUCT(1+O28:O$32)),4)</f>
        <v>1.0696000000000001</v>
      </c>
      <c r="Z28" s="2883">
        <f t="shared" si="44"/>
        <v>1.0696000000000001</v>
      </c>
      <c r="AA28" s="2883">
        <f>ROUND(SUMPRODUCT(PRODUCT(1+P28:P$32)),4)</f>
        <v>1.0728</v>
      </c>
      <c r="AB28" s="2883">
        <f>ROUND(SUMPRODUCT(PRODUCT(1+Q28:Q$32)),4)</f>
        <v>1.0553999999999999</v>
      </c>
      <c r="AD28" s="2884">
        <f>ROUND(AVERAGE(I28:I$32)/100,4)</f>
        <v>1.38E-2</v>
      </c>
      <c r="AE28" s="2884">
        <f>ROUND(AVERAGE(J28:J$32)/100,4)</f>
        <v>1.3599999999999999E-2</v>
      </c>
      <c r="AF28" s="2884">
        <f t="shared" si="1"/>
        <v>1.3599999999999999E-2</v>
      </c>
      <c r="AG28" s="2884">
        <f>ROUND(AVERAGE(K28:K$32)/100,4)</f>
        <v>1.4200000000000001E-2</v>
      </c>
      <c r="AH28" s="2884">
        <f>ROUND(AVERAGE(L28:L$32)/100,4)</f>
        <v>1.0800000000000001E-2</v>
      </c>
    </row>
    <row r="29" spans="1:34" ht="13.5" thickBot="1">
      <c r="A29" s="2895" t="s">
        <v>954</v>
      </c>
      <c r="B29" s="2924">
        <v>318</v>
      </c>
      <c r="C29" s="2924">
        <v>268</v>
      </c>
      <c r="D29" s="2924">
        <f t="shared" si="134"/>
        <v>268</v>
      </c>
      <c r="E29" s="2924">
        <v>437</v>
      </c>
      <c r="F29" s="2925">
        <v>237</v>
      </c>
      <c r="G29" s="3704">
        <v>2014</v>
      </c>
      <c r="H29" s="2919">
        <v>4</v>
      </c>
      <c r="I29" s="2919">
        <v>0.21</v>
      </c>
      <c r="J29" s="2919">
        <v>0.41</v>
      </c>
      <c r="K29" s="2919">
        <v>0.12</v>
      </c>
      <c r="L29" s="2920">
        <v>0.89</v>
      </c>
      <c r="N29" s="2898">
        <f t="shared" si="136"/>
        <v>2.0999999999999999E-3</v>
      </c>
      <c r="O29" s="2884">
        <f t="shared" si="132"/>
        <v>4.0999999999999995E-3</v>
      </c>
      <c r="P29" s="2884">
        <f t="shared" si="132"/>
        <v>1.1999999999999999E-3</v>
      </c>
      <c r="Q29" s="2884">
        <f t="shared" si="132"/>
        <v>8.8999999999999999E-3</v>
      </c>
      <c r="R29" s="2899"/>
      <c r="S29" s="2908"/>
      <c r="T29" s="2909"/>
      <c r="U29" s="2909"/>
      <c r="V29" s="2909"/>
      <c r="X29" s="2883">
        <f>ROUND(SUMPRODUCT(PRODUCT(1+N29:N$32)),4)</f>
        <v>1.0653999999999999</v>
      </c>
      <c r="Y29" s="2883">
        <f>ROUND(SUMPRODUCT(PRODUCT(1+O29:O$32)),4)</f>
        <v>1.0639000000000001</v>
      </c>
      <c r="Z29" s="2883">
        <f t="shared" si="44"/>
        <v>1.0639000000000001</v>
      </c>
      <c r="AA29" s="2883">
        <f>ROUND(SUMPRODUCT(PRODUCT(1+P29:P$32)),4)</f>
        <v>1.0677000000000001</v>
      </c>
      <c r="AB29" s="2883">
        <f>ROUND(SUMPRODUCT(PRODUCT(1+Q29:Q$32)),4)</f>
        <v>1.0456000000000001</v>
      </c>
      <c r="AD29" s="2884">
        <f>ROUND(AVERAGE(I29:I$32)/100,4)</f>
        <v>1.6E-2</v>
      </c>
      <c r="AE29" s="2884">
        <f>ROUND(AVERAGE(J29:J$32)/100,4)</f>
        <v>1.5599999999999999E-2</v>
      </c>
      <c r="AF29" s="2884">
        <f t="shared" si="1"/>
        <v>1.5599999999999999E-2</v>
      </c>
      <c r="AG29" s="2884">
        <f>ROUND(AVERAGE(K29:K$32)/100,4)</f>
        <v>1.66E-2</v>
      </c>
      <c r="AH29" s="2884">
        <f>ROUND(AVERAGE(L29:L$32)/100,4)</f>
        <v>1.12E-2</v>
      </c>
    </row>
    <row r="30" spans="1:34">
      <c r="A30" s="2895" t="s">
        <v>953</v>
      </c>
      <c r="B30" s="2896">
        <f t="shared" ref="B30:C32" si="139">B29/(1+N29)</f>
        <v>317.33359944117353</v>
      </c>
      <c r="C30" s="2896">
        <f t="shared" si="139"/>
        <v>266.90568668459315</v>
      </c>
      <c r="D30" s="2896">
        <f t="shared" si="134"/>
        <v>266.90568668459315</v>
      </c>
      <c r="E30" s="2896">
        <f t="shared" ref="E30:F32" si="140">E29/(1+P29)</f>
        <v>436.47622852576905</v>
      </c>
      <c r="F30" s="2896">
        <f t="shared" si="140"/>
        <v>234.90930716622066</v>
      </c>
      <c r="G30" s="3702"/>
      <c r="H30" s="2926">
        <v>3</v>
      </c>
      <c r="I30" s="2926">
        <v>0.83</v>
      </c>
      <c r="J30" s="2926">
        <v>1.47</v>
      </c>
      <c r="K30" s="2926">
        <v>0.65</v>
      </c>
      <c r="L30" s="2927">
        <v>0.72</v>
      </c>
      <c r="N30" s="2898">
        <f t="shared" si="136"/>
        <v>8.3000000000000001E-3</v>
      </c>
      <c r="O30" s="2884">
        <f t="shared" si="132"/>
        <v>1.47E-2</v>
      </c>
      <c r="P30" s="2884">
        <f t="shared" si="132"/>
        <v>6.5000000000000006E-3</v>
      </c>
      <c r="Q30" s="2884">
        <f t="shared" si="132"/>
        <v>7.1999999999999998E-3</v>
      </c>
      <c r="R30" s="2899"/>
      <c r="S30" s="2898"/>
      <c r="T30" s="2884"/>
      <c r="U30" s="2884"/>
      <c r="V30" s="2884"/>
      <c r="X30" s="2883">
        <f>ROUND(SUMPRODUCT(PRODUCT(1+N30:N$32)),4)</f>
        <v>1.0631999999999999</v>
      </c>
      <c r="Y30" s="2883">
        <f>ROUND(SUMPRODUCT(PRODUCT(1+O30:O$32)),4)</f>
        <v>1.0595000000000001</v>
      </c>
      <c r="Z30" s="2883">
        <f t="shared" si="44"/>
        <v>1.0595000000000001</v>
      </c>
      <c r="AA30" s="2883">
        <f>ROUND(SUMPRODUCT(PRODUCT(1+P30:P$32)),4)</f>
        <v>1.0664</v>
      </c>
      <c r="AB30" s="2883">
        <f>ROUND(SUMPRODUCT(PRODUCT(1+Q30:Q$32)),4)</f>
        <v>1.0364</v>
      </c>
      <c r="AD30" s="2884">
        <f>ROUND(AVERAGE(I30:I$32)/100,4)</f>
        <v>2.07E-2</v>
      </c>
      <c r="AE30" s="2884">
        <f>ROUND(AVERAGE(J30:J$32)/100,4)</f>
        <v>1.95E-2</v>
      </c>
      <c r="AF30" s="2884">
        <f t="shared" si="1"/>
        <v>1.95E-2</v>
      </c>
      <c r="AG30" s="2884">
        <f>ROUND(AVERAGE(K30:K$32)/100,4)</f>
        <v>2.1700000000000001E-2</v>
      </c>
      <c r="AH30" s="2884">
        <f>ROUND(AVERAGE(L30:L$32)/100,4)</f>
        <v>1.2E-2</v>
      </c>
    </row>
    <row r="31" spans="1:34" ht="13.5" thickBot="1">
      <c r="A31" s="2895" t="s">
        <v>952</v>
      </c>
      <c r="B31" s="2896">
        <f t="shared" si="139"/>
        <v>314.72141172386546</v>
      </c>
      <c r="C31" s="2896">
        <f t="shared" si="139"/>
        <v>263.03901319069001</v>
      </c>
      <c r="D31" s="2896">
        <f t="shared" si="134"/>
        <v>263.03901319069001</v>
      </c>
      <c r="E31" s="2896">
        <f t="shared" si="140"/>
        <v>433.65745506782821</v>
      </c>
      <c r="F31" s="2896">
        <f t="shared" si="140"/>
        <v>233.23005080045735</v>
      </c>
      <c r="G31" s="3702"/>
      <c r="H31" s="2919">
        <v>2</v>
      </c>
      <c r="I31" s="2919">
        <v>2.4</v>
      </c>
      <c r="J31" s="2919">
        <v>2.0299999999999998</v>
      </c>
      <c r="K31" s="2919">
        <v>2.59</v>
      </c>
      <c r="L31" s="2920">
        <v>1.52</v>
      </c>
      <c r="N31" s="2898">
        <f t="shared" si="136"/>
        <v>2.4E-2</v>
      </c>
      <c r="O31" s="2884">
        <f t="shared" si="132"/>
        <v>2.0299999999999999E-2</v>
      </c>
      <c r="P31" s="2884">
        <f t="shared" si="132"/>
        <v>2.5899999999999999E-2</v>
      </c>
      <c r="Q31" s="2884">
        <f t="shared" si="132"/>
        <v>1.52E-2</v>
      </c>
      <c r="R31" s="2899"/>
      <c r="S31" s="2898"/>
      <c r="T31" s="2884"/>
      <c r="U31" s="2884"/>
      <c r="V31" s="2884"/>
      <c r="X31" s="2883">
        <f>ROUND(SUMPRODUCT(PRODUCT(1+N31:N$32)),4)</f>
        <v>1.0544</v>
      </c>
      <c r="Y31" s="2883">
        <f>ROUND(SUMPRODUCT(PRODUCT(1+O31:O$32)),4)</f>
        <v>1.0442</v>
      </c>
      <c r="Z31" s="2883">
        <f t="shared" si="44"/>
        <v>1.0442</v>
      </c>
      <c r="AA31" s="2883">
        <f>ROUND(SUMPRODUCT(PRODUCT(1+P31:P$32)),4)</f>
        <v>1.0595000000000001</v>
      </c>
      <c r="AB31" s="2883">
        <f>ROUND(SUMPRODUCT(PRODUCT(1+Q31:Q$32)),4)</f>
        <v>1.0289999999999999</v>
      </c>
      <c r="AD31" s="2884">
        <f>ROUND(AVERAGE(I31:I$32)/100,4)</f>
        <v>2.69E-2</v>
      </c>
      <c r="AE31" s="2884">
        <f>ROUND(AVERAGE(J31:J$32)/100,4)</f>
        <v>2.1899999999999999E-2</v>
      </c>
      <c r="AF31" s="2884">
        <f t="shared" ref="AF31" si="141">AE31</f>
        <v>2.1899999999999999E-2</v>
      </c>
      <c r="AG31" s="2884">
        <f>ROUND(AVERAGE(K31:K$32)/100,4)</f>
        <v>2.9399999999999999E-2</v>
      </c>
      <c r="AH31" s="2884">
        <f>ROUND(AVERAGE(L31:L$32)/100,4)</f>
        <v>1.44E-2</v>
      </c>
    </row>
    <row r="32" spans="1:34" s="2932" customFormat="1" ht="13.5" thickBot="1">
      <c r="A32" s="2928" t="s">
        <v>951</v>
      </c>
      <c r="B32" s="2929">
        <f t="shared" si="139"/>
        <v>307.34512863658733</v>
      </c>
      <c r="C32" s="2929">
        <f t="shared" si="139"/>
        <v>257.80556031626975</v>
      </c>
      <c r="D32" s="2929">
        <f t="shared" si="134"/>
        <v>257.80556031626975</v>
      </c>
      <c r="E32" s="2929">
        <f t="shared" si="140"/>
        <v>422.70928459677179</v>
      </c>
      <c r="F32" s="2929">
        <f t="shared" si="140"/>
        <v>229.73803270336617</v>
      </c>
      <c r="G32" s="3705"/>
      <c r="H32" s="2930">
        <v>1</v>
      </c>
      <c r="I32" s="2930">
        <v>2.97</v>
      </c>
      <c r="J32" s="2930">
        <v>2.34</v>
      </c>
      <c r="K32" s="2930">
        <v>3.28</v>
      </c>
      <c r="L32" s="2931">
        <v>1.36</v>
      </c>
      <c r="N32" s="2933">
        <f t="shared" si="136"/>
        <v>2.9700000000000001E-2</v>
      </c>
      <c r="O32" s="2934">
        <f t="shared" si="132"/>
        <v>2.3399999999999997E-2</v>
      </c>
      <c r="P32" s="2934">
        <f t="shared" si="132"/>
        <v>3.2799999999999996E-2</v>
      </c>
      <c r="Q32" s="2934">
        <f t="shared" si="132"/>
        <v>1.3600000000000001E-2</v>
      </c>
      <c r="R32" s="2935"/>
      <c r="S32" s="2936">
        <f>B32/B33-1</f>
        <v>2.7910129219355539E-2</v>
      </c>
      <c r="T32" s="2937">
        <f>C32/C33-1</f>
        <v>2.3037937762975247E-2</v>
      </c>
      <c r="U32" s="2937">
        <f>E32/E33-1</f>
        <v>3.3519033243940788E-2</v>
      </c>
      <c r="V32" s="2937">
        <f>F32/F33-1</f>
        <v>1.2061818076502862E-2</v>
      </c>
      <c r="W32" s="2938" t="s">
        <v>2613</v>
      </c>
      <c r="X32" s="2939">
        <v>1</v>
      </c>
      <c r="Y32" s="2939">
        <v>1</v>
      </c>
      <c r="Z32" s="2939">
        <v>1</v>
      </c>
      <c r="AA32" s="2939">
        <v>1</v>
      </c>
      <c r="AB32" s="2939">
        <v>1</v>
      </c>
      <c r="AD32" s="2934">
        <f>I32/100</f>
        <v>2.9700000000000001E-2</v>
      </c>
      <c r="AE32" s="2934">
        <f>J32/100</f>
        <v>2.3399999999999997E-2</v>
      </c>
      <c r="AF32" s="2934">
        <f>AE32</f>
        <v>2.3399999999999997E-2</v>
      </c>
      <c r="AG32" s="2934">
        <f>K32/100</f>
        <v>3.2799999999999996E-2</v>
      </c>
      <c r="AH32" s="2934">
        <f>L32/100</f>
        <v>1.3600000000000001E-2</v>
      </c>
    </row>
    <row r="33" spans="1:26" ht="13.5" thickBot="1">
      <c r="A33" s="2895" t="s">
        <v>2556</v>
      </c>
      <c r="B33" s="2917">
        <v>299</v>
      </c>
      <c r="C33" s="2917">
        <v>252</v>
      </c>
      <c r="D33" s="2917">
        <f t="shared" si="134"/>
        <v>252</v>
      </c>
      <c r="E33" s="2917">
        <v>409</v>
      </c>
      <c r="F33" s="2918">
        <v>227</v>
      </c>
      <c r="G33" s="3709">
        <v>2013</v>
      </c>
      <c r="H33" s="2940">
        <v>4</v>
      </c>
      <c r="I33" s="2940">
        <v>1.83</v>
      </c>
      <c r="J33" s="2940">
        <v>1.68</v>
      </c>
      <c r="K33" s="2940">
        <v>1.97</v>
      </c>
      <c r="L33" s="2941">
        <v>0.87</v>
      </c>
      <c r="N33" s="2914">
        <f t="shared" si="136"/>
        <v>1.83E-2</v>
      </c>
      <c r="O33" s="2915">
        <f t="shared" si="132"/>
        <v>1.6799999999999999E-2</v>
      </c>
      <c r="P33" s="2915">
        <f t="shared" si="132"/>
        <v>1.9699999999999999E-2</v>
      </c>
      <c r="Q33" s="2915">
        <f t="shared" si="132"/>
        <v>8.6999999999999994E-3</v>
      </c>
      <c r="R33" s="2899"/>
      <c r="S33" s="2908"/>
      <c r="T33" s="2909"/>
      <c r="U33" s="2909"/>
      <c r="V33" s="2909"/>
      <c r="X33" s="2909"/>
      <c r="Y33" s="2909"/>
      <c r="Z33" s="2909"/>
    </row>
    <row r="34" spans="1:26">
      <c r="A34" s="2895" t="s">
        <v>2557</v>
      </c>
      <c r="B34" s="2896">
        <f t="shared" ref="B34:C36" si="142">B33/(1+N33)</f>
        <v>293.62663262299913</v>
      </c>
      <c r="C34" s="2896">
        <f t="shared" si="142"/>
        <v>247.83634933123525</v>
      </c>
      <c r="D34" s="2896">
        <f t="shared" si="134"/>
        <v>247.83634933123525</v>
      </c>
      <c r="E34" s="2896">
        <f t="shared" ref="E34:F36" si="143">E33/(1+P33)</f>
        <v>401.09836226341076</v>
      </c>
      <c r="F34" s="2896">
        <f t="shared" si="143"/>
        <v>225.04213343908003</v>
      </c>
      <c r="G34" s="3710"/>
      <c r="H34" s="2922">
        <v>3</v>
      </c>
      <c r="I34" s="2922">
        <v>1.86</v>
      </c>
      <c r="J34" s="2922">
        <v>1.72</v>
      </c>
      <c r="K34" s="2922">
        <v>1.98</v>
      </c>
      <c r="L34" s="2923">
        <v>0.88</v>
      </c>
      <c r="N34" s="2898">
        <f t="shared" si="136"/>
        <v>1.8600000000000002E-2</v>
      </c>
      <c r="O34" s="2916">
        <f t="shared" si="132"/>
        <v>1.72E-2</v>
      </c>
      <c r="P34" s="2916">
        <f t="shared" si="132"/>
        <v>1.9799999999999998E-2</v>
      </c>
      <c r="Q34" s="2916">
        <f t="shared" si="132"/>
        <v>8.8000000000000005E-3</v>
      </c>
      <c r="R34" s="2899"/>
      <c r="S34" s="2898"/>
      <c r="T34" s="2884"/>
      <c r="U34" s="2884"/>
      <c r="V34" s="2884"/>
    </row>
    <row r="35" spans="1:26">
      <c r="A35" s="2895" t="s">
        <v>2558</v>
      </c>
      <c r="B35" s="2896">
        <f t="shared" si="142"/>
        <v>288.2649053828776</v>
      </c>
      <c r="C35" s="2896">
        <f t="shared" si="142"/>
        <v>243.64564425013293</v>
      </c>
      <c r="D35" s="2896">
        <f t="shared" si="134"/>
        <v>243.64564425013293</v>
      </c>
      <c r="E35" s="2896">
        <f t="shared" si="143"/>
        <v>393.31080825986544</v>
      </c>
      <c r="F35" s="2896">
        <f t="shared" si="143"/>
        <v>223.07903790551154</v>
      </c>
      <c r="G35" s="3710"/>
      <c r="H35" s="2910">
        <v>2</v>
      </c>
      <c r="I35" s="2910">
        <v>2.04</v>
      </c>
      <c r="J35" s="2910">
        <v>2.33</v>
      </c>
      <c r="K35" s="2910">
        <v>2.0699999999999998</v>
      </c>
      <c r="L35" s="2911">
        <v>0.69</v>
      </c>
      <c r="N35" s="2898">
        <f t="shared" si="136"/>
        <v>2.0400000000000001E-2</v>
      </c>
      <c r="O35" s="2916">
        <f t="shared" si="132"/>
        <v>2.3300000000000001E-2</v>
      </c>
      <c r="P35" s="2916">
        <f t="shared" si="132"/>
        <v>2.07E-2</v>
      </c>
      <c r="Q35" s="2916">
        <f t="shared" si="132"/>
        <v>6.8999999999999999E-3</v>
      </c>
      <c r="R35" s="2899"/>
      <c r="S35" s="2898"/>
      <c r="T35" s="2884"/>
      <c r="U35" s="2884"/>
      <c r="V35" s="2884"/>
      <c r="X35" s="2942"/>
      <c r="Y35" s="2943"/>
    </row>
    <row r="36" spans="1:26">
      <c r="A36" s="2895" t="s">
        <v>2559</v>
      </c>
      <c r="B36" s="2896">
        <f t="shared" si="142"/>
        <v>282.50186729015837</v>
      </c>
      <c r="C36" s="2896">
        <f t="shared" si="142"/>
        <v>238.09796174155468</v>
      </c>
      <c r="D36" s="2896">
        <f t="shared" si="134"/>
        <v>238.09796174155468</v>
      </c>
      <c r="E36" s="2896">
        <f t="shared" si="143"/>
        <v>385.33438646014054</v>
      </c>
      <c r="F36" s="2896">
        <f t="shared" si="143"/>
        <v>221.55034055567739</v>
      </c>
      <c r="G36" s="3711"/>
      <c r="H36" s="2897">
        <v>1</v>
      </c>
      <c r="I36" s="2897">
        <v>1.67</v>
      </c>
      <c r="J36" s="2897">
        <v>1.31</v>
      </c>
      <c r="K36" s="2897">
        <v>1.85</v>
      </c>
      <c r="L36" s="2903">
        <v>0.96</v>
      </c>
      <c r="N36" s="2900">
        <f t="shared" si="136"/>
        <v>1.67E-2</v>
      </c>
      <c r="O36" s="2901">
        <f t="shared" si="132"/>
        <v>1.3100000000000001E-2</v>
      </c>
      <c r="P36" s="2901">
        <f t="shared" si="132"/>
        <v>1.8500000000000003E-2</v>
      </c>
      <c r="Q36" s="2901">
        <f t="shared" si="132"/>
        <v>9.5999999999999992E-3</v>
      </c>
      <c r="R36" s="2899"/>
      <c r="S36" s="2900">
        <f>B36/B37-1</f>
        <v>1.6193767230785472E-2</v>
      </c>
      <c r="T36" s="2901">
        <f>C36/C37-1</f>
        <v>1.7512657015190891E-2</v>
      </c>
      <c r="U36" s="2901">
        <f>E36/E37-1</f>
        <v>1.6713420739157048E-2</v>
      </c>
      <c r="V36" s="2901">
        <f>F36/F37-1</f>
        <v>7.0470025258062563E-3</v>
      </c>
      <c r="X36" s="2944"/>
      <c r="Y36" s="2884"/>
      <c r="Z36" s="2884"/>
    </row>
    <row r="37" spans="1:26" ht="13.5" thickBot="1">
      <c r="A37" s="2895" t="s">
        <v>2560</v>
      </c>
      <c r="B37" s="2945">
        <v>278</v>
      </c>
      <c r="C37" s="2945">
        <v>234</v>
      </c>
      <c r="D37" s="2945">
        <f t="shared" si="134"/>
        <v>234</v>
      </c>
      <c r="E37" s="2945">
        <v>379</v>
      </c>
      <c r="F37" s="2946">
        <v>220</v>
      </c>
      <c r="G37" s="3704">
        <v>2012</v>
      </c>
      <c r="H37" s="2919">
        <v>4</v>
      </c>
      <c r="I37" s="2919">
        <v>0.91</v>
      </c>
      <c r="J37" s="2919">
        <v>0.68</v>
      </c>
      <c r="K37" s="2919">
        <v>0.98</v>
      </c>
      <c r="L37" s="2920">
        <v>0.9</v>
      </c>
      <c r="N37" s="2898">
        <f t="shared" si="136"/>
        <v>9.1000000000000004E-3</v>
      </c>
      <c r="O37" s="2884">
        <f t="shared" si="136"/>
        <v>6.8000000000000005E-3</v>
      </c>
      <c r="P37" s="2884">
        <f t="shared" si="136"/>
        <v>9.7999999999999997E-3</v>
      </c>
      <c r="Q37" s="2884">
        <f t="shared" si="136"/>
        <v>9.0000000000000011E-3</v>
      </c>
      <c r="R37" s="2899"/>
      <c r="S37" s="2908"/>
      <c r="T37" s="2909"/>
      <c r="U37" s="2909"/>
      <c r="V37" s="2909"/>
      <c r="X37" s="2909"/>
      <c r="Y37" s="2909"/>
      <c r="Z37" s="2909"/>
    </row>
    <row r="38" spans="1:26">
      <c r="A38" s="2895" t="s">
        <v>2561</v>
      </c>
      <c r="B38" s="2896">
        <f>B37/(1+N37)</f>
        <v>275.49301357645425</v>
      </c>
      <c r="C38" s="2896">
        <f>C37/(1+O37)</f>
        <v>232.41954707985698</v>
      </c>
      <c r="D38" s="2896">
        <f t="shared" si="134"/>
        <v>232.41954707985698</v>
      </c>
      <c r="E38" s="2896">
        <f t="shared" ref="E38:F40" si="144">E37/(1+P37)</f>
        <v>375.32184591008121</v>
      </c>
      <c r="F38" s="2896">
        <f t="shared" si="144"/>
        <v>218.03766105054513</v>
      </c>
      <c r="G38" s="3702"/>
      <c r="H38" s="2922">
        <v>3</v>
      </c>
      <c r="I38" s="2922">
        <v>0.09</v>
      </c>
      <c r="J38" s="2922">
        <v>0.28999999999999998</v>
      </c>
      <c r="K38" s="2922">
        <v>-0.01</v>
      </c>
      <c r="L38" s="2923">
        <v>0.57999999999999996</v>
      </c>
      <c r="N38" s="2898">
        <f t="shared" si="136"/>
        <v>8.9999999999999998E-4</v>
      </c>
      <c r="O38" s="2884">
        <f t="shared" si="136"/>
        <v>2.8999999999999998E-3</v>
      </c>
      <c r="P38" s="2884">
        <f t="shared" si="136"/>
        <v>-1E-4</v>
      </c>
      <c r="Q38" s="2884">
        <f t="shared" si="136"/>
        <v>5.7999999999999996E-3</v>
      </c>
      <c r="R38" s="2899"/>
      <c r="S38" s="2898"/>
      <c r="T38" s="2884"/>
      <c r="U38" s="2884"/>
      <c r="V38" s="2884"/>
    </row>
    <row r="39" spans="1:26">
      <c r="A39" s="2895" t="s">
        <v>2562</v>
      </c>
      <c r="B39" s="2896">
        <f>B38/(1+N38)</f>
        <v>275.24529281292263</v>
      </c>
      <c r="C39" s="2896">
        <f>C38/(1+O38)</f>
        <v>231.74747938962707</v>
      </c>
      <c r="D39" s="2896">
        <f t="shared" si="134"/>
        <v>231.74747938962707</v>
      </c>
      <c r="E39" s="2896">
        <f t="shared" si="144"/>
        <v>375.35938184826603</v>
      </c>
      <c r="F39" s="2896">
        <f t="shared" si="144"/>
        <v>216.78033510692495</v>
      </c>
      <c r="G39" s="3702"/>
      <c r="H39" s="2910">
        <v>2</v>
      </c>
      <c r="I39" s="2910">
        <v>0.02</v>
      </c>
      <c r="J39" s="2910">
        <v>0.12</v>
      </c>
      <c r="K39" s="2910">
        <v>-0.08</v>
      </c>
      <c r="L39" s="2911">
        <v>1.24</v>
      </c>
      <c r="N39" s="2898">
        <f t="shared" si="136"/>
        <v>2.0000000000000001E-4</v>
      </c>
      <c r="O39" s="2884">
        <f t="shared" si="136"/>
        <v>1.1999999999999999E-3</v>
      </c>
      <c r="P39" s="2884">
        <f t="shared" si="136"/>
        <v>-8.0000000000000004E-4</v>
      </c>
      <c r="Q39" s="2884">
        <f t="shared" si="136"/>
        <v>1.24E-2</v>
      </c>
      <c r="R39" s="2899"/>
      <c r="S39" s="2898"/>
      <c r="T39" s="2884"/>
      <c r="U39" s="2884"/>
      <c r="V39" s="2884"/>
    </row>
    <row r="40" spans="1:26" ht="13.5" thickBot="1">
      <c r="A40" s="2895" t="s">
        <v>2563</v>
      </c>
      <c r="B40" s="2896">
        <f>B39/(1+N39)</f>
        <v>275.19025476197027</v>
      </c>
      <c r="C40" s="2947">
        <v>232</v>
      </c>
      <c r="D40" s="2947">
        <f t="shared" si="134"/>
        <v>232</v>
      </c>
      <c r="E40" s="2896">
        <f t="shared" si="144"/>
        <v>375.65990977608692</v>
      </c>
      <c r="F40" s="2896">
        <f t="shared" si="144"/>
        <v>214.12518283971252</v>
      </c>
      <c r="G40" s="3705"/>
      <c r="H40" s="2897">
        <v>1</v>
      </c>
      <c r="I40" s="2897">
        <v>0.02</v>
      </c>
      <c r="J40" s="2897">
        <v>0.13</v>
      </c>
      <c r="K40" s="2897">
        <v>-0.04</v>
      </c>
      <c r="L40" s="2903">
        <v>0.46</v>
      </c>
      <c r="N40" s="2898">
        <f t="shared" si="136"/>
        <v>2.0000000000000001E-4</v>
      </c>
      <c r="O40" s="2884">
        <f t="shared" si="136"/>
        <v>1.2999999999999999E-3</v>
      </c>
      <c r="P40" s="2884">
        <f t="shared" si="136"/>
        <v>-4.0000000000000002E-4</v>
      </c>
      <c r="Q40" s="2884">
        <f t="shared" si="136"/>
        <v>4.5999999999999999E-3</v>
      </c>
      <c r="R40" s="2899"/>
      <c r="S40" s="2900">
        <f>B40/B41-1</f>
        <v>6.9183549807361189E-4</v>
      </c>
      <c r="T40" s="2901">
        <f>C40/C41-1</f>
        <v>0</v>
      </c>
      <c r="U40" s="2901">
        <f>E40/E41-1</f>
        <v>-9.0449527636460303E-4</v>
      </c>
      <c r="V40" s="2901">
        <f>F40/F41-1</f>
        <v>5.2825485432512753E-3</v>
      </c>
      <c r="X40" s="2884"/>
      <c r="Y40" s="2884"/>
      <c r="Z40" s="2884"/>
    </row>
    <row r="41" spans="1:26" ht="13.5" thickBot="1">
      <c r="A41" s="2895" t="s">
        <v>2564</v>
      </c>
      <c r="B41" s="2917">
        <v>275</v>
      </c>
      <c r="C41" s="2917">
        <v>232</v>
      </c>
      <c r="D41" s="2917">
        <f t="shared" si="134"/>
        <v>232</v>
      </c>
      <c r="E41" s="2917">
        <v>376</v>
      </c>
      <c r="F41" s="2918">
        <v>213</v>
      </c>
      <c r="G41" s="3704">
        <v>2011</v>
      </c>
      <c r="H41" s="2919">
        <v>4</v>
      </c>
      <c r="I41" s="2919">
        <v>-0.2</v>
      </c>
      <c r="J41" s="2919">
        <v>0.04</v>
      </c>
      <c r="K41" s="2919">
        <v>-0.34</v>
      </c>
      <c r="L41" s="2920">
        <v>0.46</v>
      </c>
      <c r="N41" s="2914">
        <f t="shared" si="136"/>
        <v>-2E-3</v>
      </c>
      <c r="O41" s="2915">
        <f t="shared" si="136"/>
        <v>4.0000000000000002E-4</v>
      </c>
      <c r="P41" s="2915">
        <f t="shared" si="136"/>
        <v>-3.4000000000000002E-3</v>
      </c>
      <c r="Q41" s="2915">
        <f t="shared" si="136"/>
        <v>4.5999999999999999E-3</v>
      </c>
      <c r="R41" s="2899"/>
      <c r="S41" s="2908"/>
      <c r="T41" s="2909"/>
      <c r="U41" s="2909"/>
      <c r="V41" s="2909"/>
      <c r="X41" s="2909"/>
      <c r="Y41" s="2909"/>
      <c r="Z41" s="2909"/>
    </row>
    <row r="42" spans="1:26">
      <c r="A42" s="2895" t="s">
        <v>2565</v>
      </c>
      <c r="B42" s="2896">
        <f t="shared" ref="B42:C44" si="145">B41/(1+N41)</f>
        <v>275.55110220440883</v>
      </c>
      <c r="C42" s="2896">
        <f t="shared" si="145"/>
        <v>231.90723710515795</v>
      </c>
      <c r="D42" s="2896">
        <f t="shared" si="134"/>
        <v>231.90723710515795</v>
      </c>
      <c r="E42" s="2896">
        <f t="shared" ref="E42:F44" si="146">E41/(1+P41)</f>
        <v>377.28276138872161</v>
      </c>
      <c r="F42" s="2896">
        <f t="shared" si="146"/>
        <v>212.02468644236512</v>
      </c>
      <c r="G42" s="3702">
        <v>2011</v>
      </c>
      <c r="H42" s="2922">
        <v>3</v>
      </c>
      <c r="I42" s="2922">
        <v>0.13</v>
      </c>
      <c r="J42" s="2922">
        <v>0.75</v>
      </c>
      <c r="K42" s="2922">
        <v>-0.08</v>
      </c>
      <c r="L42" s="2923">
        <v>0.53</v>
      </c>
      <c r="N42" s="2898">
        <f t="shared" si="136"/>
        <v>1.2999999999999999E-3</v>
      </c>
      <c r="O42" s="2916">
        <f t="shared" si="136"/>
        <v>7.4999999999999997E-3</v>
      </c>
      <c r="P42" s="2916">
        <f t="shared" si="136"/>
        <v>-8.0000000000000004E-4</v>
      </c>
      <c r="Q42" s="2916">
        <f t="shared" si="136"/>
        <v>5.3E-3</v>
      </c>
      <c r="R42" s="2899"/>
      <c r="S42" s="2898"/>
      <c r="T42" s="2884"/>
      <c r="U42" s="2884"/>
      <c r="V42" s="2884"/>
    </row>
    <row r="43" spans="1:26">
      <c r="A43" s="2895" t="s">
        <v>2566</v>
      </c>
      <c r="B43" s="2896">
        <f t="shared" si="145"/>
        <v>275.19335084830601</v>
      </c>
      <c r="C43" s="2896">
        <f t="shared" si="145"/>
        <v>230.18088050139744</v>
      </c>
      <c r="D43" s="2896">
        <f t="shared" si="134"/>
        <v>230.18088050139744</v>
      </c>
      <c r="E43" s="2896">
        <f t="shared" si="146"/>
        <v>377.58482925212331</v>
      </c>
      <c r="F43" s="2896">
        <f t="shared" si="146"/>
        <v>210.90687997847917</v>
      </c>
      <c r="G43" s="3702">
        <v>2011</v>
      </c>
      <c r="H43" s="2910">
        <v>2</v>
      </c>
      <c r="I43" s="2910">
        <v>-0.4</v>
      </c>
      <c r="J43" s="2910">
        <v>0.17</v>
      </c>
      <c r="K43" s="2910">
        <v>-0.57999999999999996</v>
      </c>
      <c r="L43" s="2911">
        <v>-0.2</v>
      </c>
      <c r="N43" s="2898">
        <f t="shared" si="136"/>
        <v>-4.0000000000000001E-3</v>
      </c>
      <c r="O43" s="2916">
        <f t="shared" si="136"/>
        <v>1.7000000000000001E-3</v>
      </c>
      <c r="P43" s="2916">
        <f t="shared" si="136"/>
        <v>-5.7999999999999996E-3</v>
      </c>
      <c r="Q43" s="2916">
        <f t="shared" si="136"/>
        <v>-2E-3</v>
      </c>
      <c r="R43" s="2899"/>
      <c r="S43" s="2898"/>
      <c r="T43" s="2884"/>
      <c r="U43" s="2884"/>
      <c r="V43" s="2884"/>
    </row>
    <row r="44" spans="1:26" ht="13.5" thickBot="1">
      <c r="A44" s="2895" t="s">
        <v>2567</v>
      </c>
      <c r="B44" s="2896">
        <f t="shared" si="145"/>
        <v>276.29854502841971</v>
      </c>
      <c r="C44" s="2896">
        <f t="shared" si="145"/>
        <v>229.79023709833027</v>
      </c>
      <c r="D44" s="2896">
        <f t="shared" si="134"/>
        <v>229.79023709833027</v>
      </c>
      <c r="E44" s="2896">
        <f t="shared" si="146"/>
        <v>379.78759731655936</v>
      </c>
      <c r="F44" s="2896">
        <f t="shared" si="146"/>
        <v>211.32953905659235</v>
      </c>
      <c r="G44" s="3705">
        <v>2011</v>
      </c>
      <c r="H44" s="2897">
        <v>1</v>
      </c>
      <c r="I44" s="2897">
        <v>2.65</v>
      </c>
      <c r="J44" s="2897">
        <v>3.76</v>
      </c>
      <c r="K44" s="2897">
        <v>1.89</v>
      </c>
      <c r="L44" s="2903">
        <v>7.95</v>
      </c>
      <c r="N44" s="2900">
        <f t="shared" si="136"/>
        <v>2.6499999999999999E-2</v>
      </c>
      <c r="O44" s="2901">
        <f t="shared" si="136"/>
        <v>3.7599999999999995E-2</v>
      </c>
      <c r="P44" s="2901">
        <f t="shared" si="136"/>
        <v>1.89E-2</v>
      </c>
      <c r="Q44" s="2901">
        <f t="shared" si="136"/>
        <v>7.9500000000000001E-2</v>
      </c>
      <c r="R44" s="2899"/>
      <c r="S44" s="2900">
        <f>B44/B45-1</f>
        <v>2.713213765211786E-2</v>
      </c>
      <c r="T44" s="2901">
        <f>C44/C45-1</f>
        <v>3.9774828499231862E-2</v>
      </c>
      <c r="U44" s="2901">
        <f>E44/E45-1</f>
        <v>1.8197311840641772E-2</v>
      </c>
      <c r="V44" s="2901">
        <f>F44/F45-1</f>
        <v>7.8211933962205826E-2</v>
      </c>
      <c r="X44" s="2884"/>
      <c r="Y44" s="2884"/>
      <c r="Z44" s="2884"/>
    </row>
    <row r="45" spans="1:26" ht="13.5" thickBot="1">
      <c r="A45" s="2895" t="s">
        <v>2568</v>
      </c>
      <c r="B45" s="2917">
        <v>269</v>
      </c>
      <c r="C45" s="2917">
        <v>221</v>
      </c>
      <c r="D45" s="2917">
        <f t="shared" si="134"/>
        <v>221</v>
      </c>
      <c r="E45" s="2917">
        <v>373</v>
      </c>
      <c r="F45" s="2918">
        <v>196</v>
      </c>
      <c r="G45" s="3704">
        <v>2010</v>
      </c>
      <c r="H45" s="2919">
        <v>4</v>
      </c>
      <c r="I45" s="2919">
        <v>5.72</v>
      </c>
      <c r="J45" s="2919">
        <v>6.57</v>
      </c>
      <c r="K45" s="2919">
        <v>5.72</v>
      </c>
      <c r="L45" s="2920">
        <v>2.72</v>
      </c>
      <c r="N45" s="2898">
        <f t="shared" si="136"/>
        <v>5.7200000000000001E-2</v>
      </c>
      <c r="O45" s="2884">
        <f t="shared" si="136"/>
        <v>6.5700000000000008E-2</v>
      </c>
      <c r="P45" s="2884">
        <f t="shared" si="136"/>
        <v>5.7200000000000001E-2</v>
      </c>
      <c r="Q45" s="2884">
        <f t="shared" si="136"/>
        <v>2.7200000000000002E-2</v>
      </c>
      <c r="R45" s="2899"/>
      <c r="S45" s="2908"/>
      <c r="T45" s="2909"/>
      <c r="U45" s="2909"/>
      <c r="V45" s="2909"/>
      <c r="X45" s="2909"/>
      <c r="Y45" s="2909"/>
      <c r="Z45" s="2909"/>
    </row>
    <row r="46" spans="1:26">
      <c r="A46" s="2895" t="s">
        <v>2569</v>
      </c>
      <c r="B46" s="2896">
        <f t="shared" ref="B46:C48" si="147">B45/(1+N45)</f>
        <v>254.44570563753314</v>
      </c>
      <c r="C46" s="2896">
        <f t="shared" si="147"/>
        <v>207.37543398705074</v>
      </c>
      <c r="D46" s="2896">
        <f t="shared" si="134"/>
        <v>207.37543398705074</v>
      </c>
      <c r="E46" s="2896">
        <f t="shared" ref="E46:F48" si="148">E45/(1+P45)</f>
        <v>352.81876655315932</v>
      </c>
      <c r="F46" s="2896">
        <f t="shared" si="148"/>
        <v>190.809968847352</v>
      </c>
      <c r="G46" s="3702">
        <v>2010</v>
      </c>
      <c r="H46" s="2922">
        <v>3</v>
      </c>
      <c r="I46" s="2922">
        <v>4.7300000000000004</v>
      </c>
      <c r="J46" s="2922">
        <v>3.9</v>
      </c>
      <c r="K46" s="2922">
        <v>5.03</v>
      </c>
      <c r="L46" s="2923">
        <v>4.21</v>
      </c>
      <c r="N46" s="2898">
        <f t="shared" si="136"/>
        <v>4.7300000000000002E-2</v>
      </c>
      <c r="O46" s="2884">
        <f t="shared" si="136"/>
        <v>3.9E-2</v>
      </c>
      <c r="P46" s="2884">
        <f t="shared" si="136"/>
        <v>5.0300000000000004E-2</v>
      </c>
      <c r="Q46" s="2884">
        <f t="shared" si="136"/>
        <v>4.2099999999999999E-2</v>
      </c>
      <c r="R46" s="2899"/>
      <c r="S46" s="2898"/>
      <c r="T46" s="2884"/>
      <c r="U46" s="2884"/>
      <c r="V46" s="2884"/>
    </row>
    <row r="47" spans="1:26">
      <c r="A47" s="2895" t="s">
        <v>2570</v>
      </c>
      <c r="B47" s="2896">
        <f t="shared" si="147"/>
        <v>242.95398227588385</v>
      </c>
      <c r="C47" s="2896">
        <f t="shared" si="147"/>
        <v>199.59137053614126</v>
      </c>
      <c r="D47" s="2896">
        <f t="shared" si="134"/>
        <v>199.59137053614126</v>
      </c>
      <c r="E47" s="2896">
        <f t="shared" si="148"/>
        <v>335.92189522342125</v>
      </c>
      <c r="F47" s="2896">
        <f t="shared" si="148"/>
        <v>183.10139991109489</v>
      </c>
      <c r="G47" s="3702">
        <v>2010</v>
      </c>
      <c r="H47" s="2910">
        <v>2</v>
      </c>
      <c r="I47" s="2910">
        <v>4.6900000000000004</v>
      </c>
      <c r="J47" s="2910">
        <v>3.55</v>
      </c>
      <c r="K47" s="2910">
        <v>5.07</v>
      </c>
      <c r="L47" s="2911">
        <v>4.2300000000000004</v>
      </c>
      <c r="N47" s="2898">
        <f t="shared" si="136"/>
        <v>4.6900000000000004E-2</v>
      </c>
      <c r="O47" s="2884">
        <f t="shared" si="136"/>
        <v>3.5499999999999997E-2</v>
      </c>
      <c r="P47" s="2884">
        <f t="shared" si="136"/>
        <v>5.0700000000000002E-2</v>
      </c>
      <c r="Q47" s="2884">
        <f t="shared" si="136"/>
        <v>4.2300000000000004E-2</v>
      </c>
      <c r="R47" s="2899"/>
      <c r="S47" s="2898"/>
      <c r="T47" s="2884"/>
      <c r="U47" s="2884"/>
      <c r="V47" s="2884"/>
    </row>
    <row r="48" spans="1:26" ht="13.5" thickBot="1">
      <c r="A48" s="2895" t="s">
        <v>2571</v>
      </c>
      <c r="B48" s="2896">
        <f t="shared" si="147"/>
        <v>232.06990378821649</v>
      </c>
      <c r="C48" s="2896">
        <f t="shared" si="147"/>
        <v>192.74878854286936</v>
      </c>
      <c r="D48" s="2896">
        <f t="shared" si="134"/>
        <v>192.74878854286936</v>
      </c>
      <c r="E48" s="2896">
        <f t="shared" si="148"/>
        <v>319.71247284992984</v>
      </c>
      <c r="F48" s="2896">
        <f t="shared" si="148"/>
        <v>175.67053622862409</v>
      </c>
      <c r="G48" s="3705">
        <v>2010</v>
      </c>
      <c r="H48" s="2897">
        <v>1</v>
      </c>
      <c r="I48" s="2897">
        <v>5.4</v>
      </c>
      <c r="J48" s="2897">
        <v>3.2</v>
      </c>
      <c r="K48" s="2897">
        <v>6.16</v>
      </c>
      <c r="L48" s="2903">
        <v>4.51</v>
      </c>
      <c r="N48" s="2898">
        <f t="shared" si="136"/>
        <v>5.4000000000000006E-2</v>
      </c>
      <c r="O48" s="2884">
        <f t="shared" si="136"/>
        <v>3.2000000000000001E-2</v>
      </c>
      <c r="P48" s="2884">
        <f t="shared" si="136"/>
        <v>6.1600000000000002E-2</v>
      </c>
      <c r="Q48" s="2884">
        <f t="shared" si="136"/>
        <v>4.5100000000000001E-2</v>
      </c>
      <c r="R48" s="2899"/>
      <c r="S48" s="2900">
        <f>B48/B49-1</f>
        <v>5.4863199037347599E-2</v>
      </c>
      <c r="T48" s="2901">
        <f>C48/C49-1</f>
        <v>3.0742184721226584E-2</v>
      </c>
      <c r="U48" s="2901">
        <f>E48/E49-1</f>
        <v>6.2167683886810154E-2</v>
      </c>
      <c r="V48" s="2901">
        <f>F48/F49-1</f>
        <v>4.5657953741810031E-2</v>
      </c>
      <c r="X48" s="2884"/>
      <c r="Y48" s="2884"/>
      <c r="Z48" s="2884"/>
    </row>
    <row r="49" spans="1:26" ht="13.5" thickBot="1">
      <c r="A49" s="2895" t="s">
        <v>2572</v>
      </c>
      <c r="B49" s="2917">
        <v>220</v>
      </c>
      <c r="C49" s="2917">
        <v>187</v>
      </c>
      <c r="D49" s="2917">
        <f t="shared" si="134"/>
        <v>187</v>
      </c>
      <c r="E49" s="2917">
        <v>301</v>
      </c>
      <c r="F49" s="2918">
        <v>168</v>
      </c>
      <c r="G49" s="3704">
        <v>2009</v>
      </c>
      <c r="H49" s="2919">
        <v>4</v>
      </c>
      <c r="I49" s="2919">
        <v>2.2999999999999998</v>
      </c>
      <c r="J49" s="2919">
        <v>1.04</v>
      </c>
      <c r="K49" s="2919">
        <v>2.84</v>
      </c>
      <c r="L49" s="2920">
        <v>0.67</v>
      </c>
      <c r="N49" s="2914">
        <f t="shared" si="136"/>
        <v>2.3E-2</v>
      </c>
      <c r="O49" s="2915">
        <f t="shared" si="136"/>
        <v>1.04E-2</v>
      </c>
      <c r="P49" s="2915">
        <f t="shared" si="136"/>
        <v>2.8399999999999998E-2</v>
      </c>
      <c r="Q49" s="2915">
        <f t="shared" si="136"/>
        <v>6.7000000000000002E-3</v>
      </c>
      <c r="R49" s="2899"/>
      <c r="S49" s="2908"/>
      <c r="T49" s="2909"/>
      <c r="U49" s="2909"/>
      <c r="V49" s="2909"/>
      <c r="X49" s="2909"/>
      <c r="Y49" s="2909"/>
      <c r="Z49" s="2909"/>
    </row>
    <row r="50" spans="1:26">
      <c r="A50" s="2895" t="s">
        <v>2573</v>
      </c>
      <c r="B50" s="2896">
        <f t="shared" ref="B50:C52" si="149">B49/(1+N49)</f>
        <v>215.05376344086022</v>
      </c>
      <c r="C50" s="2896">
        <f t="shared" si="149"/>
        <v>185.0752177355503</v>
      </c>
      <c r="D50" s="2896">
        <f t="shared" si="134"/>
        <v>185.0752177355503</v>
      </c>
      <c r="E50" s="2896">
        <f t="shared" ref="E50:F52" si="150">E49/(1+P49)</f>
        <v>292.68767016725008</v>
      </c>
      <c r="F50" s="2896">
        <f t="shared" si="150"/>
        <v>166.88189132810174</v>
      </c>
      <c r="G50" s="3702">
        <v>2009</v>
      </c>
      <c r="H50" s="2922">
        <v>3</v>
      </c>
      <c r="I50" s="2922">
        <v>2.1</v>
      </c>
      <c r="J50" s="2922">
        <v>1.86</v>
      </c>
      <c r="K50" s="2922">
        <v>2.29</v>
      </c>
      <c r="L50" s="2923">
        <v>0.85</v>
      </c>
      <c r="N50" s="2898">
        <f t="shared" si="136"/>
        <v>2.1000000000000001E-2</v>
      </c>
      <c r="O50" s="2916">
        <f t="shared" si="136"/>
        <v>1.8600000000000002E-2</v>
      </c>
      <c r="P50" s="2916">
        <f t="shared" si="136"/>
        <v>2.29E-2</v>
      </c>
      <c r="Q50" s="2916">
        <f t="shared" si="136"/>
        <v>8.5000000000000006E-3</v>
      </c>
      <c r="R50" s="2899"/>
      <c r="S50" s="2898"/>
      <c r="T50" s="2884"/>
      <c r="U50" s="2884"/>
      <c r="V50" s="2884"/>
    </row>
    <row r="51" spans="1:26">
      <c r="A51" s="2895" t="s">
        <v>2574</v>
      </c>
      <c r="B51" s="2896">
        <f t="shared" si="149"/>
        <v>210.630522469011</v>
      </c>
      <c r="C51" s="2896">
        <f t="shared" si="149"/>
        <v>181.69567812247232</v>
      </c>
      <c r="D51" s="2896">
        <f t="shared" si="134"/>
        <v>181.69567812247232</v>
      </c>
      <c r="E51" s="2896">
        <f t="shared" si="150"/>
        <v>286.13517466736738</v>
      </c>
      <c r="F51" s="2896">
        <f t="shared" si="150"/>
        <v>165.47535084591149</v>
      </c>
      <c r="G51" s="3702">
        <v>2009</v>
      </c>
      <c r="H51" s="2910">
        <v>2</v>
      </c>
      <c r="I51" s="2910">
        <v>0.86</v>
      </c>
      <c r="J51" s="2910">
        <v>-1.1299999999999999</v>
      </c>
      <c r="K51" s="2910">
        <v>1.79</v>
      </c>
      <c r="L51" s="2911">
        <v>-2.0699999999999998</v>
      </c>
      <c r="N51" s="2898">
        <f t="shared" si="136"/>
        <v>8.6E-3</v>
      </c>
      <c r="O51" s="2916">
        <f t="shared" si="136"/>
        <v>-1.1299999999999999E-2</v>
      </c>
      <c r="P51" s="2916">
        <f t="shared" si="136"/>
        <v>1.7899999999999999E-2</v>
      </c>
      <c r="Q51" s="2916">
        <f t="shared" si="136"/>
        <v>-2.07E-2</v>
      </c>
      <c r="R51" s="2899"/>
      <c r="S51" s="2898"/>
      <c r="T51" s="2884"/>
      <c r="U51" s="2884"/>
      <c r="V51" s="2884"/>
    </row>
    <row r="52" spans="1:26">
      <c r="A52" s="2895" t="s">
        <v>2575</v>
      </c>
      <c r="B52" s="2896">
        <f t="shared" si="149"/>
        <v>208.83454537875372</v>
      </c>
      <c r="C52" s="2896">
        <f t="shared" si="149"/>
        <v>183.77230517090351</v>
      </c>
      <c r="D52" s="2896">
        <f t="shared" si="134"/>
        <v>183.77230517090351</v>
      </c>
      <c r="E52" s="2896">
        <f t="shared" si="150"/>
        <v>281.10342338870947</v>
      </c>
      <c r="F52" s="2896">
        <f t="shared" si="150"/>
        <v>168.97309388942256</v>
      </c>
      <c r="G52" s="3705">
        <v>2009</v>
      </c>
      <c r="H52" s="2897">
        <v>1</v>
      </c>
      <c r="I52" s="2897">
        <v>-2.64</v>
      </c>
      <c r="J52" s="2897">
        <v>-2.5299999999999998</v>
      </c>
      <c r="K52" s="2897">
        <v>-3.02</v>
      </c>
      <c r="L52" s="2903">
        <v>1.52</v>
      </c>
      <c r="N52" s="2900">
        <f t="shared" si="136"/>
        <v>-2.64E-2</v>
      </c>
      <c r="O52" s="2901">
        <f t="shared" si="136"/>
        <v>-2.53E-2</v>
      </c>
      <c r="P52" s="2901">
        <f t="shared" si="136"/>
        <v>-3.0200000000000001E-2</v>
      </c>
      <c r="Q52" s="2901">
        <f t="shared" si="136"/>
        <v>1.52E-2</v>
      </c>
      <c r="R52" s="2899"/>
      <c r="S52" s="2900">
        <f>B52/B53-1</f>
        <v>-2.4137638417038754E-2</v>
      </c>
      <c r="T52" s="2901">
        <f>C52/C53-1</f>
        <v>-2.248773845264096E-2</v>
      </c>
      <c r="U52" s="2901">
        <f>E52/E53-1</f>
        <v>-2.7323794502735366E-2</v>
      </c>
      <c r="V52" s="2901">
        <f>F52/F53-1</f>
        <v>1.7910204153148035E-2</v>
      </c>
      <c r="X52" s="2884"/>
      <c r="Y52" s="2884"/>
      <c r="Z52" s="2884"/>
    </row>
    <row r="53" spans="1:26" ht="13.5" thickBot="1">
      <c r="A53" s="2895" t="s">
        <v>2576</v>
      </c>
      <c r="B53" s="2945">
        <v>214</v>
      </c>
      <c r="C53" s="2945">
        <v>188</v>
      </c>
      <c r="D53" s="2945">
        <f t="shared" si="134"/>
        <v>188</v>
      </c>
      <c r="E53" s="2945">
        <v>289</v>
      </c>
      <c r="F53" s="2946">
        <v>166</v>
      </c>
      <c r="G53" s="3704">
        <v>2008</v>
      </c>
      <c r="H53" s="2919">
        <v>4</v>
      </c>
      <c r="I53" s="2919">
        <v>1.73</v>
      </c>
      <c r="J53" s="2919">
        <v>0.03</v>
      </c>
      <c r="K53" s="2919">
        <v>2.59</v>
      </c>
      <c r="L53" s="2920">
        <v>-1.66</v>
      </c>
      <c r="N53" s="2898">
        <f t="shared" si="136"/>
        <v>1.7299999999999999E-2</v>
      </c>
      <c r="O53" s="2884">
        <f t="shared" si="136"/>
        <v>2.9999999999999997E-4</v>
      </c>
      <c r="P53" s="2884">
        <f t="shared" si="136"/>
        <v>2.5899999999999999E-2</v>
      </c>
      <c r="Q53" s="2884">
        <f t="shared" si="136"/>
        <v>-1.66E-2</v>
      </c>
      <c r="R53" s="2899"/>
      <c r="S53" s="2908"/>
      <c r="T53" s="2909"/>
      <c r="U53" s="2909"/>
      <c r="V53" s="2909"/>
      <c r="X53" s="2909"/>
      <c r="Y53" s="2909"/>
      <c r="Z53" s="2909"/>
    </row>
    <row r="54" spans="1:26">
      <c r="A54" s="2895" t="s">
        <v>2577</v>
      </c>
      <c r="B54" s="2896">
        <f t="shared" ref="B54:C56" si="151">B53/(1+N53)</f>
        <v>210.36075887152265</v>
      </c>
      <c r="C54" s="2896">
        <f t="shared" si="151"/>
        <v>187.94361691492554</v>
      </c>
      <c r="D54" s="2896">
        <f t="shared" si="134"/>
        <v>187.94361691492554</v>
      </c>
      <c r="E54" s="2896">
        <f t="shared" ref="E54:F56" si="152">E53/(1+P53)</f>
        <v>281.70386977288234</v>
      </c>
      <c r="F54" s="2896">
        <f t="shared" si="152"/>
        <v>168.80211511083994</v>
      </c>
      <c r="G54" s="3702">
        <v>2008</v>
      </c>
      <c r="H54" s="2922">
        <v>3</v>
      </c>
      <c r="I54" s="2922">
        <v>1.96</v>
      </c>
      <c r="J54" s="2922">
        <v>2.36</v>
      </c>
      <c r="K54" s="2922">
        <v>1.82</v>
      </c>
      <c r="L54" s="2923">
        <v>2.2200000000000002</v>
      </c>
      <c r="N54" s="2898">
        <f t="shared" si="136"/>
        <v>1.9599999999999999E-2</v>
      </c>
      <c r="O54" s="2884">
        <f t="shared" si="136"/>
        <v>2.3599999999999999E-2</v>
      </c>
      <c r="P54" s="2884">
        <f t="shared" si="136"/>
        <v>1.8200000000000001E-2</v>
      </c>
      <c r="Q54" s="2884">
        <f t="shared" si="136"/>
        <v>2.2200000000000001E-2</v>
      </c>
      <c r="R54" s="2899"/>
      <c r="S54" s="2898"/>
      <c r="T54" s="2884"/>
      <c r="U54" s="2884"/>
      <c r="V54" s="2884"/>
    </row>
    <row r="55" spans="1:26">
      <c r="A55" s="2895" t="s">
        <v>2578</v>
      </c>
      <c r="B55" s="2896">
        <f t="shared" si="151"/>
        <v>206.31694671589116</v>
      </c>
      <c r="C55" s="2896">
        <f t="shared" si="151"/>
        <v>183.61041121036101</v>
      </c>
      <c r="D55" s="2896">
        <f t="shared" si="134"/>
        <v>183.61041121036101</v>
      </c>
      <c r="E55" s="2896">
        <f t="shared" si="152"/>
        <v>276.66850301795557</v>
      </c>
      <c r="F55" s="2896">
        <f t="shared" si="152"/>
        <v>165.1360938278614</v>
      </c>
      <c r="G55" s="3702">
        <v>2008</v>
      </c>
      <c r="H55" s="2910">
        <v>2</v>
      </c>
      <c r="I55" s="2910">
        <v>4.93</v>
      </c>
      <c r="J55" s="2910">
        <v>7.38</v>
      </c>
      <c r="K55" s="2910">
        <v>3.98</v>
      </c>
      <c r="L55" s="2911">
        <v>6.86</v>
      </c>
      <c r="N55" s="2898">
        <f t="shared" si="136"/>
        <v>4.9299999999999997E-2</v>
      </c>
      <c r="O55" s="2884">
        <f t="shared" si="136"/>
        <v>7.3800000000000004E-2</v>
      </c>
      <c r="P55" s="2884">
        <f t="shared" si="136"/>
        <v>3.9800000000000002E-2</v>
      </c>
      <c r="Q55" s="2884">
        <f t="shared" si="136"/>
        <v>6.8600000000000008E-2</v>
      </c>
      <c r="R55" s="2899"/>
      <c r="S55" s="2898"/>
      <c r="T55" s="2884"/>
      <c r="U55" s="2884"/>
      <c r="V55" s="2884"/>
    </row>
    <row r="56" spans="1:26" s="2951" customFormat="1" ht="13.5" thickBot="1">
      <c r="A56" s="2895" t="s">
        <v>2579</v>
      </c>
      <c r="B56" s="2948">
        <f t="shared" si="151"/>
        <v>196.62341248059772</v>
      </c>
      <c r="C56" s="2948">
        <f t="shared" si="151"/>
        <v>170.99125648199012</v>
      </c>
      <c r="D56" s="2948">
        <f t="shared" si="134"/>
        <v>170.99125648199012</v>
      </c>
      <c r="E56" s="2948">
        <f t="shared" si="152"/>
        <v>266.07857570490052</v>
      </c>
      <c r="F56" s="2948">
        <f t="shared" si="152"/>
        <v>154.53499328828505</v>
      </c>
      <c r="G56" s="3705">
        <v>2008</v>
      </c>
      <c r="H56" s="2949">
        <v>1</v>
      </c>
      <c r="I56" s="2949">
        <v>4.1399999999999997</v>
      </c>
      <c r="J56" s="2949">
        <v>3.45</v>
      </c>
      <c r="K56" s="2949">
        <v>4.95</v>
      </c>
      <c r="L56" s="2950">
        <v>4.82</v>
      </c>
      <c r="N56" s="2952">
        <f t="shared" si="136"/>
        <v>4.1399999999999999E-2</v>
      </c>
      <c r="O56" s="2953">
        <f t="shared" si="136"/>
        <v>3.4500000000000003E-2</v>
      </c>
      <c r="P56" s="2953">
        <f t="shared" si="136"/>
        <v>4.9500000000000002E-2</v>
      </c>
      <c r="Q56" s="2953">
        <f t="shared" si="136"/>
        <v>4.82E-2</v>
      </c>
      <c r="R56" s="2954"/>
      <c r="S56" s="2952">
        <f>B56/B57-1</f>
        <v>4.5869215322328349E-2</v>
      </c>
      <c r="T56" s="2953">
        <f>C56/C57-1</f>
        <v>3.6310645345394743E-2</v>
      </c>
      <c r="U56" s="2953">
        <f>E56/E57-1</f>
        <v>4.7553447657088688E-2</v>
      </c>
      <c r="V56" s="2953">
        <f>F56/F57-1</f>
        <v>4.4155360055980086E-2</v>
      </c>
      <c r="X56" s="2953"/>
      <c r="Y56" s="2953"/>
      <c r="Z56" s="2953"/>
    </row>
    <row r="57" spans="1:26" ht="13.5" thickBot="1">
      <c r="A57" s="2895" t="s">
        <v>2580</v>
      </c>
      <c r="B57" s="2917">
        <v>188</v>
      </c>
      <c r="C57" s="2917">
        <v>165</v>
      </c>
      <c r="D57" s="2917">
        <f t="shared" si="134"/>
        <v>165</v>
      </c>
      <c r="E57" s="2917">
        <v>254</v>
      </c>
      <c r="F57" s="2918">
        <v>148</v>
      </c>
      <c r="G57" s="3704">
        <v>2007</v>
      </c>
      <c r="H57" s="2955">
        <v>4</v>
      </c>
      <c r="I57" s="2955">
        <v>5.51</v>
      </c>
      <c r="J57" s="2955">
        <v>4.8899999999999997</v>
      </c>
      <c r="K57" s="2955">
        <v>6.43</v>
      </c>
      <c r="L57" s="2956">
        <v>5.36</v>
      </c>
      <c r="N57" s="2957">
        <f t="shared" ref="N57:O60" si="153">B57/B58-1</f>
        <v>4.1339718365245526E-2</v>
      </c>
      <c r="O57" s="2958">
        <f t="shared" si="153"/>
        <v>4.0324492593776018E-2</v>
      </c>
      <c r="P57" s="2958">
        <f t="shared" ref="P57:Q60" si="154">E57/E58-1</f>
        <v>6.1625555347990968E-2</v>
      </c>
      <c r="Q57" s="2958">
        <f t="shared" si="154"/>
        <v>4.6757569250590603E-2</v>
      </c>
      <c r="R57" s="2899"/>
      <c r="S57" s="2908"/>
      <c r="T57" s="2909"/>
      <c r="U57" s="2909"/>
      <c r="V57" s="2909"/>
      <c r="X57" s="2909"/>
      <c r="Y57" s="2909"/>
      <c r="Z57" s="2909"/>
    </row>
    <row r="58" spans="1:26">
      <c r="A58" s="2895" t="s">
        <v>2581</v>
      </c>
      <c r="B58" s="2896">
        <f t="shared" ref="B58:C60" si="155">B59+(B$57-B$61)*I58/SUM(I$57:I$60)</f>
        <v>180.5366651097618</v>
      </c>
      <c r="C58" s="2896">
        <f t="shared" si="155"/>
        <v>158.60435967302453</v>
      </c>
      <c r="D58" s="2896">
        <f t="shared" si="134"/>
        <v>158.60435967302453</v>
      </c>
      <c r="E58" s="2896">
        <f t="shared" ref="E58:F60" si="156">E59+(E$57-E$61)*K58/SUM(K$57:K$60)</f>
        <v>239.25573260785075</v>
      </c>
      <c r="F58" s="2896">
        <f t="shared" si="156"/>
        <v>141.38899430740037</v>
      </c>
      <c r="G58" s="3702">
        <v>2007</v>
      </c>
      <c r="H58" s="2922">
        <v>3</v>
      </c>
      <c r="I58" s="2922">
        <v>8.65</v>
      </c>
      <c r="J58" s="2922">
        <v>8.06</v>
      </c>
      <c r="K58" s="2922">
        <v>9.94</v>
      </c>
      <c r="L58" s="2923">
        <v>5.8</v>
      </c>
      <c r="N58" s="2957">
        <f t="shared" si="153"/>
        <v>6.940217571740015E-2</v>
      </c>
      <c r="O58" s="2958">
        <f t="shared" si="153"/>
        <v>7.1197482471153428E-2</v>
      </c>
      <c r="P58" s="2958">
        <f t="shared" si="154"/>
        <v>0.10529679922579582</v>
      </c>
      <c r="Q58" s="2958">
        <f t="shared" si="154"/>
        <v>5.3292245059512133E-2</v>
      </c>
      <c r="R58" s="2899"/>
      <c r="S58" s="2898"/>
      <c r="T58" s="2884"/>
      <c r="U58" s="2884"/>
      <c r="V58" s="2884"/>
      <c r="X58" s="2959"/>
      <c r="Y58" s="2959"/>
      <c r="Z58" s="2959"/>
    </row>
    <row r="59" spans="1:26">
      <c r="A59" s="2895" t="s">
        <v>2582</v>
      </c>
      <c r="B59" s="2896">
        <f t="shared" si="155"/>
        <v>168.82017748715555</v>
      </c>
      <c r="C59" s="2896">
        <f t="shared" si="155"/>
        <v>148.06267029972753</v>
      </c>
      <c r="D59" s="2896">
        <f t="shared" si="134"/>
        <v>148.06267029972753</v>
      </c>
      <c r="E59" s="2896">
        <f t="shared" si="156"/>
        <v>216.46288379323747</v>
      </c>
      <c r="F59" s="2896">
        <f t="shared" si="156"/>
        <v>134.23529411764704</v>
      </c>
      <c r="G59" s="3702">
        <v>2007</v>
      </c>
      <c r="H59" s="2910">
        <v>2</v>
      </c>
      <c r="I59" s="2910">
        <v>3.67</v>
      </c>
      <c r="J59" s="2910">
        <v>2.3199999999999998</v>
      </c>
      <c r="K59" s="2910">
        <v>5.0199999999999996</v>
      </c>
      <c r="L59" s="2911">
        <v>6.71</v>
      </c>
      <c r="N59" s="2957">
        <f t="shared" si="153"/>
        <v>3.0339138143848032E-2</v>
      </c>
      <c r="O59" s="2958">
        <f t="shared" si="153"/>
        <v>2.0922341588790472E-2</v>
      </c>
      <c r="P59" s="2958">
        <f t="shared" si="154"/>
        <v>5.6164796592717003E-2</v>
      </c>
      <c r="Q59" s="2958">
        <f t="shared" si="154"/>
        <v>6.5704536723887319E-2</v>
      </c>
      <c r="R59" s="2899"/>
      <c r="S59" s="2898"/>
      <c r="T59" s="2884"/>
      <c r="U59" s="2884"/>
      <c r="V59" s="2884"/>
      <c r="X59" s="2959"/>
      <c r="Y59" s="2959"/>
      <c r="Z59" s="2959"/>
    </row>
    <row r="60" spans="1:26">
      <c r="A60" s="2895" t="s">
        <v>2583</v>
      </c>
      <c r="B60" s="2896">
        <f t="shared" si="155"/>
        <v>163.84913591779542</v>
      </c>
      <c r="C60" s="2896">
        <f t="shared" si="155"/>
        <v>145.0283378746594</v>
      </c>
      <c r="D60" s="2896">
        <f t="shared" si="134"/>
        <v>145.0283378746594</v>
      </c>
      <c r="E60" s="2896">
        <f t="shared" si="156"/>
        <v>204.95180722891567</v>
      </c>
      <c r="F60" s="2896">
        <f t="shared" si="156"/>
        <v>125.95920303605313</v>
      </c>
      <c r="G60" s="3705">
        <v>2007</v>
      </c>
      <c r="H60" s="2897">
        <v>1</v>
      </c>
      <c r="I60" s="2897">
        <v>3.58</v>
      </c>
      <c r="J60" s="2897">
        <v>3.08</v>
      </c>
      <c r="K60" s="2897">
        <v>4.34</v>
      </c>
      <c r="L60" s="2903">
        <v>3.21</v>
      </c>
      <c r="N60" s="2960">
        <f t="shared" si="153"/>
        <v>3.0497710174814063E-2</v>
      </c>
      <c r="O60" s="2961">
        <f t="shared" si="153"/>
        <v>2.8569772160704998E-2</v>
      </c>
      <c r="P60" s="2961">
        <f t="shared" si="154"/>
        <v>5.1034908866234296E-2</v>
      </c>
      <c r="Q60" s="2961">
        <f t="shared" si="154"/>
        <v>3.245248390207478E-2</v>
      </c>
      <c r="R60" s="2899"/>
      <c r="S60" s="2900">
        <f>B60/B61-1</f>
        <v>3.0497710174814063E-2</v>
      </c>
      <c r="T60" s="2901">
        <f>C60/C61-1</f>
        <v>2.8569772160704998E-2</v>
      </c>
      <c r="U60" s="2901">
        <f>E60/E61-1</f>
        <v>5.1034908866234296E-2</v>
      </c>
      <c r="V60" s="2901">
        <f>F60/F61-1</f>
        <v>3.245248390207478E-2</v>
      </c>
      <c r="X60" s="2959"/>
      <c r="Y60" s="2959"/>
      <c r="Z60" s="2959"/>
    </row>
    <row r="61" spans="1:26" ht="13.5" thickBot="1">
      <c r="A61" s="2895" t="s">
        <v>2584</v>
      </c>
      <c r="B61" s="2924">
        <v>159</v>
      </c>
      <c r="C61" s="2924">
        <v>141</v>
      </c>
      <c r="D61" s="2924">
        <f t="shared" si="134"/>
        <v>141</v>
      </c>
      <c r="E61" s="2924">
        <v>195</v>
      </c>
      <c r="F61" s="2925">
        <v>122</v>
      </c>
      <c r="G61" s="3704">
        <v>2006</v>
      </c>
      <c r="H61" s="2919">
        <v>4</v>
      </c>
      <c r="I61" s="2919">
        <v>3.79</v>
      </c>
      <c r="J61" s="2919">
        <v>2.21</v>
      </c>
      <c r="K61" s="2919">
        <v>5.65</v>
      </c>
      <c r="L61" s="2920">
        <v>5.41</v>
      </c>
      <c r="N61" s="2957">
        <f t="shared" ref="N61:O64" si="157">I61/SUM(I$61:I$64)*(B$61/B$65-1)</f>
        <v>7.245466462748526E-2</v>
      </c>
      <c r="O61" s="2958">
        <f t="shared" si="157"/>
        <v>2.3237230038062766E-2</v>
      </c>
      <c r="P61" s="2958">
        <f t="shared" ref="P61:Q64" si="158">K61/SUM(K$61:K$64)*(E$61/E$65-1)</f>
        <v>0.16146893866323722</v>
      </c>
      <c r="Q61" s="2958">
        <f t="shared" si="158"/>
        <v>5.0755230321793784E-2</v>
      </c>
      <c r="R61" s="2899"/>
      <c r="S61" s="2908"/>
      <c r="T61" s="2909"/>
      <c r="U61" s="2909"/>
      <c r="V61" s="2909"/>
      <c r="X61" s="2959"/>
      <c r="Y61" s="2959"/>
      <c r="Z61" s="2959"/>
    </row>
    <row r="62" spans="1:26">
      <c r="A62" s="2895" t="s">
        <v>2585</v>
      </c>
      <c r="B62" s="2896">
        <f t="shared" ref="B62:C64" si="159">B63+(B$61-B$65)*I62/SUM(I$61:I$64)</f>
        <v>149.00125628140702</v>
      </c>
      <c r="C62" s="2896">
        <f t="shared" si="159"/>
        <v>137.95592286501378</v>
      </c>
      <c r="D62" s="2896">
        <f t="shared" si="134"/>
        <v>137.95592286501378</v>
      </c>
      <c r="E62" s="2896">
        <f t="shared" ref="E62:F64" si="160">E63+(E$61-E$65)*K62/SUM(K$61:K$64)</f>
        <v>169.97231450719823</v>
      </c>
      <c r="F62" s="2896">
        <f t="shared" si="160"/>
        <v>116.21390374331551</v>
      </c>
      <c r="G62" s="3702">
        <v>2006</v>
      </c>
      <c r="H62" s="2922">
        <v>3</v>
      </c>
      <c r="I62" s="2922">
        <v>0.92</v>
      </c>
      <c r="J62" s="2922">
        <v>1.08</v>
      </c>
      <c r="K62" s="2922">
        <v>0.73</v>
      </c>
      <c r="L62" s="2923">
        <v>1.08</v>
      </c>
      <c r="N62" s="2957">
        <f t="shared" si="157"/>
        <v>1.7587939698492462E-2</v>
      </c>
      <c r="O62" s="2958">
        <f t="shared" si="157"/>
        <v>1.1355750425840628E-2</v>
      </c>
      <c r="P62" s="2958">
        <f t="shared" si="158"/>
        <v>2.0862358446754544E-2</v>
      </c>
      <c r="Q62" s="2958">
        <f t="shared" si="158"/>
        <v>1.0132282578103011E-2</v>
      </c>
      <c r="R62" s="2899"/>
      <c r="S62" s="2898"/>
      <c r="T62" s="2884"/>
      <c r="U62" s="2884"/>
      <c r="V62" s="2884"/>
      <c r="X62" s="2959"/>
      <c r="Y62" s="2959"/>
      <c r="Z62" s="2959"/>
    </row>
    <row r="63" spans="1:26">
      <c r="A63" s="2895" t="s">
        <v>2586</v>
      </c>
      <c r="B63" s="2896">
        <f t="shared" si="159"/>
        <v>146.57412060301507</v>
      </c>
      <c r="C63" s="2896">
        <f t="shared" si="159"/>
        <v>136.46831955922866</v>
      </c>
      <c r="D63" s="2896">
        <f t="shared" si="134"/>
        <v>136.46831955922866</v>
      </c>
      <c r="E63" s="2896">
        <f t="shared" si="160"/>
        <v>166.73864894795128</v>
      </c>
      <c r="F63" s="2896">
        <f t="shared" si="160"/>
        <v>115.05882352941177</v>
      </c>
      <c r="G63" s="3702">
        <v>2006</v>
      </c>
      <c r="H63" s="2910">
        <v>2</v>
      </c>
      <c r="I63" s="2910">
        <v>0.96</v>
      </c>
      <c r="J63" s="2910">
        <v>0.25</v>
      </c>
      <c r="K63" s="2910">
        <v>1.9</v>
      </c>
      <c r="L63" s="2911">
        <v>0.95</v>
      </c>
      <c r="N63" s="2957">
        <f t="shared" si="157"/>
        <v>1.8352632728861701E-2</v>
      </c>
      <c r="O63" s="2958">
        <f t="shared" si="157"/>
        <v>2.6286459319075526E-3</v>
      </c>
      <c r="P63" s="2958">
        <f t="shared" si="158"/>
        <v>5.4299289107991269E-2</v>
      </c>
      <c r="Q63" s="2958">
        <f t="shared" si="158"/>
        <v>8.9126559714794995E-3</v>
      </c>
      <c r="R63" s="2899"/>
      <c r="S63" s="2898"/>
      <c r="T63" s="2884"/>
      <c r="U63" s="2884"/>
      <c r="V63" s="2884"/>
      <c r="X63" s="2959"/>
      <c r="Y63" s="2959"/>
      <c r="Z63" s="2959"/>
    </row>
    <row r="64" spans="1:26">
      <c r="A64" s="2895" t="s">
        <v>2587</v>
      </c>
      <c r="B64" s="2896">
        <f t="shared" si="159"/>
        <v>144.04145728643215</v>
      </c>
      <c r="C64" s="2896">
        <f t="shared" si="159"/>
        <v>136.12396694214877</v>
      </c>
      <c r="D64" s="2896">
        <f t="shared" si="134"/>
        <v>136.12396694214877</v>
      </c>
      <c r="E64" s="2896">
        <f t="shared" si="160"/>
        <v>158.32225913621264</v>
      </c>
      <c r="F64" s="2896">
        <f t="shared" si="160"/>
        <v>114.04278074866311</v>
      </c>
      <c r="G64" s="3705">
        <v>2006</v>
      </c>
      <c r="H64" s="2897">
        <v>1</v>
      </c>
      <c r="I64" s="2897">
        <v>2.29</v>
      </c>
      <c r="J64" s="2897">
        <v>3.72</v>
      </c>
      <c r="K64" s="2897">
        <v>0.75</v>
      </c>
      <c r="L64" s="2903">
        <v>0.04</v>
      </c>
      <c r="N64" s="2960">
        <f t="shared" si="157"/>
        <v>4.3778675988638847E-2</v>
      </c>
      <c r="O64" s="2961">
        <f t="shared" si="157"/>
        <v>3.9114251466784385E-2</v>
      </c>
      <c r="P64" s="2961">
        <f t="shared" si="158"/>
        <v>2.1433929911049188E-2</v>
      </c>
      <c r="Q64" s="2961">
        <f t="shared" si="158"/>
        <v>3.7526972511492629E-4</v>
      </c>
      <c r="R64" s="2899"/>
      <c r="S64" s="2900">
        <f>B64/B65-1</f>
        <v>4.3778675988638716E-2</v>
      </c>
      <c r="T64" s="2901">
        <f>C64/C65-1</f>
        <v>3.91142514667846E-2</v>
      </c>
      <c r="U64" s="2901">
        <f>E64/E65-1</f>
        <v>2.143392991104931E-2</v>
      </c>
      <c r="V64" s="2901">
        <f>F64/F65-1</f>
        <v>3.7526972511492396E-4</v>
      </c>
      <c r="X64" s="2959"/>
      <c r="Y64" s="2959"/>
      <c r="Z64" s="2959"/>
    </row>
    <row r="65" spans="1:26" ht="13.5" thickBot="1">
      <c r="A65" s="2895" t="s">
        <v>2588</v>
      </c>
      <c r="B65" s="2924">
        <v>138</v>
      </c>
      <c r="C65" s="2924">
        <v>131</v>
      </c>
      <c r="D65" s="2924">
        <f t="shared" si="134"/>
        <v>131</v>
      </c>
      <c r="E65" s="2924">
        <v>155</v>
      </c>
      <c r="F65" s="2925">
        <v>114</v>
      </c>
      <c r="G65" s="3704">
        <v>2005</v>
      </c>
      <c r="H65" s="2919">
        <v>4</v>
      </c>
      <c r="I65" s="2919">
        <v>3.29</v>
      </c>
      <c r="J65" s="2919">
        <v>1.44</v>
      </c>
      <c r="K65" s="2919">
        <v>0.66</v>
      </c>
      <c r="L65" s="2920">
        <v>7.78</v>
      </c>
      <c r="N65" s="2957">
        <f t="shared" ref="N65:O68" si="161">I65/SUM(I$65:I$68)*(B$65/B$69-1)</f>
        <v>9.9404603216919935E-2</v>
      </c>
      <c r="O65" s="2958">
        <f t="shared" si="161"/>
        <v>4.7636550760861554E-2</v>
      </c>
      <c r="P65" s="2958">
        <f t="shared" ref="P65:Q68" si="162">K65/SUM(K$65:K$68)*(E$65/E$69-1)</f>
        <v>8.3756345177664976E-2</v>
      </c>
      <c r="Q65" s="2958">
        <f t="shared" si="162"/>
        <v>5.2148766661559584E-2</v>
      </c>
      <c r="R65" s="2899"/>
      <c r="S65" s="2908"/>
      <c r="T65" s="2909"/>
      <c r="U65" s="2909"/>
      <c r="V65" s="2909"/>
      <c r="X65" s="2959"/>
      <c r="Y65" s="2959"/>
      <c r="Z65" s="2959"/>
    </row>
    <row r="66" spans="1:26">
      <c r="A66" s="2895" t="s">
        <v>2589</v>
      </c>
      <c r="B66" s="2896">
        <f t="shared" ref="B66:C68" si="163">B67+(B$65-B$69)*I66/SUM(I$65:I$68)</f>
        <v>125.9720430107527</v>
      </c>
      <c r="C66" s="2896">
        <f t="shared" si="163"/>
        <v>125.1883408071749</v>
      </c>
      <c r="D66" s="2896">
        <f t="shared" si="134"/>
        <v>125.1883408071749</v>
      </c>
      <c r="E66" s="2896">
        <f t="shared" ref="E66:F68" si="164">E67+(E$65-E$69)*K66/SUM(K$65:K$68)</f>
        <v>144.61421319796952</v>
      </c>
      <c r="F66" s="2896">
        <f t="shared" si="164"/>
        <v>108.42008196721311</v>
      </c>
      <c r="G66" s="3702">
        <v>2005</v>
      </c>
      <c r="H66" s="2922">
        <v>3</v>
      </c>
      <c r="I66" s="2922">
        <v>0.46</v>
      </c>
      <c r="J66" s="2922">
        <v>0.32</v>
      </c>
      <c r="K66" s="2922">
        <v>0.42</v>
      </c>
      <c r="L66" s="2923">
        <v>0.64</v>
      </c>
      <c r="N66" s="2957">
        <f t="shared" si="161"/>
        <v>1.3898515951301874E-2</v>
      </c>
      <c r="O66" s="2958">
        <f t="shared" si="161"/>
        <v>1.0585900169080346E-2</v>
      </c>
      <c r="P66" s="2958">
        <f t="shared" si="162"/>
        <v>5.3299492385786795E-2</v>
      </c>
      <c r="Q66" s="2958">
        <f t="shared" si="162"/>
        <v>4.2898728359123568E-3</v>
      </c>
      <c r="R66" s="2899"/>
      <c r="S66" s="2898"/>
      <c r="T66" s="2884"/>
      <c r="U66" s="2884"/>
      <c r="V66" s="2884"/>
      <c r="X66" s="2959"/>
      <c r="Y66" s="2959"/>
      <c r="Z66" s="2959"/>
    </row>
    <row r="67" spans="1:26">
      <c r="A67" s="2895" t="s">
        <v>2590</v>
      </c>
      <c r="B67" s="2896">
        <f t="shared" si="163"/>
        <v>124.29032258064517</v>
      </c>
      <c r="C67" s="2896">
        <f t="shared" si="163"/>
        <v>123.8968609865471</v>
      </c>
      <c r="D67" s="2896">
        <f t="shared" si="134"/>
        <v>123.8968609865471</v>
      </c>
      <c r="E67" s="2896">
        <f t="shared" si="164"/>
        <v>138.00507614213197</v>
      </c>
      <c r="F67" s="2896">
        <f t="shared" si="164"/>
        <v>107.96106557377048</v>
      </c>
      <c r="G67" s="3702">
        <v>2005</v>
      </c>
      <c r="H67" s="2910">
        <v>2</v>
      </c>
      <c r="I67" s="2910">
        <v>0.47</v>
      </c>
      <c r="J67" s="2910">
        <v>0.1</v>
      </c>
      <c r="K67" s="2910">
        <v>0.52</v>
      </c>
      <c r="L67" s="2911">
        <v>0.79</v>
      </c>
      <c r="N67" s="2957">
        <f t="shared" si="161"/>
        <v>1.420065760241713E-2</v>
      </c>
      <c r="O67" s="2958">
        <f t="shared" si="161"/>
        <v>3.3080938028376083E-3</v>
      </c>
      <c r="P67" s="2958">
        <f t="shared" si="162"/>
        <v>6.598984771573603E-2</v>
      </c>
      <c r="Q67" s="2958">
        <f t="shared" si="162"/>
        <v>5.2953117818293153E-3</v>
      </c>
      <c r="R67" s="2899"/>
      <c r="S67" s="2898"/>
      <c r="T67" s="2884"/>
      <c r="U67" s="2884"/>
      <c r="V67" s="2884"/>
      <c r="X67" s="2959"/>
      <c r="Y67" s="2959"/>
      <c r="Z67" s="2959"/>
    </row>
    <row r="68" spans="1:26">
      <c r="A68" s="2895" t="s">
        <v>2591</v>
      </c>
      <c r="B68" s="2896">
        <f t="shared" si="163"/>
        <v>122.57204301075269</v>
      </c>
      <c r="C68" s="2896">
        <f t="shared" si="163"/>
        <v>123.4932735426009</v>
      </c>
      <c r="D68" s="2896">
        <f t="shared" si="134"/>
        <v>123.4932735426009</v>
      </c>
      <c r="E68" s="2896">
        <f t="shared" si="164"/>
        <v>129.82233502538071</v>
      </c>
      <c r="F68" s="2896">
        <f t="shared" si="164"/>
        <v>107.39446721311475</v>
      </c>
      <c r="G68" s="3705">
        <v>2005</v>
      </c>
      <c r="H68" s="2897">
        <v>1</v>
      </c>
      <c r="I68" s="2897">
        <v>0.43</v>
      </c>
      <c r="J68" s="2897">
        <v>0.37</v>
      </c>
      <c r="K68" s="2897">
        <v>0.37</v>
      </c>
      <c r="L68" s="2903">
        <v>0.55000000000000004</v>
      </c>
      <c r="N68" s="2960">
        <f t="shared" si="161"/>
        <v>1.2992090997956099E-2</v>
      </c>
      <c r="O68" s="2961">
        <f t="shared" si="161"/>
        <v>1.2239947070499151E-2</v>
      </c>
      <c r="P68" s="2961">
        <f t="shared" si="162"/>
        <v>4.6954314720812178E-2</v>
      </c>
      <c r="Q68" s="2961">
        <f t="shared" si="162"/>
        <v>3.6866094683621815E-3</v>
      </c>
      <c r="R68" s="2899"/>
      <c r="S68" s="2900">
        <f>B68/B69-1</f>
        <v>1.2992090997956174E-2</v>
      </c>
      <c r="T68" s="2901">
        <f>C68/C69-1</f>
        <v>1.2239947070499246E-2</v>
      </c>
      <c r="U68" s="2901">
        <f>E68/E69-1</f>
        <v>4.695431472081224E-2</v>
      </c>
      <c r="V68" s="2901">
        <f>F68/F69-1</f>
        <v>3.6866094683620787E-3</v>
      </c>
      <c r="X68" s="2959"/>
      <c r="Y68" s="2959"/>
      <c r="Z68" s="2959"/>
    </row>
    <row r="69" spans="1:26" ht="13.5" thickBot="1">
      <c r="A69" s="2895" t="s">
        <v>2592</v>
      </c>
      <c r="B69" s="2945">
        <v>121</v>
      </c>
      <c r="C69" s="2945">
        <v>122</v>
      </c>
      <c r="D69" s="2945">
        <f t="shared" si="134"/>
        <v>122</v>
      </c>
      <c r="E69" s="2945">
        <v>124</v>
      </c>
      <c r="F69" s="2946">
        <v>107</v>
      </c>
      <c r="G69" s="3704">
        <v>2004</v>
      </c>
      <c r="H69" s="2919">
        <v>4</v>
      </c>
      <c r="I69" s="2919">
        <v>0.33</v>
      </c>
      <c r="J69" s="2919">
        <v>0.5</v>
      </c>
      <c r="K69" s="2919">
        <v>0.5</v>
      </c>
      <c r="L69" s="2920">
        <v>0</v>
      </c>
      <c r="N69" s="2957">
        <f t="shared" ref="N69:O72" si="165">I69/SUM(I$69:I$72)*(B$69/B$73-1)</f>
        <v>1.3391770148526898E-2</v>
      </c>
      <c r="O69" s="2958">
        <f t="shared" si="165"/>
        <v>1.063264221158958E-2</v>
      </c>
      <c r="P69" s="2958">
        <f t="shared" ref="P69:Q72" si="166">K69/SUM(K$69:K$72)*(E$69/E$73-1)</f>
        <v>2.2244466688911134E-2</v>
      </c>
      <c r="Q69" s="2958">
        <f t="shared" si="166"/>
        <v>0</v>
      </c>
      <c r="R69" s="2899"/>
      <c r="S69" s="2908"/>
      <c r="T69" s="2909"/>
      <c r="U69" s="2909"/>
      <c r="V69" s="2909"/>
      <c r="X69" s="2959"/>
      <c r="Y69" s="2959"/>
      <c r="Z69" s="2959"/>
    </row>
    <row r="70" spans="1:26">
      <c r="A70" s="2895" t="s">
        <v>2593</v>
      </c>
      <c r="B70" s="2896">
        <f t="shared" ref="B70:C72" si="167">B71+(B$69-B$73)*I70/SUM(I$69:I$72)</f>
        <v>119.51351351351352</v>
      </c>
      <c r="C70" s="2896">
        <f t="shared" si="167"/>
        <v>120.7878787878788</v>
      </c>
      <c r="D70" s="2896">
        <f t="shared" si="134"/>
        <v>120.7878787878788</v>
      </c>
      <c r="E70" s="2896">
        <f t="shared" ref="E70:F72" si="168">E71+(E$69-E$73)*K70/SUM(K$69:K$72)</f>
        <v>121.5975975975976</v>
      </c>
      <c r="F70" s="2896">
        <f t="shared" si="168"/>
        <v>107</v>
      </c>
      <c r="G70" s="3702">
        <v>2004</v>
      </c>
      <c r="H70" s="2922">
        <v>3</v>
      </c>
      <c r="I70" s="2922">
        <v>0.56000000000000005</v>
      </c>
      <c r="J70" s="2922">
        <v>0.8</v>
      </c>
      <c r="K70" s="2922">
        <v>0.83</v>
      </c>
      <c r="L70" s="2923">
        <v>0.06</v>
      </c>
      <c r="N70" s="2957">
        <f t="shared" si="165"/>
        <v>2.2725428130833527E-2</v>
      </c>
      <c r="O70" s="2958">
        <f t="shared" si="165"/>
        <v>1.7012227538543329E-2</v>
      </c>
      <c r="P70" s="2958">
        <f t="shared" si="166"/>
        <v>3.6925814703592477E-2</v>
      </c>
      <c r="Q70" s="2958">
        <f t="shared" si="166"/>
        <v>2.8846153846153744E-2</v>
      </c>
      <c r="R70" s="2899"/>
      <c r="S70" s="2898"/>
      <c r="T70" s="2884"/>
      <c r="U70" s="2884"/>
      <c r="V70" s="2884"/>
      <c r="X70" s="2959"/>
      <c r="Y70" s="2959"/>
      <c r="Z70" s="2959"/>
    </row>
    <row r="71" spans="1:26">
      <c r="A71" s="2895" t="s">
        <v>2594</v>
      </c>
      <c r="B71" s="2896">
        <f t="shared" si="167"/>
        <v>116.99099099099099</v>
      </c>
      <c r="C71" s="2896">
        <f t="shared" si="167"/>
        <v>118.84848484848486</v>
      </c>
      <c r="D71" s="2896">
        <f t="shared" si="134"/>
        <v>118.84848484848486</v>
      </c>
      <c r="E71" s="2896">
        <f t="shared" si="168"/>
        <v>117.60960960960961</v>
      </c>
      <c r="F71" s="2896">
        <f t="shared" si="168"/>
        <v>104</v>
      </c>
      <c r="G71" s="3702">
        <v>2004</v>
      </c>
      <c r="H71" s="2910">
        <v>2</v>
      </c>
      <c r="I71" s="2910">
        <v>1</v>
      </c>
      <c r="J71" s="2910">
        <v>1.5</v>
      </c>
      <c r="K71" s="2910">
        <v>1.5</v>
      </c>
      <c r="L71" s="2911">
        <v>0</v>
      </c>
      <c r="N71" s="2957">
        <f t="shared" si="165"/>
        <v>4.0581121662202721E-2</v>
      </c>
      <c r="O71" s="2958">
        <f t="shared" si="165"/>
        <v>3.1897926634768738E-2</v>
      </c>
      <c r="P71" s="2958">
        <f t="shared" si="166"/>
        <v>6.6733400066733395E-2</v>
      </c>
      <c r="Q71" s="2958">
        <f t="shared" si="166"/>
        <v>0</v>
      </c>
      <c r="R71" s="2899"/>
      <c r="S71" s="2898"/>
      <c r="T71" s="2884"/>
      <c r="U71" s="2884"/>
      <c r="V71" s="2884"/>
      <c r="X71" s="2959"/>
      <c r="Y71" s="2959"/>
      <c r="Z71" s="2959"/>
    </row>
    <row r="72" spans="1:26" s="2951" customFormat="1" ht="13.5" thickBot="1">
      <c r="A72" s="2895" t="s">
        <v>2595</v>
      </c>
      <c r="B72" s="2948">
        <f t="shared" si="167"/>
        <v>112.48648648648648</v>
      </c>
      <c r="C72" s="2948">
        <f t="shared" si="167"/>
        <v>115.21212121212122</v>
      </c>
      <c r="D72" s="2948">
        <f t="shared" si="134"/>
        <v>115.21212121212122</v>
      </c>
      <c r="E72" s="2948">
        <f t="shared" si="168"/>
        <v>110.4024024024024</v>
      </c>
      <c r="F72" s="2948">
        <f t="shared" si="168"/>
        <v>104</v>
      </c>
      <c r="G72" s="3705">
        <v>2004</v>
      </c>
      <c r="H72" s="2949">
        <v>1</v>
      </c>
      <c r="I72" s="2949">
        <v>0.33</v>
      </c>
      <c r="J72" s="2949">
        <v>0.5</v>
      </c>
      <c r="K72" s="2949">
        <v>0.5</v>
      </c>
      <c r="L72" s="2950">
        <v>0</v>
      </c>
      <c r="N72" s="2962">
        <f t="shared" si="165"/>
        <v>1.3391770148526898E-2</v>
      </c>
      <c r="O72" s="2963">
        <f t="shared" si="165"/>
        <v>1.063264221158958E-2</v>
      </c>
      <c r="P72" s="2963">
        <f t="shared" si="166"/>
        <v>2.2244466688911134E-2</v>
      </c>
      <c r="Q72" s="2963">
        <f t="shared" si="166"/>
        <v>0</v>
      </c>
      <c r="R72" s="2954"/>
      <c r="S72" s="2952">
        <f>B72/B73-1</f>
        <v>1.3391770148526883E-2</v>
      </c>
      <c r="T72" s="2953">
        <f>C72/C73-1</f>
        <v>1.063264221158966E-2</v>
      </c>
      <c r="U72" s="2953">
        <f>E72/E73-1</f>
        <v>2.2244466688911224E-2</v>
      </c>
      <c r="V72" s="2953">
        <f>F72/F73-1</f>
        <v>0</v>
      </c>
      <c r="X72" s="2964"/>
      <c r="Y72" s="2964"/>
      <c r="Z72" s="2964"/>
    </row>
    <row r="73" spans="1:26" ht="13.5" thickBot="1">
      <c r="A73" s="2895" t="s">
        <v>2596</v>
      </c>
      <c r="B73" s="2965">
        <v>111</v>
      </c>
      <c r="C73" s="2965">
        <v>114</v>
      </c>
      <c r="D73" s="2965">
        <f t="shared" si="134"/>
        <v>114</v>
      </c>
      <c r="E73" s="2965">
        <v>108</v>
      </c>
      <c r="F73" s="2966">
        <v>104</v>
      </c>
      <c r="G73" s="3704">
        <v>2003</v>
      </c>
      <c r="H73" s="2955">
        <v>4</v>
      </c>
      <c r="I73" s="2967"/>
      <c r="J73" s="2967"/>
      <c r="K73" s="2967"/>
      <c r="L73" s="2967"/>
      <c r="N73" s="2968"/>
      <c r="O73" s="2967"/>
      <c r="P73" s="2967"/>
      <c r="Q73" s="2967"/>
      <c r="S73" s="2968"/>
      <c r="T73" s="2967"/>
      <c r="U73" s="2967"/>
      <c r="V73" s="2967"/>
      <c r="X73" s="2959"/>
      <c r="Y73" s="2959"/>
      <c r="Z73" s="2959"/>
    </row>
    <row r="74" spans="1:26">
      <c r="A74" s="2895" t="s">
        <v>2597</v>
      </c>
      <c r="B74" s="2969">
        <f t="shared" ref="B74:C76" si="169">B75+(B$73-B$77)/4</f>
        <v>109.75</v>
      </c>
      <c r="C74" s="2969">
        <f t="shared" si="169"/>
        <v>112.25</v>
      </c>
      <c r="D74" s="2969">
        <f t="shared" si="134"/>
        <v>112.25</v>
      </c>
      <c r="E74" s="2969">
        <f t="shared" ref="E74:F76" si="170">E75+(E$73-E$77)/4</f>
        <v>107.25</v>
      </c>
      <c r="F74" s="2969">
        <f t="shared" si="170"/>
        <v>103.5</v>
      </c>
      <c r="G74" s="3702">
        <v>2003</v>
      </c>
      <c r="H74" s="2922">
        <v>3</v>
      </c>
      <c r="I74" s="2967"/>
      <c r="J74" s="2967"/>
      <c r="K74" s="2967"/>
      <c r="L74" s="2967"/>
      <c r="X74" s="2959"/>
      <c r="Y74" s="2959"/>
      <c r="Z74" s="2959"/>
    </row>
    <row r="75" spans="1:26">
      <c r="A75" s="2895" t="s">
        <v>2598</v>
      </c>
      <c r="B75" s="2969">
        <f t="shared" si="169"/>
        <v>108.5</v>
      </c>
      <c r="C75" s="2969">
        <f t="shared" si="169"/>
        <v>110.5</v>
      </c>
      <c r="D75" s="2969">
        <f t="shared" si="134"/>
        <v>110.5</v>
      </c>
      <c r="E75" s="2969">
        <f t="shared" si="170"/>
        <v>106.5</v>
      </c>
      <c r="F75" s="2969">
        <f t="shared" si="170"/>
        <v>103</v>
      </c>
      <c r="G75" s="3702">
        <v>2003</v>
      </c>
      <c r="H75" s="2910">
        <v>2</v>
      </c>
      <c r="I75" s="2967"/>
      <c r="J75" s="2967"/>
      <c r="K75" s="2967"/>
      <c r="L75" s="2967"/>
      <c r="X75" s="2959"/>
      <c r="Y75" s="2959"/>
      <c r="Z75" s="2959"/>
    </row>
    <row r="76" spans="1:26" ht="13.5" thickBot="1">
      <c r="A76" s="2895" t="s">
        <v>2599</v>
      </c>
      <c r="B76" s="2969">
        <f t="shared" si="169"/>
        <v>107.25</v>
      </c>
      <c r="C76" s="2969">
        <f t="shared" si="169"/>
        <v>108.75</v>
      </c>
      <c r="D76" s="2969">
        <f t="shared" si="134"/>
        <v>108.75</v>
      </c>
      <c r="E76" s="2969">
        <f t="shared" si="170"/>
        <v>105.75</v>
      </c>
      <c r="F76" s="2969">
        <f t="shared" si="170"/>
        <v>102.5</v>
      </c>
      <c r="G76" s="3705">
        <v>2003</v>
      </c>
      <c r="H76" s="2970">
        <v>1</v>
      </c>
      <c r="I76" s="2967"/>
      <c r="J76" s="2967"/>
      <c r="K76" s="2967"/>
      <c r="L76" s="2967"/>
      <c r="S76" s="2898"/>
      <c r="T76" s="2884"/>
      <c r="U76" s="2884"/>
      <c r="X76" s="2959"/>
      <c r="Y76" s="2959"/>
      <c r="Z76" s="2959"/>
    </row>
    <row r="77" spans="1:26" ht="13.5" thickBot="1">
      <c r="A77" s="2895" t="s">
        <v>2600</v>
      </c>
      <c r="B77" s="2971">
        <v>106</v>
      </c>
      <c r="C77" s="2971">
        <v>107</v>
      </c>
      <c r="D77" s="2971">
        <f t="shared" si="134"/>
        <v>107</v>
      </c>
      <c r="E77" s="2971">
        <v>105</v>
      </c>
      <c r="F77" s="2972">
        <v>102</v>
      </c>
      <c r="G77" s="3704">
        <v>2002</v>
      </c>
      <c r="H77" s="2919">
        <v>4</v>
      </c>
      <c r="I77" s="2967"/>
      <c r="J77" s="2967"/>
      <c r="K77" s="2967"/>
      <c r="L77" s="2967"/>
      <c r="N77" s="2968"/>
      <c r="O77" s="2967"/>
      <c r="P77" s="2967"/>
      <c r="Q77" s="2967"/>
      <c r="S77" s="2968"/>
      <c r="T77" s="2967"/>
      <c r="U77" s="2967"/>
      <c r="V77" s="2967"/>
      <c r="X77" s="2959"/>
      <c r="Y77" s="2959"/>
      <c r="Z77" s="2959"/>
    </row>
    <row r="78" spans="1:26">
      <c r="A78" s="2895" t="s">
        <v>2601</v>
      </c>
      <c r="B78" s="2969">
        <f t="shared" ref="B78:C80" si="171">B79+(B$77-B$81)/4</f>
        <v>105</v>
      </c>
      <c r="C78" s="2969">
        <f t="shared" si="171"/>
        <v>106</v>
      </c>
      <c r="D78" s="2969">
        <f t="shared" si="134"/>
        <v>106</v>
      </c>
      <c r="E78" s="2969">
        <f t="shared" ref="E78:F80" si="172">E79+(E$77-E$81)/4</f>
        <v>104.5</v>
      </c>
      <c r="F78" s="2969">
        <f t="shared" si="172"/>
        <v>101.5</v>
      </c>
      <c r="G78" s="3702">
        <v>2002</v>
      </c>
      <c r="H78" s="2922">
        <v>3</v>
      </c>
      <c r="I78" s="2967"/>
      <c r="J78" s="2967"/>
      <c r="K78" s="2967"/>
      <c r="L78" s="2967"/>
      <c r="X78" s="2959"/>
      <c r="Y78" s="2959"/>
      <c r="Z78" s="2959"/>
    </row>
    <row r="79" spans="1:26">
      <c r="A79" s="2895" t="s">
        <v>2602</v>
      </c>
      <c r="B79" s="2969">
        <f t="shared" si="171"/>
        <v>104</v>
      </c>
      <c r="C79" s="2969">
        <f t="shared" si="171"/>
        <v>105</v>
      </c>
      <c r="D79" s="2969">
        <f t="shared" si="134"/>
        <v>105</v>
      </c>
      <c r="E79" s="2969">
        <f t="shared" si="172"/>
        <v>104</v>
      </c>
      <c r="F79" s="2969">
        <f t="shared" si="172"/>
        <v>101</v>
      </c>
      <c r="G79" s="3702">
        <v>2002</v>
      </c>
      <c r="H79" s="2910">
        <v>2</v>
      </c>
      <c r="I79" s="2967"/>
      <c r="J79" s="2967"/>
      <c r="K79" s="2967"/>
      <c r="L79" s="2967"/>
      <c r="X79" s="2959"/>
      <c r="Y79" s="2959"/>
      <c r="Z79" s="2959"/>
    </row>
    <row r="80" spans="1:26" s="2932" customFormat="1" ht="13.5" thickBot="1">
      <c r="A80" s="2928" t="s">
        <v>2603</v>
      </c>
      <c r="B80" s="2935">
        <f t="shared" si="171"/>
        <v>103</v>
      </c>
      <c r="C80" s="2935">
        <f t="shared" si="171"/>
        <v>104</v>
      </c>
      <c r="D80" s="2935">
        <f t="shared" si="134"/>
        <v>104</v>
      </c>
      <c r="E80" s="2935">
        <f t="shared" si="172"/>
        <v>103.5</v>
      </c>
      <c r="F80" s="2935">
        <f t="shared" si="172"/>
        <v>100.5</v>
      </c>
      <c r="G80" s="3705">
        <v>2002</v>
      </c>
      <c r="H80" s="2973">
        <v>1</v>
      </c>
      <c r="I80" s="2974"/>
      <c r="J80" s="2974"/>
      <c r="K80" s="2974"/>
      <c r="L80" s="2974"/>
      <c r="N80" s="2975"/>
      <c r="S80" s="2975"/>
      <c r="X80" s="2976"/>
      <c r="Y80" s="2976"/>
      <c r="Z80" s="2976"/>
    </row>
    <row r="81" spans="1:26" ht="13.5" thickBot="1">
      <c r="B81" s="2977">
        <v>102</v>
      </c>
      <c r="C81" s="2978">
        <v>103</v>
      </c>
      <c r="D81" s="2978">
        <f t="shared" si="134"/>
        <v>103</v>
      </c>
      <c r="E81" s="2978">
        <v>103</v>
      </c>
      <c r="F81" s="2979">
        <v>100</v>
      </c>
      <c r="I81" s="2967"/>
      <c r="J81" s="2967"/>
      <c r="K81" s="2967"/>
      <c r="L81" s="2967"/>
      <c r="N81" s="2968"/>
      <c r="O81" s="2967"/>
      <c r="P81" s="2967"/>
      <c r="Q81" s="2967"/>
      <c r="S81" s="2968"/>
      <c r="T81" s="2967"/>
      <c r="U81" s="2967"/>
      <c r="V81" s="2967"/>
      <c r="X81" s="2909"/>
      <c r="Y81" s="2909"/>
      <c r="Z81" s="2909"/>
    </row>
    <row r="83" spans="1:26" s="2981" customFormat="1">
      <c r="A83" s="2980" t="s">
        <v>2604</v>
      </c>
      <c r="G83" s="2982"/>
      <c r="N83" s="2982"/>
      <c r="S83" s="2982"/>
    </row>
    <row r="84" spans="1:26" s="2981" customFormat="1">
      <c r="A84" s="2981" t="s">
        <v>2605</v>
      </c>
      <c r="G84" s="2982"/>
      <c r="N84" s="2982"/>
      <c r="S84" s="2982"/>
    </row>
    <row r="85" spans="1:26" s="2981" customFormat="1">
      <c r="A85" s="2981" t="s">
        <v>2606</v>
      </c>
      <c r="G85" s="2982"/>
      <c r="I85" s="2983"/>
      <c r="J85" s="2983"/>
      <c r="K85" s="2983"/>
      <c r="L85" s="2983"/>
      <c r="N85" s="2984"/>
      <c r="O85" s="2983"/>
      <c r="P85" s="2983"/>
      <c r="Q85" s="2983"/>
      <c r="S85" s="2984"/>
      <c r="T85" s="2983"/>
      <c r="U85" s="2983"/>
      <c r="V85" s="2983"/>
    </row>
    <row r="86" spans="1:26" s="2981" customFormat="1">
      <c r="A86" s="2981" t="s">
        <v>2607</v>
      </c>
      <c r="G86" s="2982"/>
      <c r="N86" s="2982"/>
      <c r="S86" s="2982"/>
    </row>
    <row r="93" spans="1:26" ht="13.5" thickBot="1"/>
    <row r="94" spans="1:26">
      <c r="G94" s="2883"/>
      <c r="S94" s="2985" t="s">
        <v>2608</v>
      </c>
      <c r="T94" s="2986" t="s">
        <v>2609</v>
      </c>
      <c r="U94" s="2986" t="s">
        <v>2610</v>
      </c>
      <c r="V94" s="2986" t="s">
        <v>2611</v>
      </c>
    </row>
    <row r="95" spans="1:26">
      <c r="G95" s="2883"/>
      <c r="N95" s="2908"/>
      <c r="O95" s="2909"/>
      <c r="P95" s="2909"/>
      <c r="Q95" s="2909"/>
      <c r="S95" s="2987">
        <v>2006</v>
      </c>
      <c r="T95" s="2988">
        <v>15.1</v>
      </c>
      <c r="U95" s="2988">
        <v>7.43</v>
      </c>
      <c r="V95" s="2988">
        <v>26.26</v>
      </c>
    </row>
    <row r="96" spans="1:26">
      <c r="G96" s="2883"/>
      <c r="N96" s="2908"/>
      <c r="O96" s="2909"/>
      <c r="P96" s="2909"/>
      <c r="Q96" s="2909"/>
      <c r="S96" s="2989">
        <v>2005</v>
      </c>
      <c r="T96" s="2990">
        <v>13.9</v>
      </c>
      <c r="U96" s="2990">
        <v>7.49</v>
      </c>
      <c r="V96" s="2990">
        <v>24.92</v>
      </c>
    </row>
    <row r="97" spans="7:22">
      <c r="G97" s="2883"/>
      <c r="N97" s="2908"/>
      <c r="O97" s="2909"/>
      <c r="P97" s="2909"/>
      <c r="Q97" s="2909"/>
      <c r="S97" s="2987">
        <v>2004</v>
      </c>
      <c r="T97" s="2988">
        <v>9.48</v>
      </c>
      <c r="U97" s="2988">
        <v>7.2</v>
      </c>
      <c r="V97" s="2988">
        <v>14.68</v>
      </c>
    </row>
    <row r="98" spans="7:22">
      <c r="G98" s="2883"/>
      <c r="N98" s="2908"/>
      <c r="O98" s="2909"/>
      <c r="P98" s="2909"/>
      <c r="Q98" s="2909"/>
      <c r="S98" s="2989">
        <v>2003</v>
      </c>
      <c r="T98" s="2990">
        <v>4.5</v>
      </c>
      <c r="U98" s="2990">
        <v>6.12</v>
      </c>
      <c r="V98" s="2990">
        <v>2.34</v>
      </c>
    </row>
    <row r="99" spans="7:22" ht="13.5" thickBot="1">
      <c r="G99" s="2883"/>
      <c r="N99" s="2908"/>
      <c r="O99" s="2909"/>
      <c r="P99" s="2909"/>
      <c r="Q99" s="2909"/>
      <c r="S99" s="2991">
        <v>2002</v>
      </c>
      <c r="T99" s="2992">
        <v>3.59</v>
      </c>
      <c r="U99" s="2992">
        <v>4.54</v>
      </c>
      <c r="V99" s="2992">
        <v>2.5499999999999998</v>
      </c>
    </row>
    <row r="100" spans="7:22">
      <c r="G100" s="2883"/>
      <c r="N100" s="2908"/>
      <c r="O100" s="2909"/>
      <c r="P100" s="2909"/>
      <c r="Q100" s="2909"/>
    </row>
    <row r="101" spans="7:22">
      <c r="G101" s="2883"/>
      <c r="N101" s="2908"/>
      <c r="O101" s="2909"/>
      <c r="P101" s="2909"/>
      <c r="Q101" s="2909"/>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c r="S110" s="2883"/>
    </row>
    <row r="111" spans="7:22">
      <c r="G111" s="2883"/>
      <c r="N111" s="2908"/>
      <c r="O111" s="2909"/>
      <c r="P111" s="2909"/>
      <c r="Q111" s="2909"/>
      <c r="S111" s="2883"/>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受贵公司委托，我公司对河北省出让国有建设用地使用权市场价格进行了预评估。</v>
      </c>
    </row>
    <row r="5" spans="1:4" ht="18.75">
      <c r="A5" s="1707" t="s">
        <v>1895</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98307平方米。根据《建设工程规划许可证》[]、《出让合同》[]，估价对象规划建筑面积为196602平方米。</v>
      </c>
    </row>
    <row r="7" spans="1:4" ht="56.25">
      <c r="A7" s="1708" t="s">
        <v>2720</v>
      </c>
    </row>
    <row r="8" spans="1:4" ht="18.75">
      <c r="A8" s="1707" t="s">
        <v>1896</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2014</v>
      </c>
    </row>
    <row r="11" spans="1:4" ht="18.75">
      <c r="A11" s="1693" t="str">
        <f>TEXT(项目基本情况!D3,"yyyy年m月d日;;")&amp;IF(项目基本情况!B3=项目基本情况!D3,"（评估专业人员勘察现场之日）","")</f>
        <v>2020年10月21日</v>
      </c>
    </row>
    <row r="12" spans="1:4" ht="18.75">
      <c r="A12" s="1710" t="s">
        <v>2013</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根据《国有土地使用证》[]，估价对象（分摊）出让国有建设用地使用权面积为98307平方米。根据《建设工程规划许可证》[]、《出让合同》[]，估价对象规划建筑面积为196602平方米。</v>
      </c>
    </row>
    <row r="21" spans="1:1" ht="18.75">
      <c r="A21" s="1704" t="s">
        <v>2062</v>
      </c>
    </row>
    <row r="22" spans="1:1" ht="11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地下车库2060年10月20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2063</v>
      </c>
    </row>
    <row r="25" spans="1:1" ht="75">
      <c r="A25" s="1704"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18.75">
      <c r="A26" s="1704" t="str">
        <f>IF(项目基本情况!B9="市场价格","——",IF(项目基本情况!E8="抵押价格",定义!C54,IF(项目基本情况!E8="已注销",定义!C55,定义!C56)))</f>
        <v>——</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4" t="str">
        <f>IF(项目基本情况!B9="市场价格","——",IF(项目基本情况!E9="——","",定义!C57))</f>
        <v>——</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875" defaultRowHeight="13.5"/>
  <cols>
    <col min="1" max="1" width="22.625" style="3243" customWidth="1"/>
    <col min="2" max="2" width="12.5" style="3243" customWidth="1"/>
    <col min="3" max="3" width="12.125" style="3243" customWidth="1"/>
    <col min="4" max="4" width="16.625" style="3243" customWidth="1"/>
    <col min="5" max="5" width="12.5" style="3243" customWidth="1"/>
    <col min="6" max="6" width="12.625" style="3243" customWidth="1"/>
    <col min="7" max="16384" width="8.875" style="3243"/>
  </cols>
  <sheetData>
    <row r="1" spans="1:14" ht="20.25">
      <c r="A1" s="3246" t="s">
        <v>2905</v>
      </c>
      <c r="B1" s="3241"/>
      <c r="C1" s="3241"/>
      <c r="D1" s="3241"/>
      <c r="E1" s="3241"/>
      <c r="F1" s="3241"/>
      <c r="G1" s="3242"/>
      <c r="H1" s="3242"/>
      <c r="I1" s="3242"/>
      <c r="J1" s="3242"/>
      <c r="K1" s="3242"/>
      <c r="L1" s="3242"/>
      <c r="M1" s="3242"/>
      <c r="N1" s="3242"/>
    </row>
    <row r="2" spans="1:14" ht="14.25">
      <c r="A2" s="3247" t="s">
        <v>2900</v>
      </c>
      <c r="B2" s="3252">
        <f ca="1">SUMIF(B7:B14,"&lt;&gt;#ref!",B7:B14)</f>
        <v>0</v>
      </c>
      <c r="C2" s="3247" t="s">
        <v>2901</v>
      </c>
      <c r="D2" s="3244"/>
      <c r="E2" s="3244"/>
      <c r="F2" s="3244"/>
      <c r="G2" s="3242"/>
      <c r="H2" s="3242"/>
      <c r="I2" s="3242"/>
      <c r="J2" s="3242"/>
      <c r="K2" s="3242"/>
      <c r="L2" s="3242"/>
      <c r="M2" s="3242"/>
      <c r="N2" s="3242"/>
    </row>
    <row r="3" spans="1:14" ht="14.25">
      <c r="A3" s="3247" t="s">
        <v>2930</v>
      </c>
      <c r="B3" s="3252" t="e">
        <f ca="1">ROUND(B2*10000/E3,0)</f>
        <v>#DIV/0!</v>
      </c>
      <c r="C3" s="3247" t="s">
        <v>2066</v>
      </c>
      <c r="D3" s="3247" t="s">
        <v>2902</v>
      </c>
      <c r="E3" s="3245">
        <f ca="1">SUMIF(E7:E14,"&lt;&gt;#ref!",E7:E14)</f>
        <v>0</v>
      </c>
      <c r="F3" s="3244"/>
      <c r="G3" s="3242"/>
      <c r="H3" s="3242"/>
      <c r="I3" s="3242"/>
      <c r="J3" s="3242"/>
      <c r="K3" s="3242"/>
      <c r="L3" s="3242"/>
      <c r="M3" s="3242"/>
      <c r="N3" s="3242"/>
    </row>
    <row r="4" spans="1:14" ht="14.25">
      <c r="A4" s="3247" t="s">
        <v>2908</v>
      </c>
      <c r="B4" s="3252" t="e">
        <f ca="1">ROUND(B2*10000/E4,0)</f>
        <v>#DIV/0!</v>
      </c>
      <c r="C4" s="3247" t="s">
        <v>2066</v>
      </c>
      <c r="D4" s="3247" t="s">
        <v>2909</v>
      </c>
      <c r="E4" s="3245">
        <f ca="1">SUMIF(F7:F14,"&lt;&gt;#ref!",F7:F14)</f>
        <v>0</v>
      </c>
      <c r="F4" s="3244"/>
      <c r="G4" s="3242"/>
      <c r="H4" s="3242"/>
      <c r="I4" s="3242"/>
      <c r="J4" s="3242"/>
      <c r="K4" s="3242"/>
      <c r="L4" s="3242"/>
      <c r="M4" s="3242"/>
      <c r="N4" s="3242"/>
    </row>
    <row r="5" spans="1:14" ht="14.25">
      <c r="A5" s="3248"/>
      <c r="B5" s="3244"/>
      <c r="C5" s="3244"/>
      <c r="D5" s="3244"/>
      <c r="E5" s="3244"/>
      <c r="F5" s="3244"/>
      <c r="G5" s="3242"/>
      <c r="H5" s="3242"/>
      <c r="I5" s="3242"/>
      <c r="J5" s="3242"/>
      <c r="K5" s="3242"/>
      <c r="L5" s="3242"/>
      <c r="M5" s="3242"/>
      <c r="N5" s="3242"/>
    </row>
    <row r="6" spans="1:14" ht="28.5">
      <c r="A6" s="3249" t="s">
        <v>2906</v>
      </c>
      <c r="B6" s="3247" t="s">
        <v>2903</v>
      </c>
      <c r="C6" s="2787"/>
      <c r="D6" s="3244"/>
      <c r="E6" s="3247" t="s">
        <v>2904</v>
      </c>
      <c r="F6" s="3247" t="s">
        <v>2907</v>
      </c>
      <c r="G6" s="3242"/>
      <c r="H6" s="3242"/>
      <c r="I6" s="3242"/>
      <c r="J6" s="3242"/>
      <c r="K6" s="3242"/>
      <c r="L6" s="3242"/>
      <c r="M6" s="3242"/>
      <c r="N6" s="3242"/>
    </row>
    <row r="7" spans="1:14" ht="14.25">
      <c r="A7" s="3250"/>
      <c r="B7" s="3252" t="e">
        <f ca="1">SUMIF(INDIRECT("'"&amp;A7&amp;"'"&amp;"!A:A"),"总价",INDIRECT("'"&amp;A7&amp;"'"&amp;"!B:B"))</f>
        <v>#REF!</v>
      </c>
      <c r="C7" s="3247" t="s">
        <v>2901</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4.25">
      <c r="A8" s="3250"/>
      <c r="B8" s="3252" t="e">
        <f t="shared" ref="B8:B14" ca="1" si="0">SUMIF(INDIRECT("'"&amp;A8&amp;"'"&amp;"!A:A"),"总价",INDIRECT("'"&amp;A8&amp;"'"&amp;"!B:B"))</f>
        <v>#REF!</v>
      </c>
      <c r="C8" s="3247" t="s">
        <v>2901</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4.25">
      <c r="A9" s="3250"/>
      <c r="B9" s="3252" t="e">
        <f t="shared" ca="1" si="0"/>
        <v>#REF!</v>
      </c>
      <c r="C9" s="3247" t="s">
        <v>2901</v>
      </c>
      <c r="D9" s="3244"/>
      <c r="E9" s="3245" t="e">
        <f t="shared" ca="1" si="1"/>
        <v>#REF!</v>
      </c>
      <c r="F9" s="3245" t="e">
        <f t="shared" ca="1" si="2"/>
        <v>#REF!</v>
      </c>
      <c r="G9" s="3242"/>
      <c r="H9" s="3242"/>
      <c r="I9" s="3242"/>
      <c r="J9" s="3242"/>
      <c r="K9" s="3242"/>
      <c r="L9" s="3242"/>
      <c r="M9" s="3242"/>
      <c r="N9" s="3242"/>
    </row>
    <row r="10" spans="1:14" ht="14.25">
      <c r="A10" s="3250"/>
      <c r="B10" s="3252" t="e">
        <f t="shared" ca="1" si="0"/>
        <v>#REF!</v>
      </c>
      <c r="C10" s="3247" t="s">
        <v>2901</v>
      </c>
      <c r="D10" s="3244"/>
      <c r="E10" s="3245" t="e">
        <f t="shared" ca="1" si="1"/>
        <v>#REF!</v>
      </c>
      <c r="F10" s="3245" t="e">
        <f t="shared" ca="1" si="2"/>
        <v>#REF!</v>
      </c>
      <c r="G10" s="3242"/>
      <c r="H10" s="3242"/>
      <c r="I10" s="3242"/>
      <c r="J10" s="3242"/>
      <c r="K10" s="3242"/>
      <c r="L10" s="3242"/>
      <c r="M10" s="3242"/>
      <c r="N10" s="3242"/>
    </row>
    <row r="11" spans="1:14" ht="14.25">
      <c r="A11" s="3250"/>
      <c r="B11" s="3252" t="e">
        <f t="shared" ca="1" si="0"/>
        <v>#REF!</v>
      </c>
      <c r="C11" s="3247" t="s">
        <v>2901</v>
      </c>
      <c r="D11" s="3244"/>
      <c r="E11" s="3245" t="e">
        <f t="shared" ca="1" si="1"/>
        <v>#REF!</v>
      </c>
      <c r="F11" s="3245" t="e">
        <f t="shared" ca="1" si="2"/>
        <v>#REF!</v>
      </c>
      <c r="G11" s="3242"/>
      <c r="H11" s="3242"/>
      <c r="I11" s="3242"/>
      <c r="J11" s="3242"/>
      <c r="K11" s="3242"/>
      <c r="L11" s="3242"/>
      <c r="M11" s="3242"/>
      <c r="N11" s="3242"/>
    </row>
    <row r="12" spans="1:14" ht="14.25">
      <c r="A12" s="3250"/>
      <c r="B12" s="3252" t="e">
        <f t="shared" ca="1" si="0"/>
        <v>#REF!</v>
      </c>
      <c r="C12" s="3247" t="s">
        <v>2901</v>
      </c>
      <c r="D12" s="3244"/>
      <c r="E12" s="3245" t="e">
        <f t="shared" ca="1" si="1"/>
        <v>#REF!</v>
      </c>
      <c r="F12" s="3245" t="e">
        <f t="shared" ca="1" si="2"/>
        <v>#REF!</v>
      </c>
      <c r="G12" s="3242"/>
      <c r="H12" s="3242"/>
      <c r="I12" s="3242"/>
      <c r="J12" s="3242"/>
      <c r="K12" s="3242"/>
      <c r="L12" s="3242"/>
      <c r="M12" s="3242"/>
      <c r="N12" s="3242"/>
    </row>
    <row r="13" spans="1:14" ht="14.25">
      <c r="A13" s="3250"/>
      <c r="B13" s="3252" t="e">
        <f t="shared" ca="1" si="0"/>
        <v>#REF!</v>
      </c>
      <c r="C13" s="3247" t="s">
        <v>2901</v>
      </c>
      <c r="D13" s="3244"/>
      <c r="E13" s="3245" t="e">
        <f t="shared" ca="1" si="1"/>
        <v>#REF!</v>
      </c>
      <c r="F13" s="3245" t="e">
        <f t="shared" ca="1" si="2"/>
        <v>#REF!</v>
      </c>
      <c r="G13" s="3242"/>
      <c r="H13" s="3242"/>
      <c r="I13" s="3242"/>
      <c r="J13" s="3242"/>
      <c r="K13" s="3242"/>
      <c r="L13" s="3242"/>
      <c r="M13" s="3242"/>
      <c r="N13" s="3242"/>
    </row>
    <row r="14" spans="1:14" ht="14.25">
      <c r="A14" s="3251"/>
      <c r="B14" s="3252" t="e">
        <f t="shared" ca="1" si="0"/>
        <v>#REF!</v>
      </c>
      <c r="C14" s="3247" t="s">
        <v>2901</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125" style="1940" customWidth="1"/>
    <col min="17" max="17" width="13.625" style="1940" customWidth="1"/>
    <col min="18" max="18" width="22.125" style="1940" customWidth="1"/>
    <col min="19" max="19" width="1.5" style="1940" customWidth="1"/>
    <col min="20" max="25" width="9" style="1940"/>
    <col min="26" max="16384" width="9" style="1941"/>
  </cols>
  <sheetData>
    <row r="1" spans="1:25" s="1935" customFormat="1" ht="21">
      <c r="A1" s="761" t="s">
        <v>622</v>
      </c>
      <c r="B1" s="729"/>
      <c r="C1" s="762"/>
      <c r="D1" s="1931"/>
      <c r="E1" s="2240" t="s">
        <v>2358</v>
      </c>
      <c r="F1" s="2241">
        <f ca="1">J54</f>
        <v>-1.5</v>
      </c>
      <c r="G1" s="763">
        <f>MATCH(C1,'数据-取费表'!A6:A16,0)+5</f>
        <v>13</v>
      </c>
      <c r="H1" s="1301"/>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2"/>
      <c r="D2" s="1936"/>
      <c r="E2" s="1937"/>
      <c r="F2" s="1937"/>
      <c r="G2" s="1523"/>
      <c r="H2" s="1314"/>
      <c r="I2" s="1938"/>
      <c r="J2" s="1938"/>
      <c r="K2" s="1939"/>
      <c r="L2" s="1938"/>
      <c r="M2" s="1938"/>
    </row>
    <row r="3" spans="1:25" ht="18" customHeight="1">
      <c r="A3" s="1572" t="s">
        <v>1676</v>
      </c>
      <c r="B3" s="1338">
        <f ca="1">ROUND(B2*10000/'数据-汇总表'!E3,0)</f>
        <v>0</v>
      </c>
      <c r="C3" s="1302"/>
      <c r="D3" s="1936"/>
      <c r="E3" s="1937"/>
      <c r="F3" s="1937"/>
      <c r="G3" s="1523"/>
      <c r="H3" s="765" t="s">
        <v>689</v>
      </c>
      <c r="I3" s="1938"/>
      <c r="J3" s="1938"/>
      <c r="K3" s="1939"/>
      <c r="L3" s="1938"/>
      <c r="M3" s="1938"/>
    </row>
    <row r="4" spans="1:25" ht="18" customHeight="1">
      <c r="A4" s="1573" t="s">
        <v>690</v>
      </c>
      <c r="B4" s="1303">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1" t="s">
        <v>692</v>
      </c>
      <c r="B6" s="1733" t="s">
        <v>693</v>
      </c>
      <c r="C6" s="1733" t="s">
        <v>626</v>
      </c>
      <c r="D6" s="1733" t="s">
        <v>627</v>
      </c>
      <c r="E6" s="768" t="s">
        <v>628</v>
      </c>
      <c r="F6" s="769"/>
      <c r="G6" s="1525"/>
      <c r="H6" s="1741" t="s">
        <v>624</v>
      </c>
      <c r="I6" s="1733" t="s">
        <v>625</v>
      </c>
      <c r="J6" s="1733" t="s">
        <v>626</v>
      </c>
      <c r="K6" s="1733" t="s">
        <v>627</v>
      </c>
      <c r="L6" s="768" t="s">
        <v>628</v>
      </c>
      <c r="M6" s="769"/>
    </row>
    <row r="7" spans="1:25" ht="18" customHeight="1">
      <c r="A7" s="770">
        <v>1</v>
      </c>
      <c r="B7" s="771" t="s">
        <v>2439</v>
      </c>
      <c r="C7" s="53">
        <f ca="1">C8+C12+C14</f>
        <v>0</v>
      </c>
      <c r="D7" s="2347" t="s">
        <v>2442</v>
      </c>
      <c r="E7" s="2341"/>
      <c r="F7" s="2342"/>
      <c r="G7" s="1525"/>
      <c r="H7" s="770">
        <v>1</v>
      </c>
      <c r="I7" s="771" t="s">
        <v>2439</v>
      </c>
      <c r="J7" s="53">
        <f ca="1">J8+J12+J14</f>
        <v>0</v>
      </c>
      <c r="K7" s="2347" t="s">
        <v>2442</v>
      </c>
      <c r="L7" s="2341"/>
      <c r="M7" s="2342"/>
    </row>
    <row r="8" spans="1:25" ht="18" customHeight="1">
      <c r="A8" s="1743" t="s">
        <v>1814</v>
      </c>
      <c r="B8" s="3713" t="s">
        <v>2444</v>
      </c>
      <c r="C8" s="1738">
        <f ca="1">ROUND(F8*F10*F9*(1-F11)/10000,0)</f>
        <v>0</v>
      </c>
      <c r="D8" s="1735" t="s">
        <v>2508</v>
      </c>
      <c r="E8" s="61" t="s">
        <v>631</v>
      </c>
      <c r="F8" s="774">
        <f ca="1">INDIRECT("'数据-取费表'!u"&amp;$G$1)</f>
        <v>0</v>
      </c>
      <c r="G8" s="1525"/>
      <c r="H8" s="2355" t="s">
        <v>1814</v>
      </c>
      <c r="I8" s="3713" t="s">
        <v>2444</v>
      </c>
      <c r="J8" s="772">
        <f ca="1">ROUND(M8*M10*M9*(1-M11)/10000,0)</f>
        <v>0</v>
      </c>
      <c r="K8" s="338" t="s">
        <v>2508</v>
      </c>
      <c r="L8" s="773" t="s">
        <v>1728</v>
      </c>
      <c r="M8" s="774">
        <f ca="1">INDIRECT("'数据-取费表'!z"&amp;$G$1)</f>
        <v>0</v>
      </c>
    </row>
    <row r="9" spans="1:25" ht="18" customHeight="1">
      <c r="A9" s="2351"/>
      <c r="B9" s="3714"/>
      <c r="C9" s="1739"/>
      <c r="D9" s="1736"/>
      <c r="E9" s="61" t="s">
        <v>632</v>
      </c>
      <c r="F9" s="774">
        <f ca="1">IF(INDIRECT("'数据-取费表'!ah"&amp;$G$1)="",INDIRECT("'数据-取费表'!k"&amp;$G$1),INDIRECT("'数据-取费表'!ah"&amp;$G$1))</f>
        <v>0</v>
      </c>
      <c r="G9" s="1525"/>
      <c r="H9" s="2340"/>
      <c r="I9" s="3714"/>
      <c r="J9" s="777"/>
      <c r="K9" s="778"/>
      <c r="L9" s="773" t="s">
        <v>1729</v>
      </c>
      <c r="M9" s="774">
        <f ca="1">F9</f>
        <v>0</v>
      </c>
    </row>
    <row r="10" spans="1:25" ht="18" customHeight="1">
      <c r="A10" s="2344"/>
      <c r="B10" s="3715"/>
      <c r="C10" s="1739"/>
      <c r="D10" s="1736"/>
      <c r="E10" s="61" t="s">
        <v>633</v>
      </c>
      <c r="F10" s="774">
        <f ca="1">INDIRECT("'数据-取费表'!ai"&amp;$G$1)</f>
        <v>0</v>
      </c>
      <c r="G10" s="1525"/>
      <c r="H10" s="2340"/>
      <c r="I10" s="3715"/>
      <c r="J10" s="777"/>
      <c r="K10" s="778"/>
      <c r="L10" s="773" t="s">
        <v>1730</v>
      </c>
      <c r="M10" s="774">
        <f ca="1">INDIRECT("'数据-取费表'!ai"&amp;$G$1)</f>
        <v>0</v>
      </c>
    </row>
    <row r="11" spans="1:25" ht="18" customHeight="1">
      <c r="A11" s="775"/>
      <c r="B11" s="3716"/>
      <c r="C11" s="1739"/>
      <c r="D11" s="1736"/>
      <c r="E11" s="61" t="s">
        <v>634</v>
      </c>
      <c r="F11" s="783">
        <f ca="1">INDIRECT("'数据-取费表'!w"&amp;$G$1)</f>
        <v>0</v>
      </c>
      <c r="G11" s="1525"/>
      <c r="H11" s="2356"/>
      <c r="I11" s="3715"/>
      <c r="J11" s="777"/>
      <c r="K11" s="778"/>
      <c r="L11" s="784" t="s">
        <v>1731</v>
      </c>
      <c r="M11" s="785">
        <f ca="1">INDIRECT("'数据-取费表'!ab"&amp;$G$1)</f>
        <v>0</v>
      </c>
    </row>
    <row r="12" spans="1:25" ht="18" customHeight="1">
      <c r="A12" s="1743" t="s">
        <v>1815</v>
      </c>
      <c r="B12" s="2345" t="s">
        <v>2440</v>
      </c>
      <c r="C12" s="788">
        <f ca="1">ROUND(IF(F12="押一",C8/12*F13,IF(F12="押二",C8/12*2*F13,IF(F12="押三",C8/12*3*F13,C13*F13))),0)</f>
        <v>0</v>
      </c>
      <c r="D12" s="2352" t="s">
        <v>2927</v>
      </c>
      <c r="E12" s="2349" t="s">
        <v>2445</v>
      </c>
      <c r="F12" s="2462"/>
      <c r="G12" s="1525"/>
      <c r="H12" s="2411" t="s">
        <v>1815</v>
      </c>
      <c r="I12" s="2416" t="s">
        <v>2440</v>
      </c>
      <c r="J12" s="772">
        <f ca="1">ROUND(IF(M12="押一",J8/12*M13,IF(M12="押二",J8/12*2*M13,IF(M12="押三",J8/12*3*M13,J13*M13))),0)</f>
        <v>0</v>
      </c>
      <c r="K12" s="2352" t="s">
        <v>2927</v>
      </c>
      <c r="L12" s="2349" t="s">
        <v>2445</v>
      </c>
      <c r="M12" s="2462"/>
    </row>
    <row r="13" spans="1:25" ht="18" customHeight="1">
      <c r="A13" s="779"/>
      <c r="B13" s="2346" t="s">
        <v>2547</v>
      </c>
      <c r="C13" s="2350"/>
      <c r="D13" s="778"/>
      <c r="E13" s="2349" t="s">
        <v>2437</v>
      </c>
      <c r="F13" s="785">
        <f ca="1">'数据-取费表'!B39</f>
        <v>1.4999999999999999E-2</v>
      </c>
      <c r="G13" s="1525"/>
      <c r="H13" s="2412"/>
      <c r="I13" s="2346" t="s">
        <v>2547</v>
      </c>
      <c r="J13" s="2350"/>
      <c r="K13" s="2413"/>
      <c r="L13" s="2349" t="s">
        <v>2437</v>
      </c>
      <c r="M13" s="2343">
        <f ca="1">'数据-取费表'!B39</f>
        <v>1.4999999999999999E-2</v>
      </c>
    </row>
    <row r="14" spans="1:25" ht="18" customHeight="1" thickBot="1">
      <c r="A14" s="2387" t="s">
        <v>2448</v>
      </c>
      <c r="B14" s="2388" t="s">
        <v>2441</v>
      </c>
      <c r="C14" s="2389"/>
      <c r="D14" s="2390"/>
      <c r="E14" s="2391"/>
      <c r="F14" s="2392"/>
      <c r="G14" s="1525"/>
      <c r="H14" s="2401" t="s">
        <v>2448</v>
      </c>
      <c r="I14" s="2414" t="s">
        <v>2441</v>
      </c>
      <c r="J14" s="2415"/>
      <c r="K14" s="2390"/>
      <c r="L14" s="2391"/>
      <c r="M14" s="2404"/>
    </row>
    <row r="15" spans="1:25" ht="18" customHeight="1" thickTop="1">
      <c r="A15" s="1742" t="s">
        <v>1864</v>
      </c>
      <c r="B15" s="1740" t="s">
        <v>635</v>
      </c>
      <c r="C15" s="781">
        <f ca="1">ROUND(C31*F15,0)</f>
        <v>0</v>
      </c>
      <c r="D15" s="1747" t="s">
        <v>636</v>
      </c>
      <c r="E15" s="784" t="s">
        <v>637</v>
      </c>
      <c r="F15" s="789">
        <f ca="1">INDIRECT("'数据-取费表'!y"&amp;$G$1)</f>
        <v>0</v>
      </c>
      <c r="G15" s="1525"/>
      <c r="H15" s="1742" t="s">
        <v>1816</v>
      </c>
      <c r="I15" s="1740" t="s">
        <v>638</v>
      </c>
      <c r="J15" s="1732">
        <f ca="1">ROUND(J16*J17,0)</f>
        <v>0</v>
      </c>
      <c r="K15" s="1734" t="s">
        <v>636</v>
      </c>
      <c r="L15" s="790"/>
      <c r="M15" s="791"/>
    </row>
    <row r="16" spans="1:25" ht="18" customHeight="1">
      <c r="A16" s="792" t="s">
        <v>1865</v>
      </c>
      <c r="B16" s="773" t="s">
        <v>639</v>
      </c>
      <c r="C16" s="793">
        <f ca="1">INDIRECT("'数据-取费表'!m"&amp;$G$1)+INDIRECT("'数据-取费表'!t"&amp;$G$1)</f>
        <v>0</v>
      </c>
      <c r="D16" s="1891" t="s">
        <v>640</v>
      </c>
      <c r="E16" s="1892"/>
      <c r="F16" s="794"/>
      <c r="G16" s="1525"/>
      <c r="H16" s="792" t="s">
        <v>2057</v>
      </c>
      <c r="I16" s="2109" t="s">
        <v>2797</v>
      </c>
      <c r="J16" s="53">
        <f ca="1">C31</f>
        <v>0</v>
      </c>
      <c r="K16" s="26"/>
      <c r="L16" s="790"/>
      <c r="M16" s="791"/>
    </row>
    <row r="17" spans="1:25" s="1945" customFormat="1" ht="18" customHeight="1">
      <c r="A17" s="792" t="s">
        <v>1839</v>
      </c>
      <c r="B17" s="773" t="s">
        <v>641</v>
      </c>
      <c r="C17" s="53">
        <f ca="1">ROUND(C16*F17,0)</f>
        <v>0</v>
      </c>
      <c r="D17" s="795" t="s">
        <v>642</v>
      </c>
      <c r="E17" s="795" t="s">
        <v>643</v>
      </c>
      <c r="F17" s="796">
        <f>'数据-取费表'!B33</f>
        <v>0.05</v>
      </c>
      <c r="G17" s="1526"/>
      <c r="H17" s="792" t="s">
        <v>2058</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1840</v>
      </c>
      <c r="B18" s="773" t="s">
        <v>644</v>
      </c>
      <c r="C18" s="53">
        <f ca="1">ROUND(INDIRECT("'数据-取费表'!m"&amp;$G$1)*F18,0)</f>
        <v>0</v>
      </c>
      <c r="D18" s="773" t="s">
        <v>642</v>
      </c>
      <c r="E18" s="773" t="s">
        <v>643</v>
      </c>
      <c r="F18" s="798">
        <f ca="1">IF(INDIRECT("'数据-取费表'!c"&amp;$G$1)="住宅",'数据-取费表'!B34,0)</f>
        <v>0</v>
      </c>
      <c r="G18" s="1525"/>
      <c r="H18" s="786" t="s">
        <v>1817</v>
      </c>
      <c r="I18" s="787" t="s">
        <v>645</v>
      </c>
      <c r="J18" s="788">
        <f ca="1">ROUND(J19+J24+J25+J26,0)</f>
        <v>0</v>
      </c>
      <c r="K18" s="26" t="s">
        <v>646</v>
      </c>
      <c r="L18" s="1894"/>
      <c r="M18" s="56"/>
    </row>
    <row r="19" spans="1:25" s="1945" customFormat="1" ht="18" customHeight="1">
      <c r="A19" s="792" t="s">
        <v>1841</v>
      </c>
      <c r="B19" s="773" t="s">
        <v>647</v>
      </c>
      <c r="C19" s="53">
        <f ca="1">ROUND(F19*(INDIRECT("'数据-取费表'!k"&amp;$G$1)+INDIRECT("'数据-取费表'!S"&amp;$G$1))/10000,0)</f>
        <v>0</v>
      </c>
      <c r="D19" s="773" t="s">
        <v>648</v>
      </c>
      <c r="E19" s="773" t="s">
        <v>649</v>
      </c>
      <c r="F19" s="56">
        <f>'数据-取费表'!B35</f>
        <v>350</v>
      </c>
      <c r="G19" s="1526"/>
      <c r="H19" s="792" t="s">
        <v>2057</v>
      </c>
      <c r="I19" s="773" t="s">
        <v>650</v>
      </c>
      <c r="J19" s="3016">
        <f ca="1">ROUND(IF(AND(项目基本情况!B11="自然人",项目基本情况!B10="北京市"),J8*M19/(1+'数据-取费表'!C42),J20+J21+J22),0)</f>
        <v>0</v>
      </c>
      <c r="K19" s="1891" t="s">
        <v>651</v>
      </c>
      <c r="L19" s="1889" t="s">
        <v>652</v>
      </c>
      <c r="M19" s="3015"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1842</v>
      </c>
      <c r="B20" s="773" t="s">
        <v>653</v>
      </c>
      <c r="C20" s="53">
        <f ca="1">ROUND(C16*F20,0)</f>
        <v>0</v>
      </c>
      <c r="D20" s="773" t="s">
        <v>642</v>
      </c>
      <c r="E20" s="773" t="s">
        <v>643</v>
      </c>
      <c r="F20" s="798">
        <f>'数据-取费表'!B36</f>
        <v>1.4999999999999999E-2</v>
      </c>
      <c r="G20" s="1526"/>
      <c r="H20" s="792" t="s">
        <v>1821</v>
      </c>
      <c r="I20" s="773" t="s">
        <v>654</v>
      </c>
      <c r="J20" s="53">
        <f ca="1">ROUND(J8*M20/(1+'数据-取费表'!C42),1)</f>
        <v>0</v>
      </c>
      <c r="K20" s="1889" t="s">
        <v>655</v>
      </c>
      <c r="L20" s="773" t="s">
        <v>643</v>
      </c>
      <c r="M20" s="798">
        <f>'数据-取费表'!B41</f>
        <v>5.5000000000000007E-2</v>
      </c>
      <c r="N20" s="1944"/>
      <c r="O20" s="1944"/>
      <c r="P20" s="1944"/>
      <c r="Q20" s="1944"/>
      <c r="R20" s="1944"/>
      <c r="S20" s="1944"/>
      <c r="T20" s="1944"/>
      <c r="U20" s="1944"/>
      <c r="V20" s="1944"/>
      <c r="W20" s="1944"/>
      <c r="X20" s="1944"/>
      <c r="Y20" s="1944"/>
    </row>
    <row r="21" spans="1:25" ht="18" customHeight="1">
      <c r="A21" s="792" t="s">
        <v>1866</v>
      </c>
      <c r="B21" s="773" t="s">
        <v>656</v>
      </c>
      <c r="C21" s="53">
        <f ca="1">SUM(C16:C20)</f>
        <v>0</v>
      </c>
      <c r="D21" s="258" t="s">
        <v>657</v>
      </c>
      <c r="E21" s="1894"/>
      <c r="F21" s="56"/>
      <c r="G21" s="1525"/>
      <c r="H21" s="1743" t="s">
        <v>1839</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1867</v>
      </c>
      <c r="B22" s="773" t="s">
        <v>660</v>
      </c>
      <c r="C22" s="53">
        <f ca="1">ROUND(C21*F22,0)</f>
        <v>0</v>
      </c>
      <c r="D22" s="800" t="s">
        <v>661</v>
      </c>
      <c r="E22" s="773" t="s">
        <v>643</v>
      </c>
      <c r="F22" s="798">
        <f>'数据-取费表'!B37</f>
        <v>0.01</v>
      </c>
      <c r="G22" s="1526"/>
      <c r="H22" s="1745" t="s">
        <v>1840</v>
      </c>
      <c r="I22" s="1735" t="s">
        <v>662</v>
      </c>
      <c r="J22" s="54">
        <f ca="1">ROUND(M22*M23/10000,0)</f>
        <v>0</v>
      </c>
      <c r="K22" s="802" t="s">
        <v>663</v>
      </c>
      <c r="L22" s="773" t="s">
        <v>664</v>
      </c>
      <c r="M22" s="631">
        <f>'数据-取费表'!B52</f>
        <v>3</v>
      </c>
      <c r="N22" s="1944"/>
      <c r="O22" s="1944"/>
      <c r="P22" s="1944"/>
      <c r="Q22" s="1944"/>
      <c r="R22" s="1944"/>
      <c r="S22" s="1944"/>
      <c r="T22" s="1944"/>
      <c r="U22" s="1944"/>
      <c r="V22" s="1944"/>
      <c r="W22" s="1944"/>
      <c r="X22" s="1944"/>
      <c r="Y22" s="1944"/>
    </row>
    <row r="23" spans="1:25" s="1945" customFormat="1" ht="18" customHeight="1">
      <c r="A23" s="792" t="s">
        <v>1868</v>
      </c>
      <c r="B23" s="773" t="s">
        <v>665</v>
      </c>
      <c r="C23" s="53" t="s">
        <v>1</v>
      </c>
      <c r="D23" s="800" t="s">
        <v>666</v>
      </c>
      <c r="E23" s="773" t="s">
        <v>667</v>
      </c>
      <c r="F23" s="798">
        <f>'数据-取费表'!B38</f>
        <v>0.01</v>
      </c>
      <c r="G23" s="1526"/>
      <c r="H23" s="1746"/>
      <c r="I23" s="1737"/>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1869</v>
      </c>
      <c r="B24" s="773" t="s">
        <v>669</v>
      </c>
      <c r="C24" s="53"/>
      <c r="D24" s="2421" t="str">
        <f>IF(F25&lt;=1,"单利计息。","复利计息。")&amp;"建造成本、管理费用、销售费用产生的利息。"</f>
        <v>复利计息。建造成本、管理费用、销售费用产生的利息。</v>
      </c>
      <c r="E24" s="1894"/>
      <c r="F24" s="56"/>
      <c r="G24" s="1525"/>
      <c r="H24" s="1744" t="s">
        <v>2058</v>
      </c>
      <c r="I24" s="773" t="s">
        <v>670</v>
      </c>
      <c r="J24" s="53">
        <f ca="1">ROUND(J16*M24,0)</f>
        <v>0</v>
      </c>
      <c r="K24" s="1889" t="s">
        <v>671</v>
      </c>
      <c r="L24" s="773" t="s">
        <v>643</v>
      </c>
      <c r="M24" s="805">
        <f ca="1">INDIRECT("'数据-取费表'!Ak"&amp;$G$1)</f>
        <v>0</v>
      </c>
    </row>
    <row r="25" spans="1:25" s="1945" customFormat="1" ht="18" customHeight="1">
      <c r="A25" s="792" t="s">
        <v>1865</v>
      </c>
      <c r="B25" s="773" t="s">
        <v>2420</v>
      </c>
      <c r="C25" s="53">
        <f ca="1">ROUND(IF('数据-取费表'!B22&lt;=1,(C21+C22)*F26*F25/2,(C21+C22)*(POWER((1+F26),F25/2)-1)),0)</f>
        <v>0</v>
      </c>
      <c r="D25" s="2420" t="str">
        <f>IF(F25&lt;=1,"(建造成本+管理费用)×利率×(建设周期÷2)","(建造成本+管理费用)×((1+利率)^(建设周期÷2)-1)")</f>
        <v>(建造成本+管理费用)×((1+利率)^(建设周期÷2)-1)</v>
      </c>
      <c r="E25" s="773" t="s">
        <v>672</v>
      </c>
      <c r="F25" s="631">
        <f>'数据-取费表'!B20</f>
        <v>1.5</v>
      </c>
      <c r="G25" s="1526"/>
      <c r="H25" s="792" t="s">
        <v>1868</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1839</v>
      </c>
      <c r="B26" s="773" t="s">
        <v>675</v>
      </c>
      <c r="C26" s="53">
        <f ca="1">ROUND(IF('数据-取费表'!B22&lt;=1,F23*F26*F25/2,F23*(POWER((1+F26),F25/2)-1)),4)</f>
        <v>4.0000000000000002E-4</v>
      </c>
      <c r="D26" s="2420" t="str">
        <f>IF(F25&lt;=1,"销售费用×利率×(建设周期÷2)","销售费用×((1+利率)^(建设周期÷2)-1)")</f>
        <v>销售费用×((1+利率)^(建设周期÷2)-1)</v>
      </c>
      <c r="E26" s="773" t="s">
        <v>676</v>
      </c>
      <c r="F26" s="807">
        <f ca="1">'数据-取费表'!B40</f>
        <v>4.7500000000000001E-2</v>
      </c>
      <c r="G26" s="1526"/>
      <c r="H26" s="792" t="s">
        <v>1869</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1871</v>
      </c>
      <c r="B27" s="773" t="s">
        <v>678</v>
      </c>
      <c r="C27" s="53"/>
      <c r="D27" s="258" t="s">
        <v>679</v>
      </c>
      <c r="E27" s="1894"/>
      <c r="F27" s="56"/>
      <c r="G27" s="1525"/>
      <c r="H27" s="786" t="s">
        <v>1818</v>
      </c>
      <c r="I27" s="2721" t="s">
        <v>2794</v>
      </c>
      <c r="J27" s="788">
        <f ca="1">J7-J18</f>
        <v>0</v>
      </c>
      <c r="K27" s="1891" t="s">
        <v>694</v>
      </c>
      <c r="L27" s="1893"/>
      <c r="M27" s="808"/>
    </row>
    <row r="28" spans="1:25" ht="18" customHeight="1">
      <c r="A28" s="792" t="s">
        <v>1865</v>
      </c>
      <c r="B28" s="773" t="s">
        <v>2421</v>
      </c>
      <c r="C28" s="53">
        <f ca="1">ROUND((C21+C22)*F28,0)</f>
        <v>0</v>
      </c>
      <c r="D28" s="800" t="s">
        <v>695</v>
      </c>
      <c r="E28" s="784" t="s">
        <v>696</v>
      </c>
      <c r="F28" s="783">
        <f ca="1">INDIRECT("'数据-取费表'!q"&amp;$G$1)</f>
        <v>0</v>
      </c>
      <c r="G28" s="1525"/>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1872</v>
      </c>
      <c r="B30" s="773" t="s">
        <v>681</v>
      </c>
      <c r="C30" s="53">
        <f>ROUND(F30/(1+'数据-取费表'!C42),4)</f>
        <v>5.2400000000000002E-2</v>
      </c>
      <c r="D30" s="800" t="s">
        <v>703</v>
      </c>
      <c r="E30" s="773" t="s">
        <v>643</v>
      </c>
      <c r="F30" s="798">
        <f>'数据-取费表'!B41</f>
        <v>5.5000000000000007E-2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0" t="s">
        <v>1873</v>
      </c>
      <c r="B31" s="2391" t="s">
        <v>2795</v>
      </c>
      <c r="C31" s="2394">
        <f ca="1">ROUND((C21+C22+C25+C28)/(1-F23-C26-C29-C30),0)</f>
        <v>0</v>
      </c>
      <c r="D31" s="2395"/>
      <c r="E31" s="2396"/>
      <c r="F31" s="2397"/>
      <c r="G31" s="1526"/>
      <c r="H31" s="811" t="s">
        <v>1862</v>
      </c>
      <c r="I31" s="2722" t="s">
        <v>2796</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1866</v>
      </c>
      <c r="B33" s="773" t="s">
        <v>650</v>
      </c>
      <c r="C33" s="3016">
        <f ca="1">ROUND(IF(AND(项目基本情况!B11="自然人",项目基本情况!B10="北京市"),C8*F33/(1+'数据-取费表'!C42),C34+C35+C36),0)</f>
        <v>0</v>
      </c>
      <c r="D33" s="1891" t="s">
        <v>651</v>
      </c>
      <c r="E33" s="1889" t="s">
        <v>684</v>
      </c>
      <c r="F33" s="3015" t="str">
        <f>IF(项目基本情况!B11="企业","——",IF('数据-取费表'!B10="住宅",IF(F8*F9*F10/12/(1+'数据-取费表'!F30)&gt;100000,4%,2.5%),IF(F8*F9*F10/12/(1+'数据-取费表'!F30)&gt;100000,12%,7%)))</f>
        <v>——</v>
      </c>
      <c r="G33" s="1943"/>
      <c r="H33" s="3253" t="s">
        <v>2981</v>
      </c>
      <c r="I33" s="1947"/>
      <c r="J33" s="1948"/>
      <c r="K33" s="1949"/>
      <c r="L33" s="1950"/>
      <c r="M33" s="1951"/>
    </row>
    <row r="34" spans="1:18" ht="18" customHeight="1">
      <c r="A34" s="792" t="s">
        <v>1865</v>
      </c>
      <c r="B34" s="773" t="s">
        <v>654</v>
      </c>
      <c r="C34" s="53">
        <f ca="1">ROUND(C8*F34/(1+'数据-取费表'!C42),1)</f>
        <v>0</v>
      </c>
      <c r="D34" s="1889" t="s">
        <v>655</v>
      </c>
      <c r="E34" s="773" t="s">
        <v>643</v>
      </c>
      <c r="F34" s="798">
        <f>'数据-取费表'!B41</f>
        <v>5.5000000000000007E-2</v>
      </c>
      <c r="G34" s="1943"/>
      <c r="H34" s="1952"/>
      <c r="I34" s="1953"/>
      <c r="J34" s="1954"/>
      <c r="K34" s="1955"/>
      <c r="L34" s="1956"/>
      <c r="M34" s="1957"/>
    </row>
    <row r="35" spans="1:18" ht="18" customHeight="1">
      <c r="A35" s="792" t="s">
        <v>1839</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1870</v>
      </c>
      <c r="B36" s="338" t="s">
        <v>662</v>
      </c>
      <c r="C36" s="54">
        <f ca="1">ROUND(F36*F37/10000,1)</f>
        <v>0</v>
      </c>
      <c r="D36" s="802" t="s">
        <v>663</v>
      </c>
      <c r="E36" s="773" t="s">
        <v>664</v>
      </c>
      <c r="F36" s="631">
        <f>'数据-取费表'!B52</f>
        <v>3</v>
      </c>
      <c r="G36" s="1943"/>
      <c r="H36" s="1946"/>
      <c r="I36" s="3712"/>
      <c r="J36" s="1960"/>
      <c r="K36" s="1961"/>
      <c r="L36" s="1960"/>
      <c r="M36" s="1960"/>
    </row>
    <row r="37" spans="1:18" ht="18" customHeight="1">
      <c r="A37" s="803"/>
      <c r="B37" s="782"/>
      <c r="C37" s="69"/>
      <c r="D37" s="804"/>
      <c r="E37" s="773" t="s">
        <v>668</v>
      </c>
      <c r="F37" s="774">
        <f ca="1">INDIRECT("'数据-取费表'!r"&amp;$G$1)</f>
        <v>0</v>
      </c>
      <c r="G37" s="1943"/>
      <c r="H37" s="1946"/>
      <c r="I37" s="3712"/>
      <c r="J37" s="1958"/>
      <c r="K37" s="1959"/>
      <c r="L37" s="1958"/>
      <c r="M37" s="1958"/>
    </row>
    <row r="38" spans="1:18" ht="18" customHeight="1">
      <c r="A38" s="792" t="s">
        <v>1867</v>
      </c>
      <c r="B38" s="773" t="s">
        <v>670</v>
      </c>
      <c r="C38" s="53">
        <f ca="1">ROUND(C31*F38,1)</f>
        <v>0</v>
      </c>
      <c r="D38" s="1889" t="s">
        <v>685</v>
      </c>
      <c r="E38" s="773" t="s">
        <v>643</v>
      </c>
      <c r="F38" s="805">
        <f ca="1">INDIRECT("'数据-取费表'!Ak"&amp;$G$1)</f>
        <v>0</v>
      </c>
      <c r="G38" s="1943"/>
      <c r="H38" s="1958"/>
      <c r="I38" s="3019"/>
      <c r="J38" s="1898"/>
      <c r="K38" s="1962"/>
      <c r="L38" s="1958"/>
      <c r="M38" s="1958"/>
    </row>
    <row r="39" spans="1:18" ht="18" customHeight="1">
      <c r="A39" s="792" t="s">
        <v>1868</v>
      </c>
      <c r="B39" s="773" t="s">
        <v>673</v>
      </c>
      <c r="C39" s="53">
        <f ca="1">ROUND(C15*F39,1)</f>
        <v>0</v>
      </c>
      <c r="D39" s="1889" t="s">
        <v>674</v>
      </c>
      <c r="E39" s="773" t="s">
        <v>643</v>
      </c>
      <c r="F39" s="806">
        <f ca="1">INDIRECT("'数据-取费表'!Al"&amp;$G$1)</f>
        <v>0</v>
      </c>
      <c r="G39" s="1943"/>
      <c r="H39" s="1958"/>
      <c r="I39" s="3019"/>
      <c r="J39" s="1898"/>
      <c r="K39" s="1962"/>
      <c r="L39" s="1958"/>
      <c r="M39" s="1958"/>
    </row>
    <row r="40" spans="1:18" ht="18" customHeight="1" thickBot="1">
      <c r="A40" s="2410" t="s">
        <v>1869</v>
      </c>
      <c r="B40" s="2396" t="s">
        <v>660</v>
      </c>
      <c r="C40" s="2394">
        <f ca="1">ROUND(C7*F40,1)</f>
        <v>0</v>
      </c>
      <c r="D40" s="2395" t="s">
        <v>677</v>
      </c>
      <c r="E40" s="2396" t="s">
        <v>643</v>
      </c>
      <c r="F40" s="2392">
        <f ca="1">INDIRECT("'数据-取费表'!Am"&amp;$G$1)</f>
        <v>0</v>
      </c>
      <c r="G40" s="1943"/>
      <c r="H40" s="1958"/>
      <c r="I40" s="3019"/>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1866</v>
      </c>
      <c r="B42" s="823" t="s">
        <v>687</v>
      </c>
      <c r="C42" s="817">
        <f ca="1">C7-C32</f>
        <v>0</v>
      </c>
      <c r="D42" s="1891" t="s">
        <v>688</v>
      </c>
      <c r="E42" s="1893"/>
      <c r="F42" s="808"/>
      <c r="G42" s="1943"/>
      <c r="H42" s="1943"/>
      <c r="I42" s="1943"/>
      <c r="J42" s="1943"/>
      <c r="K42" s="1963"/>
      <c r="L42" s="1943"/>
      <c r="M42" s="1943"/>
    </row>
    <row r="43" spans="1:18" ht="18" customHeight="1">
      <c r="A43" s="792" t="s">
        <v>1867</v>
      </c>
      <c r="B43" s="823" t="s">
        <v>705</v>
      </c>
      <c r="C43" s="824">
        <f ca="1">ROUND(C15*F43,0)</f>
        <v>0</v>
      </c>
      <c r="D43" s="1307" t="s">
        <v>706</v>
      </c>
      <c r="E43" s="2792" t="s">
        <v>2916</v>
      </c>
      <c r="F43" s="2793">
        <f ca="1">INDIRECT("'数据-取费表'!j"&amp;$G$1)</f>
        <v>0</v>
      </c>
      <c r="G43" s="1943"/>
      <c r="H43" s="1943"/>
      <c r="I43" s="1943"/>
      <c r="J43" s="1943"/>
      <c r="K43" s="1963"/>
      <c r="L43" s="1943"/>
      <c r="M43" s="1943"/>
    </row>
    <row r="44" spans="1:18" ht="18" customHeight="1">
      <c r="A44" s="792" t="s">
        <v>1868</v>
      </c>
      <c r="B44" s="823" t="s">
        <v>707</v>
      </c>
      <c r="C44" s="1308">
        <f ca="1">C42-C43</f>
        <v>0</v>
      </c>
      <c r="D44" s="456" t="s">
        <v>708</v>
      </c>
      <c r="E44" s="457"/>
      <c r="F44" s="458"/>
      <c r="G44" s="1943"/>
      <c r="H44" s="1943"/>
      <c r="I44" s="1943"/>
      <c r="J44" s="1943"/>
      <c r="K44" s="1963"/>
      <c r="L44" s="1943"/>
      <c r="M44" s="1943"/>
    </row>
    <row r="45" spans="1:18" ht="18" customHeight="1">
      <c r="A45" s="792" t="s">
        <v>1869</v>
      </c>
      <c r="B45" s="1307" t="s">
        <v>709</v>
      </c>
      <c r="C45" s="2748">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4" t="s">
        <v>2919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2327</v>
      </c>
      <c r="J47" s="2232"/>
      <c r="K47" s="2233"/>
      <c r="L47" s="2808" t="str">
        <f ca="1">IF(M48="住宅",0,IF(L49&gt;J52,L61,J61))</f>
        <v>0</v>
      </c>
      <c r="O47" s="2247" t="s">
        <v>2394</v>
      </c>
      <c r="P47" s="1525"/>
      <c r="Q47" s="1533"/>
      <c r="R47" s="1525"/>
    </row>
    <row r="48" spans="1:18" s="1940" customFormat="1" ht="18" customHeight="1" thickBot="1">
      <c r="A48" s="1964"/>
      <c r="C48" s="1967"/>
      <c r="D48" s="1968"/>
      <c r="E48" s="1968"/>
      <c r="F48" s="1969"/>
      <c r="G48" s="1970"/>
      <c r="I48" s="2799" t="s">
        <v>2328</v>
      </c>
      <c r="J48" s="2234"/>
      <c r="K48" s="2805" t="s">
        <v>2333</v>
      </c>
      <c r="L48" s="2809">
        <f ca="1">INDIRECT("'数据-取费表'!d"&amp;$G$1)</f>
        <v>0</v>
      </c>
      <c r="M48" s="2791" t="str">
        <f>IF(ISNUMBER(FIND("住宅",C1)),"住宅","非住宅")</f>
        <v>非住宅</v>
      </c>
      <c r="O48" s="2248" t="s">
        <v>2359</v>
      </c>
      <c r="P48" s="2249" t="s">
        <v>2360</v>
      </c>
      <c r="Q48" s="2250" t="s">
        <v>2361</v>
      </c>
      <c r="R48" s="2249" t="s">
        <v>2362</v>
      </c>
    </row>
    <row r="49" spans="1:18" s="1940" customFormat="1" ht="18" customHeight="1" thickBot="1">
      <c r="A49" s="1964"/>
      <c r="D49" s="1971"/>
      <c r="E49" s="1972"/>
      <c r="F49" s="1969"/>
      <c r="G49" s="1970"/>
      <c r="H49" s="1973"/>
      <c r="I49" s="2796" t="s">
        <v>2329</v>
      </c>
      <c r="J49" s="2235"/>
      <c r="K49" s="2806" t="s">
        <v>2335</v>
      </c>
      <c r="L49" s="1820">
        <f ca="1">INDIRECT("'数据-取费表'!f"&amp;$G$1)</f>
        <v>0</v>
      </c>
      <c r="O49" s="2251" t="s">
        <v>2363</v>
      </c>
      <c r="P49" s="2252" t="s">
        <v>2389</v>
      </c>
      <c r="Q49" s="2253">
        <f ca="1">C41+J31</f>
        <v>0</v>
      </c>
      <c r="R49" s="2252" t="s">
        <v>2364</v>
      </c>
    </row>
    <row r="50" spans="1:18" s="1940" customFormat="1" ht="18" customHeight="1" thickBot="1">
      <c r="A50" s="1964"/>
      <c r="D50" s="1974"/>
      <c r="E50" s="1974"/>
      <c r="F50" s="1968"/>
      <c r="G50" s="1975"/>
      <c r="H50" s="1973"/>
      <c r="I50" s="2796" t="s">
        <v>2330</v>
      </c>
      <c r="J50" s="2236"/>
      <c r="K50" s="2807" t="s">
        <v>2336</v>
      </c>
      <c r="L50" s="2237"/>
      <c r="O50" s="2251" t="s">
        <v>2365</v>
      </c>
      <c r="P50" s="2252" t="s">
        <v>2390</v>
      </c>
      <c r="Q50" s="2253" t="str">
        <f ca="1">J61</f>
        <v>0</v>
      </c>
      <c r="R50" s="2252" t="s">
        <v>2366</v>
      </c>
    </row>
    <row r="51" spans="1:18" s="1940" customFormat="1" ht="18" customHeight="1" thickBot="1">
      <c r="A51" s="1976"/>
      <c r="D51" s="1974"/>
      <c r="E51" s="1974"/>
      <c r="F51" s="1965"/>
      <c r="H51" s="1973"/>
      <c r="I51" s="2796" t="s">
        <v>2331</v>
      </c>
      <c r="J51" s="2803">
        <f>SUMPRODUCT((I64:I66=J48)*(J63:L63=J49)*(J64:L66))</f>
        <v>0</v>
      </c>
      <c r="K51" s="2807" t="s">
        <v>2337</v>
      </c>
      <c r="L51" s="2237"/>
      <c r="O51" s="2254" t="s">
        <v>2367</v>
      </c>
      <c r="P51" s="2252" t="s">
        <v>2391</v>
      </c>
      <c r="Q51" s="2253">
        <f ca="1">C31</f>
        <v>0</v>
      </c>
      <c r="R51" s="2252" t="s">
        <v>2364</v>
      </c>
    </row>
    <row r="52" spans="1:18" s="1940" customFormat="1" ht="18" customHeight="1" thickBot="1">
      <c r="A52" s="1976"/>
      <c r="F52" s="1965"/>
      <c r="I52" s="2800" t="s">
        <v>2332</v>
      </c>
      <c r="J52" s="2804">
        <f>IF(J50="",J51,J50+J51-YEAR('数据-取费表'!B3))</f>
        <v>0</v>
      </c>
      <c r="K52" s="2796" t="s">
        <v>2338</v>
      </c>
      <c r="L52" s="2810">
        <f ca="1">C45</f>
        <v>0</v>
      </c>
      <c r="O52" s="2254" t="s">
        <v>2368</v>
      </c>
      <c r="P52" s="2252" t="s">
        <v>2369</v>
      </c>
      <c r="Q52" s="2255" t="e">
        <f ca="1">J59</f>
        <v>#VALUE!</v>
      </c>
      <c r="R52" s="2256"/>
    </row>
    <row r="53" spans="1:18" s="1940" customFormat="1" ht="18" customHeight="1" thickBot="1">
      <c r="A53" s="1976"/>
      <c r="F53" s="1965"/>
      <c r="I53" s="2801" t="s">
        <v>2405</v>
      </c>
      <c r="J53" s="2238"/>
      <c r="K53" s="2801" t="s">
        <v>2404</v>
      </c>
      <c r="L53" s="2238"/>
      <c r="O53" s="2254" t="s">
        <v>2370</v>
      </c>
      <c r="P53" s="2252" t="s">
        <v>2371</v>
      </c>
      <c r="Q53" s="2255">
        <f>J53</f>
        <v>0</v>
      </c>
      <c r="R53" s="2256"/>
    </row>
    <row r="54" spans="1:18" s="1940" customFormat="1" ht="29.25" thickBot="1">
      <c r="A54" s="1976"/>
      <c r="I54" s="2802" t="s">
        <v>2931</v>
      </c>
      <c r="J54" s="2855">
        <f ca="1">IF(M48="住宅",MAX(J52,L49-'数据-取费表'!B20),MIN(J52,L49-'数据-取费表'!B20))</f>
        <v>-1.5</v>
      </c>
      <c r="K54" s="3717"/>
      <c r="L54" s="3718"/>
      <c r="O54" s="2254" t="s">
        <v>2372</v>
      </c>
      <c r="P54" s="2252" t="s">
        <v>2373</v>
      </c>
      <c r="Q54" s="2253">
        <f ca="1">J54</f>
        <v>-1.5</v>
      </c>
      <c r="R54" s="2252" t="s">
        <v>2374</v>
      </c>
    </row>
    <row r="55" spans="1:18" s="1940" customFormat="1" ht="18" customHeight="1" thickBot="1">
      <c r="A55" s="1976"/>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1" t="s">
        <v>2375</v>
      </c>
      <c r="P55" s="2252" t="s">
        <v>2392</v>
      </c>
      <c r="Q55" s="2253">
        <f ca="1">Q49+Q50</f>
        <v>0</v>
      </c>
      <c r="R55" s="2256" t="s">
        <v>2376</v>
      </c>
    </row>
    <row r="56" spans="1:18" s="1940" customFormat="1" ht="16.5" thickBot="1">
      <c r="A56" s="1976"/>
      <c r="B56" s="1977"/>
      <c r="C56" s="1977"/>
      <c r="I56" s="2813" t="s">
        <v>2339</v>
      </c>
      <c r="J56" s="2785" t="e">
        <f ca="1">ROUND(IF(J48="钢混",J58/J51,1-(1-2%)*(J51-J58)/J51),3)</f>
        <v>#VALUE!</v>
      </c>
      <c r="K56" s="2814" t="s">
        <v>2340</v>
      </c>
      <c r="L56" s="2239"/>
      <c r="O56" s="2257" t="s">
        <v>2395</v>
      </c>
      <c r="P56" s="1525"/>
      <c r="Q56" s="1533"/>
      <c r="R56" s="1525"/>
    </row>
    <row r="57" spans="1:18" s="1940" customFormat="1" ht="43.5" thickBot="1">
      <c r="A57" s="1976"/>
      <c r="B57" s="1977"/>
      <c r="C57" s="1977"/>
      <c r="I57" s="2815" t="s">
        <v>2341</v>
      </c>
      <c r="J57" s="2825" t="s">
        <v>1669</v>
      </c>
      <c r="K57" s="2796" t="s">
        <v>2346</v>
      </c>
      <c r="L57" s="1820">
        <f ca="1">IF(L49&lt;J52,"——",L49-J52)</f>
        <v>0</v>
      </c>
      <c r="O57" s="2248" t="s">
        <v>2359</v>
      </c>
      <c r="P57" s="2249" t="s">
        <v>2360</v>
      </c>
      <c r="Q57" s="2250" t="s">
        <v>2361</v>
      </c>
      <c r="R57" s="2249" t="s">
        <v>2362</v>
      </c>
    </row>
    <row r="58" spans="1:18" s="1940" customFormat="1" ht="29.25" thickBot="1">
      <c r="A58" s="1976"/>
      <c r="B58" s="1977"/>
      <c r="C58" s="1977"/>
      <c r="I58" s="2816" t="s">
        <v>2342</v>
      </c>
      <c r="J58" s="2817" t="str">
        <f ca="1">IF(OR(M48="住宅",J52&lt;L49,J57="是"),"——",J52-L49)</f>
        <v>——</v>
      </c>
      <c r="K58" s="2796" t="s">
        <v>2347</v>
      </c>
      <c r="L58" s="1820">
        <f ca="1">IF(L49&lt;J52,"——",IF(L56="比较法",L50,IF(L56="基准地价",L51,L52)))</f>
        <v>0</v>
      </c>
      <c r="O58" s="2251" t="s">
        <v>2363</v>
      </c>
      <c r="P58" s="2252" t="s">
        <v>2389</v>
      </c>
      <c r="Q58" s="2253">
        <f ca="1">C41+J31</f>
        <v>0</v>
      </c>
      <c r="R58" s="2252" t="s">
        <v>2364</v>
      </c>
    </row>
    <row r="59" spans="1:18" s="1940" customFormat="1" ht="29.25" thickBot="1">
      <c r="A59" s="1976"/>
      <c r="B59" s="1977"/>
      <c r="C59" s="1977"/>
      <c r="I59" s="2816" t="s">
        <v>2343</v>
      </c>
      <c r="J59" s="2786" t="e">
        <f ca="1">IF(J56&lt;0.4,0.4,J56)</f>
        <v>#VALUE!</v>
      </c>
      <c r="K59" s="2796" t="s">
        <v>2348</v>
      </c>
      <c r="L59" s="1820">
        <f ca="1">IF(ISERROR(POWER(1+L53,L48-L49)*(POWER(1+L53,L49)-1)/(POWER(1+L53,L48)-1)),0,POWER(1+L53,L48-L49)*(POWER(1+L53,L49)-1)/(POWER(1+L53,L48)-1))</f>
        <v>0</v>
      </c>
      <c r="O59" s="2251" t="s">
        <v>2365</v>
      </c>
      <c r="P59" s="2252" t="s">
        <v>2396</v>
      </c>
      <c r="Q59" s="2253" t="e">
        <f ca="1">L61</f>
        <v>#DIV/0!</v>
      </c>
      <c r="R59" s="2256" t="s">
        <v>2398</v>
      </c>
    </row>
    <row r="60" spans="1:18" s="1940" customFormat="1" ht="29.25" thickBot="1">
      <c r="A60" s="1976"/>
      <c r="B60" s="1977"/>
      <c r="C60" s="1977"/>
      <c r="I60" s="2816" t="s">
        <v>2344</v>
      </c>
      <c r="J60" s="2817" t="str">
        <f ca="1">IF(OR(M48="住宅",J52&lt;L49,J57="是"),"——",ROUND(C30*J59,0))</f>
        <v>——</v>
      </c>
      <c r="K60" s="2796" t="s">
        <v>2349</v>
      </c>
      <c r="L60" s="1820">
        <f ca="1">IF(ISERROR(POWER(1+L53,L48-J52)*(POWER(1+L53,J52)-1)/(POWER(1+L53,L48)-1)),0,POWER(1+L53,L48-J52)*(POWER(1+L53,J52)-1)/(POWER(1+L53,L48)-1))</f>
        <v>0</v>
      </c>
      <c r="O60" s="2254" t="s">
        <v>2367</v>
      </c>
      <c r="P60" s="2252" t="s">
        <v>2397</v>
      </c>
      <c r="Q60" s="2253">
        <f>IF(L56="比较法",L50,IF(L56="基准地价",L51,0))</f>
        <v>0</v>
      </c>
      <c r="R60" s="2252" t="s">
        <v>2364</v>
      </c>
    </row>
    <row r="61" spans="1:18" s="1940" customFormat="1" ht="15.75" thickBot="1">
      <c r="A61" s="1976"/>
      <c r="B61" s="1977"/>
      <c r="C61" s="1977"/>
      <c r="I61" s="2818" t="s">
        <v>2345</v>
      </c>
      <c r="J61" s="2819" t="str">
        <f ca="1">IF(OR(M48="住宅",J52&lt;L49,J57="是"),"0",ROUND(J60/(1+J53)^J54,0))</f>
        <v>0</v>
      </c>
      <c r="K61" s="2820" t="s">
        <v>2350</v>
      </c>
      <c r="L61" s="2819" t="e">
        <f ca="1">IF(OR(M48="住宅",L49&lt;J52),0,ROUND(L58*(L59/L60-1),0))</f>
        <v>#DIV/0!</v>
      </c>
      <c r="O61" s="2254" t="s">
        <v>2368</v>
      </c>
      <c r="P61" s="2252" t="s">
        <v>2377</v>
      </c>
      <c r="Q61" s="2255">
        <f>L53</f>
        <v>0</v>
      </c>
      <c r="R61" s="2256"/>
    </row>
    <row r="62" spans="1:18" s="1940" customFormat="1" ht="20.25" thickBot="1">
      <c r="A62" s="1976"/>
      <c r="B62" s="1977"/>
      <c r="C62" s="1977"/>
      <c r="K62" s="1966"/>
      <c r="O62" s="2254" t="s">
        <v>2370</v>
      </c>
      <c r="P62" s="2252" t="s">
        <v>2378</v>
      </c>
      <c r="Q62" s="2253">
        <f ca="1">L59</f>
        <v>0</v>
      </c>
      <c r="R62" s="2256" t="s">
        <v>2379</v>
      </c>
    </row>
    <row r="63" spans="1:18" s="1940" customFormat="1" ht="20.25" thickBot="1">
      <c r="A63" s="1976"/>
      <c r="B63" s="1977"/>
      <c r="C63" s="1977"/>
      <c r="I63" s="2821" t="s">
        <v>2351</v>
      </c>
      <c r="J63" s="2822" t="s">
        <v>2352</v>
      </c>
      <c r="K63" s="2822" t="s">
        <v>2353</v>
      </c>
      <c r="L63" s="2822" t="s">
        <v>2334</v>
      </c>
      <c r="M63" s="2823" t="s">
        <v>2899</v>
      </c>
      <c r="O63" s="2254" t="s">
        <v>2372</v>
      </c>
      <c r="P63" s="2252" t="s">
        <v>2380</v>
      </c>
      <c r="Q63" s="2253">
        <f ca="1">L60</f>
        <v>0</v>
      </c>
      <c r="R63" s="2256" t="s">
        <v>2381</v>
      </c>
    </row>
    <row r="64" spans="1:18" s="1940" customFormat="1" ht="15.75" thickBot="1">
      <c r="A64" s="1976"/>
      <c r="B64" s="1977"/>
      <c r="C64" s="1977"/>
      <c r="I64" s="2821" t="s">
        <v>2354</v>
      </c>
      <c r="J64" s="2822">
        <v>70</v>
      </c>
      <c r="K64" s="2822">
        <v>50</v>
      </c>
      <c r="L64" s="2822">
        <v>80</v>
      </c>
      <c r="M64" s="2824">
        <v>0.02</v>
      </c>
      <c r="O64" s="2251" t="s">
        <v>2375</v>
      </c>
      <c r="P64" s="2252" t="s">
        <v>2392</v>
      </c>
      <c r="Q64" s="2253" t="e">
        <f ca="1">Q58+Q59</f>
        <v>#DIV/0!</v>
      </c>
      <c r="R64" s="2256" t="s">
        <v>2376</v>
      </c>
    </row>
    <row r="65" spans="1:18" s="1940" customFormat="1" ht="16.5" thickBot="1">
      <c r="A65" s="1976"/>
      <c r="B65" s="1977"/>
      <c r="C65" s="1977"/>
      <c r="I65" s="2821" t="s">
        <v>2355</v>
      </c>
      <c r="J65" s="2822">
        <v>50</v>
      </c>
      <c r="K65" s="2822">
        <v>35</v>
      </c>
      <c r="L65" s="2822">
        <v>60</v>
      </c>
      <c r="M65" s="834">
        <v>0</v>
      </c>
      <c r="O65" s="2257" t="s">
        <v>2399</v>
      </c>
      <c r="P65" s="1525"/>
      <c r="Q65" s="1533"/>
      <c r="R65" s="1525"/>
    </row>
    <row r="66" spans="1:18" s="1940" customFormat="1" ht="15.75" thickBot="1">
      <c r="A66" s="1976"/>
      <c r="B66" s="1977"/>
      <c r="C66" s="1977"/>
      <c r="I66" s="2821" t="s">
        <v>2356</v>
      </c>
      <c r="J66" s="2822">
        <v>40</v>
      </c>
      <c r="K66" s="2822">
        <v>30</v>
      </c>
      <c r="L66" s="2822">
        <v>50</v>
      </c>
      <c r="M66" s="2824">
        <v>0.02</v>
      </c>
      <c r="O66" s="2248" t="s">
        <v>2359</v>
      </c>
      <c r="P66" s="2249" t="s">
        <v>2360</v>
      </c>
      <c r="Q66" s="2250" t="s">
        <v>2361</v>
      </c>
      <c r="R66" s="2249" t="s">
        <v>2362</v>
      </c>
    </row>
    <row r="67" spans="1:18" s="1940" customFormat="1" ht="15.75" thickBot="1">
      <c r="A67" s="1976"/>
      <c r="B67" s="1977"/>
      <c r="C67" s="1977"/>
      <c r="K67" s="1966"/>
      <c r="O67" s="2251" t="s">
        <v>2363</v>
      </c>
      <c r="P67" s="2252" t="s">
        <v>2389</v>
      </c>
      <c r="Q67" s="2253">
        <f ca="1">C41+J31</f>
        <v>0</v>
      </c>
      <c r="R67" s="2252" t="s">
        <v>2364</v>
      </c>
    </row>
    <row r="68" spans="1:18" s="1940" customFormat="1" ht="20.25" thickBot="1">
      <c r="A68" s="1976"/>
      <c r="B68" s="1977"/>
      <c r="C68" s="1977"/>
      <c r="K68" s="1966"/>
      <c r="O68" s="2251" t="s">
        <v>2365</v>
      </c>
      <c r="P68" s="2252" t="s">
        <v>2396</v>
      </c>
      <c r="Q68" s="2253" t="e">
        <f ca="1">L61</f>
        <v>#DIV/0!</v>
      </c>
      <c r="R68" s="2256" t="s">
        <v>2398</v>
      </c>
    </row>
    <row r="69" spans="1:18" s="1940" customFormat="1" ht="21.75" thickBot="1">
      <c r="A69" s="1976"/>
      <c r="B69" s="1977"/>
      <c r="C69" s="1977"/>
      <c r="K69" s="1966"/>
      <c r="O69" s="2254" t="s">
        <v>2367</v>
      </c>
      <c r="P69" s="2252" t="s">
        <v>2397</v>
      </c>
      <c r="Q69" s="2258">
        <f ca="1">L52</f>
        <v>0</v>
      </c>
      <c r="R69" s="2259" t="s">
        <v>2400</v>
      </c>
    </row>
    <row r="70" spans="1:18" s="1940" customFormat="1" ht="20.25" thickBot="1">
      <c r="A70" s="1976"/>
      <c r="B70" s="1977"/>
      <c r="C70" s="1977"/>
      <c r="K70" s="1966"/>
      <c r="O70" s="2254" t="s">
        <v>2368</v>
      </c>
      <c r="P70" s="2260" t="s">
        <v>2382</v>
      </c>
      <c r="Q70" s="2253">
        <f ca="1">ROUND(Q71-Q72*Q73,0)</f>
        <v>0</v>
      </c>
      <c r="R70" s="2256"/>
    </row>
    <row r="71" spans="1:18" s="1940" customFormat="1" ht="15.75" thickBot="1">
      <c r="A71" s="1976"/>
      <c r="B71" s="1977"/>
      <c r="C71" s="1977"/>
      <c r="K71" s="1966"/>
      <c r="O71" s="2254" t="s">
        <v>2383</v>
      </c>
      <c r="P71" s="2260" t="s">
        <v>2384</v>
      </c>
      <c r="Q71" s="2253">
        <f ca="1">C42</f>
        <v>0</v>
      </c>
      <c r="R71" s="2252" t="s">
        <v>2364</v>
      </c>
    </row>
    <row r="72" spans="1:18" s="1940" customFormat="1" ht="15.75" thickBot="1">
      <c r="A72" s="1976"/>
      <c r="B72" s="1977"/>
      <c r="C72" s="1977"/>
      <c r="K72" s="1966"/>
      <c r="O72" s="2254" t="s">
        <v>2385</v>
      </c>
      <c r="P72" s="2260" t="s">
        <v>2386</v>
      </c>
      <c r="Q72" s="2253">
        <f ca="1">C15</f>
        <v>0</v>
      </c>
      <c r="R72" s="2252" t="s">
        <v>2364</v>
      </c>
    </row>
    <row r="73" spans="1:18" s="1940" customFormat="1" ht="15.75" thickBot="1">
      <c r="A73" s="1976"/>
      <c r="B73" s="1977"/>
      <c r="C73" s="1977"/>
      <c r="K73" s="1966"/>
      <c r="O73" s="2254" t="s">
        <v>2387</v>
      </c>
      <c r="P73" s="2260" t="s">
        <v>2388</v>
      </c>
      <c r="Q73" s="2255">
        <f ca="1">F43</f>
        <v>0</v>
      </c>
      <c r="R73" s="2256"/>
    </row>
    <row r="74" spans="1:18" s="1940" customFormat="1" ht="15.75" thickBot="1">
      <c r="A74" s="1976"/>
      <c r="B74" s="1977"/>
      <c r="C74" s="1977"/>
      <c r="K74" s="1966"/>
      <c r="O74" s="2254" t="s">
        <v>2370</v>
      </c>
      <c r="P74" s="2252" t="s">
        <v>2377</v>
      </c>
      <c r="Q74" s="2255">
        <f>L53</f>
        <v>0</v>
      </c>
      <c r="R74" s="2256"/>
    </row>
    <row r="75" spans="1:18" s="1940" customFormat="1" ht="20.25" thickBot="1">
      <c r="A75" s="1976"/>
      <c r="B75" s="1977"/>
      <c r="C75" s="1977"/>
      <c r="K75" s="1966"/>
      <c r="O75" s="2254" t="s">
        <v>2372</v>
      </c>
      <c r="P75" s="2252" t="s">
        <v>2378</v>
      </c>
      <c r="Q75" s="2253">
        <f ca="1">L59</f>
        <v>0</v>
      </c>
      <c r="R75" s="2256" t="s">
        <v>2379</v>
      </c>
    </row>
    <row r="76" spans="1:18" s="1940" customFormat="1" ht="20.25" thickBot="1">
      <c r="A76" s="1976"/>
      <c r="B76" s="1977"/>
      <c r="C76" s="1977"/>
      <c r="K76" s="1966"/>
      <c r="O76" s="2254" t="s">
        <v>2401</v>
      </c>
      <c r="P76" s="2252" t="s">
        <v>2380</v>
      </c>
      <c r="Q76" s="2253">
        <f ca="1">L60</f>
        <v>0</v>
      </c>
      <c r="R76" s="2256" t="s">
        <v>2381</v>
      </c>
    </row>
    <row r="77" spans="1:18" s="1940" customFormat="1" ht="15.75" thickBot="1">
      <c r="A77" s="1976"/>
      <c r="B77" s="1977"/>
      <c r="C77" s="1977"/>
      <c r="K77" s="1966"/>
      <c r="O77" s="2251" t="s">
        <v>2375</v>
      </c>
      <c r="P77" s="2252" t="s">
        <v>2392</v>
      </c>
      <c r="Q77" s="2253" t="e">
        <f ca="1">Q67+Q68</f>
        <v>#DIV/0!</v>
      </c>
      <c r="R77" s="2256" t="s">
        <v>2376</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68" priority="6">
      <formula>$F$12="自定义"</formula>
    </cfRule>
  </conditionalFormatting>
  <conditionalFormatting sqref="J13">
    <cfRule type="expression" dxfId="167" priority="5">
      <formula>$M$10="自定义"</formula>
    </cfRule>
  </conditionalFormatting>
  <conditionalFormatting sqref="K56">
    <cfRule type="expression" dxfId="166" priority="3">
      <formula>$L$48&gt;$J$51</formula>
    </cfRule>
  </conditionalFormatting>
  <conditionalFormatting sqref="I56">
    <cfRule type="expression" dxfId="165" priority="4">
      <formula>$J$51&gt;$L$48</formula>
    </cfRule>
  </conditionalFormatting>
  <conditionalFormatting sqref="I61">
    <cfRule type="expression" dxfId="164" priority="2">
      <formula>$J$51&gt;$L$48</formula>
    </cfRule>
  </conditionalFormatting>
  <conditionalFormatting sqref="K61">
    <cfRule type="expression" dxfId="16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H11" sqref="H11"/>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3441</v>
      </c>
      <c r="C1" s="1984"/>
      <c r="D1" s="1984"/>
      <c r="E1" s="1984"/>
      <c r="F1" s="1984"/>
      <c r="G1" s="1984"/>
      <c r="H1" s="1984"/>
      <c r="I1" s="1984"/>
      <c r="J1" s="1984"/>
      <c r="K1" s="415">
        <f>MATCH(B1,'数据-取费表'!A6:A16,0)+5</f>
        <v>11</v>
      </c>
      <c r="L1" s="289"/>
      <c r="M1" s="289"/>
      <c r="N1" s="289"/>
      <c r="O1" s="289"/>
      <c r="P1" s="289"/>
      <c r="Q1" s="289"/>
      <c r="R1" s="289"/>
      <c r="S1" s="289"/>
      <c r="T1" s="289"/>
      <c r="U1" s="289"/>
      <c r="V1" s="289"/>
      <c r="W1" s="289"/>
      <c r="X1" s="289"/>
      <c r="Y1" s="289"/>
      <c r="Z1" s="289"/>
    </row>
    <row r="2" spans="1:31" s="1922" customFormat="1" ht="18" customHeight="1">
      <c r="A2" s="1981" t="s">
        <v>461</v>
      </c>
      <c r="B2" s="1985">
        <f ca="1">C36</f>
        <v>-2594</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t="e">
        <f ca="1">ROUND(B2*10000/IF(B1="",'数据-汇总表'!E3,INDIRECT("'数据-取费表'!K"&amp;$K$1)),0)</f>
        <v>#DIV/0!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t="e">
        <f ca="1">ROUND(B2*10000/IF(B1="",'数据-汇总表'!D3,INDIRECT("'数据-取费表'!R"&amp;$K$1)),0)</f>
        <v>#DIV/0!</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t="e">
        <f ca="1">ROUND(B2/(IF(B1="",'数据-汇总表'!D3,INDIRECT("'数据-取费表'!R"&amp;$K$1))/666.67),0)</f>
        <v>#DIV/0!</v>
      </c>
      <c r="C5" s="424" t="s">
        <v>463</v>
      </c>
      <c r="D5" s="415"/>
      <c r="E5" s="415"/>
      <c r="F5" s="415"/>
      <c r="G5" s="415"/>
      <c r="H5" s="415"/>
      <c r="I5" s="415"/>
      <c r="J5" s="415"/>
      <c r="K5" s="415"/>
      <c r="L5" s="289"/>
      <c r="N5" s="1922" t="s">
        <v>3368</v>
      </c>
      <c r="O5" s="1922">
        <f ca="1">结果表!G19</f>
        <v>17216</v>
      </c>
      <c r="P5" s="1922" t="s">
        <v>3369</v>
      </c>
      <c r="U5" s="289"/>
      <c r="V5" s="289"/>
      <c r="W5" s="289"/>
      <c r="X5" s="289"/>
      <c r="Y5" s="289"/>
      <c r="Z5" s="289"/>
    </row>
    <row r="6" spans="1:31" s="1991" customFormat="1" ht="16.5" customHeight="1">
      <c r="A6" s="2542" t="s">
        <v>1832</v>
      </c>
      <c r="B6" s="2543"/>
      <c r="C6" s="2544">
        <f ca="1">SUM(C10:K10)</f>
        <v>-3202</v>
      </c>
      <c r="D6" s="2543"/>
      <c r="E6" s="2543"/>
      <c r="F6" s="2543"/>
      <c r="G6" s="2543"/>
      <c r="H6" s="2543"/>
      <c r="I6" s="2543"/>
      <c r="J6" s="2543"/>
      <c r="K6" s="2545"/>
      <c r="L6" s="3192"/>
      <c r="M6" s="3331" t="str">
        <f>C7</f>
        <v>住宅</v>
      </c>
      <c r="N6" s="3332">
        <f ca="1">C10/$C$6</f>
        <v>0</v>
      </c>
      <c r="O6" s="3332">
        <f ca="1">N6*$O$5</f>
        <v>0</v>
      </c>
      <c r="P6" s="3333">
        <f>C9</f>
        <v>188593</v>
      </c>
      <c r="Q6" s="3332">
        <f ca="1">ROUND(O6*10000/P6,0)</f>
        <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c r="J7" s="429"/>
      <c r="K7" s="430"/>
      <c r="M7" s="3334" t="str">
        <f>D7</f>
        <v>商业（底商）</v>
      </c>
      <c r="N7" s="1992">
        <f ca="1">D10/C6</f>
        <v>0</v>
      </c>
      <c r="O7" s="3332">
        <f t="shared" ref="O7:O10" ca="1" si="0">N7*$O$5</f>
        <v>0</v>
      </c>
      <c r="P7" s="3335">
        <f>D9</f>
        <v>2175</v>
      </c>
      <c r="Q7" s="3332">
        <f t="shared" ref="Q7:Q10" ca="1" si="1">ROUND(O7*10000/P7,0)</f>
        <v>0</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SUMIF('数据-汇总表'!$C19:$C33,'剩余法-酒店'!C7,'数据-汇总表'!$E19:$E33)</f>
        <v>188593</v>
      </c>
      <c r="D9" s="434">
        <f>SUMIF('数据-汇总表'!$C19:$C33,'剩余法-酒店'!D7,'数据-汇总表'!$E19:$E33)</f>
        <v>2175</v>
      </c>
      <c r="E9" s="434">
        <f>SUMIF('数据-汇总表'!$C19:$C33,'剩余法-酒店'!E7,'数据-汇总表'!$E19:$E33)</f>
        <v>0</v>
      </c>
      <c r="F9" s="434">
        <f>SUMIF('数据-汇总表'!$C19:$C33,'剩余法-酒店'!F7,'数据-汇总表'!$E19:$E33)</f>
        <v>0</v>
      </c>
      <c r="G9" s="434">
        <f>SUMIF('数据-汇总表'!$C19:$C33,'剩余法-酒店'!G7,'数据-汇总表'!$E19:$E33)</f>
        <v>0</v>
      </c>
      <c r="H9" s="434">
        <f>SUMIF('数据-汇总表'!$C19:$C33,'剩余法-酒店'!H7,'数据-汇总表'!$E19:$E33)</f>
        <v>0</v>
      </c>
      <c r="I9" s="434">
        <f>SUMIF('数据-汇总表'!$C19:$C33,'剩余法-酒店'!I7,'数据-汇总表'!$E19:$E33)</f>
        <v>0</v>
      </c>
      <c r="J9" s="434">
        <f>SUMIF('数据-汇总表'!$C19:$C33,'剩余法-酒店'!J7,'数据-汇总表'!$E19:$E33)</f>
        <v>0</v>
      </c>
      <c r="K9" s="435">
        <f>SUMIF('数据-汇总表'!$C19:$C33,'剩余法-酒店'!K7,'数据-汇总表'!$E19:$E33)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c r="D10" s="2739"/>
      <c r="E10" s="2739">
        <f ca="1">'不动产收益法-独商'!B2</f>
        <v>0</v>
      </c>
      <c r="F10" s="2551">
        <f ca="1">'不动产收益法-办公'!B2</f>
        <v>0</v>
      </c>
      <c r="G10" s="2551">
        <f ca="1">'不动产收益法-公寓'!B2</f>
        <v>0</v>
      </c>
      <c r="H10" s="2551">
        <f ca="1">'不动产收益法-酒店'!B2</f>
        <v>-3202</v>
      </c>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61" t="s">
        <v>470</v>
      </c>
      <c r="E12" s="3361" t="s">
        <v>471</v>
      </c>
      <c r="F12" s="3361"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0</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0</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0</v>
      </c>
      <c r="D16" s="2558">
        <f ca="1">IF(B1="",'数据-汇总表'!E3,INDIRECT("'数据-取费表'!K"&amp;$K$1)+INDIRECT("'数据-取费表'!S"&amp;$K$1))</f>
        <v>0</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0</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0</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61">
        <f ca="1">ROUND(D19*E19/10000,0)</f>
        <v>0</v>
      </c>
      <c r="D19" s="2568">
        <f ca="1">D16</f>
        <v>0</v>
      </c>
      <c r="E19" s="3361">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61">
        <f ca="1">C21+C22-IF(B1="",'数据-取费表'!B29,IF(G20="已全部缴纳",C21+C22,H20))</f>
        <v>0</v>
      </c>
      <c r="D20" s="2568"/>
      <c r="E20" s="3361"/>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0</v>
      </c>
      <c r="D21" s="2558">
        <f ca="1">IF(B1="",'数据-汇总表'!E5,IF(INDIRECT("'数据-取费表'!c"&amp;$K$1)="住宅",INDIRECT("'数据-取费表'!k"&amp;$K$1),0))</f>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0</v>
      </c>
      <c r="D22" s="2558">
        <f ca="1">IF(B1="",'数据-汇总表'!E6,IF(INDIRECT("'数据-取费表'!c"&amp;$K$1)="住宅",INDIRECT("'数据-取费表'!s"&amp;$K$1),INDIRECT("'数据-取费表'!k"&amp;$K$1)+INDIRECT("'数据-取费表'!s"&amp;$K$1)))</f>
        <v>0</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0</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-32</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-1</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-1</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-168</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-201</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-201</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-2</v>
      </c>
      <c r="D33" s="460">
        <f ca="1">C34</f>
        <v>5.1499999999999997E-2</v>
      </c>
      <c r="E33" s="462" t="s">
        <v>489</v>
      </c>
      <c r="F33" s="472">
        <f ca="1">IF(B1="",'数据-取费表'!Q16,INDIRECT("'数据-取费表'!q"&amp;$K$1))</f>
        <v>0.05</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5.1499999999999997E-2</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-2</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-2594</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t="e">
        <f ca="1">C36*10000/D19</f>
        <v>#DIV/0!</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B3" sqref="B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3441</v>
      </c>
      <c r="D1" s="2795" t="s">
        <v>943</v>
      </c>
      <c r="E1" s="2240" t="s">
        <v>2358</v>
      </c>
      <c r="F1" s="2241">
        <f ca="1">J53</f>
        <v>40</v>
      </c>
      <c r="G1" s="3254">
        <f>MATCH(C1,'数据-取费表'!A6:A16,0)+5</f>
        <v>11</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-3202</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-186</v>
      </c>
      <c r="D5" s="2347" t="s">
        <v>2442</v>
      </c>
      <c r="E5" s="2341"/>
      <c r="F5" s="2342"/>
      <c r="G5" s="1943"/>
      <c r="H5" s="770">
        <v>1</v>
      </c>
      <c r="I5" s="771" t="s">
        <v>2439</v>
      </c>
      <c r="J5" s="55">
        <f ca="1">J6+J10+J12</f>
        <v>0</v>
      </c>
      <c r="K5" s="2347" t="s">
        <v>2442</v>
      </c>
      <c r="L5" s="2341"/>
      <c r="M5" s="2342"/>
    </row>
    <row r="6" spans="1:33" ht="18" customHeight="1">
      <c r="A6" s="1743" t="s">
        <v>1814</v>
      </c>
      <c r="B6" s="3713" t="s">
        <v>2444</v>
      </c>
      <c r="C6" s="3388">
        <f ca="1">ROUND(酒店收入计算!E26*(1-'不动产收益法-酒店'!F9),0)</f>
        <v>-186</v>
      </c>
      <c r="D6" s="2348" t="s">
        <v>2443</v>
      </c>
      <c r="E6" s="773" t="s">
        <v>1728</v>
      </c>
      <c r="F6" s="774" t="e">
        <f ca="1">INDIRECT("'数据-取费表'!u"&amp;$G$1)</f>
        <v>#DIV/0!</v>
      </c>
      <c r="G6" s="1943"/>
      <c r="H6" s="2355" t="s">
        <v>2449</v>
      </c>
      <c r="I6" s="3713" t="s">
        <v>2444</v>
      </c>
      <c r="J6" s="772">
        <f ca="1">ROUND(M6*M8*M7*(1-M9)/10000,0)</f>
        <v>0</v>
      </c>
      <c r="K6" s="338" t="s">
        <v>1727</v>
      </c>
      <c r="L6" s="773" t="s">
        <v>1728</v>
      </c>
      <c r="M6" s="774">
        <f ca="1">INDIRECT("'数据-取费表'!z"&amp;$G$1)</f>
        <v>0</v>
      </c>
    </row>
    <row r="7" spans="1:33" ht="18" customHeight="1">
      <c r="A7" s="2351"/>
      <c r="B7" s="3714"/>
      <c r="C7" s="777"/>
      <c r="D7" s="778"/>
      <c r="E7" s="773" t="s">
        <v>1729</v>
      </c>
      <c r="F7" s="774">
        <f ca="1">IF(INDIRECT("'数据-取费表'!ah"&amp;$G$1)="",INDIRECT("'数据-取费表'!k"&amp;$G$1),INDIRECT("'数据-取费表'!ah"&amp;$G$1))</f>
        <v>0</v>
      </c>
      <c r="G7" s="1943"/>
      <c r="H7" s="2340"/>
      <c r="I7" s="3714"/>
      <c r="J7" s="777"/>
      <c r="K7" s="778"/>
      <c r="L7" s="773" t="s">
        <v>1729</v>
      </c>
      <c r="M7" s="774">
        <f ca="1">F7</f>
        <v>0</v>
      </c>
    </row>
    <row r="8" spans="1:33" ht="18" customHeight="1">
      <c r="A8" s="2344"/>
      <c r="B8" s="3715"/>
      <c r="C8" s="777"/>
      <c r="D8" s="778"/>
      <c r="E8" s="773" t="s">
        <v>1730</v>
      </c>
      <c r="F8" s="774">
        <f ca="1">INDIRECT("'数据-取费表'!ai"&amp;$G$1)</f>
        <v>365</v>
      </c>
      <c r="G8" s="1943"/>
      <c r="H8" s="2340"/>
      <c r="I8" s="3715"/>
      <c r="J8" s="777"/>
      <c r="K8" s="778"/>
      <c r="L8" s="773" t="s">
        <v>1730</v>
      </c>
      <c r="M8" s="774">
        <f ca="1">INDIRECT("'数据-取费表'!ai"&amp;$G$1)</f>
        <v>365</v>
      </c>
    </row>
    <row r="9" spans="1:33" ht="18" customHeight="1">
      <c r="A9" s="775"/>
      <c r="B9" s="3716"/>
      <c r="C9" s="777"/>
      <c r="D9" s="778"/>
      <c r="E9" s="773" t="s">
        <v>1731</v>
      </c>
      <c r="F9" s="783">
        <f ca="1">INDIRECT("'数据-取费表'!w"&amp;$G$1)</f>
        <v>0.25</v>
      </c>
      <c r="G9" s="1943"/>
      <c r="H9" s="2356"/>
      <c r="I9" s="3715"/>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3508</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328" t="s">
        <v>1735</v>
      </c>
      <c r="E14" s="332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330"/>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328" t="s">
        <v>1743</v>
      </c>
      <c r="L17" s="3329"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329"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325"/>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325"/>
      <c r="F22" s="56"/>
      <c r="G22" s="1943"/>
      <c r="H22" s="1576" t="s">
        <v>1879</v>
      </c>
      <c r="I22" s="773" t="s">
        <v>1758</v>
      </c>
      <c r="J22" s="53">
        <f ca="1">ROUND(J14*M22,0)</f>
        <v>0</v>
      </c>
      <c r="K22" s="3329"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329"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325"/>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0.05</v>
      </c>
      <c r="G26" s="1943"/>
      <c r="H26" s="2353" t="s">
        <v>1770</v>
      </c>
      <c r="I26" s="2110" t="s">
        <v>2799</v>
      </c>
      <c r="J26" s="772">
        <f ca="1">IF(J5&lt;&gt;0,ROUND(J25*(1-((1+M28)/(1+M26))^M27)/(M26-M28),0),0)</f>
        <v>0</v>
      </c>
      <c r="K26" s="802" t="s">
        <v>1771</v>
      </c>
      <c r="L26" s="773" t="s">
        <v>2403</v>
      </c>
      <c r="M26" s="783">
        <f ca="1">INDIRECT("'数据-取费表'!I"&amp;$G$1)</f>
        <v>4.4999999999999998E-2</v>
      </c>
    </row>
    <row r="27" spans="1:33" ht="18" customHeight="1">
      <c r="A27" s="1575" t="s">
        <v>1822</v>
      </c>
      <c r="B27" s="773" t="s">
        <v>680</v>
      </c>
      <c r="C27" s="53">
        <f ca="1">ROUND(F21*F26,4)</f>
        <v>5.0000000000000001E-4</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-12</v>
      </c>
      <c r="D30" s="1734" t="s">
        <v>1781</v>
      </c>
      <c r="E30" s="3330"/>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-10</v>
      </c>
      <c r="D31" s="3328" t="s">
        <v>1782</v>
      </c>
      <c r="E31" s="3329"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f ca="1">ROUND(C6*F32/(1+'数据-取费表'!C42),1)</f>
        <v>-9.6999999999999993</v>
      </c>
      <c r="D32" s="3329"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329" t="s">
        <v>1793</v>
      </c>
      <c r="E36" s="773" t="s">
        <v>1786</v>
      </c>
      <c r="F36" s="805">
        <f ca="1">INDIRECT("'数据-取费表'!Ak"&amp;$G$1)</f>
        <v>1.4999999999999999E-2</v>
      </c>
      <c r="G36" s="1943"/>
      <c r="H36" s="1958"/>
      <c r="I36" s="827" t="s">
        <v>1805</v>
      </c>
      <c r="J36" s="828">
        <f ca="1">INDIRECT("'数据-取费表'!j"&amp;$G$1)</f>
        <v>6.5000000000000002E-2</v>
      </c>
      <c r="K36" s="1962"/>
      <c r="L36" s="1958"/>
      <c r="M36" s="1958"/>
    </row>
    <row r="37" spans="1:18" ht="18" customHeight="1">
      <c r="A37" s="1576" t="s">
        <v>1880</v>
      </c>
      <c r="B37" s="773" t="s">
        <v>673</v>
      </c>
      <c r="C37" s="53">
        <f ca="1">ROUND(C13*F37,1)</f>
        <v>0</v>
      </c>
      <c r="D37" s="3329"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-1.9</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-174</v>
      </c>
      <c r="D39" s="2398" t="s">
        <v>1796</v>
      </c>
      <c r="E39" s="2399"/>
      <c r="F39" s="2400"/>
      <c r="G39" s="1943"/>
      <c r="H39" s="1958"/>
      <c r="I39" s="825" t="s">
        <v>1808</v>
      </c>
      <c r="J39" s="833">
        <f ca="1">ROUND(J35/C39,3)</f>
        <v>0</v>
      </c>
      <c r="K39" s="1963"/>
      <c r="L39" s="1958"/>
      <c r="M39" s="1958"/>
    </row>
    <row r="40" spans="1:18" ht="18" customHeight="1">
      <c r="A40" s="770" t="s">
        <v>1885</v>
      </c>
      <c r="B40" s="2110" t="s">
        <v>2288</v>
      </c>
      <c r="C40" s="772">
        <f ca="1">ROUND(C39*(1-((1+F42)/(1+F40))^F41)/(F40-F42),0)</f>
        <v>-3202</v>
      </c>
      <c r="D40" s="802" t="s">
        <v>1797</v>
      </c>
      <c r="E40" s="773" t="s">
        <v>2403</v>
      </c>
      <c r="F40" s="783">
        <f ca="1">INDIRECT("'数据-取费表'!I"&amp;$G$1)</f>
        <v>4.4999999999999998E-2</v>
      </c>
      <c r="G40" s="1943"/>
      <c r="H40" s="1943"/>
      <c r="I40" s="825" t="s">
        <v>1809</v>
      </c>
      <c r="J40" s="833">
        <f ca="1">1-J39</f>
        <v>1</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f ca="1">ROUND(C13/C40,3)</f>
        <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f ca="1">1-J42</f>
        <v>1</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3202</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-3202</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-3936</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9" t="s">
        <v>2920</v>
      </c>
      <c r="L53" s="3720"/>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-3202</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329"/>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325"/>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-3202</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328" t="s">
        <v>651</v>
      </c>
      <c r="E58" s="3329"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329"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329"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329" t="s">
        <v>1793</v>
      </c>
      <c r="E63" s="773" t="s">
        <v>1737</v>
      </c>
      <c r="F63" s="805">
        <f t="shared" ca="1" si="0"/>
        <v>1.4999999999999999E-2</v>
      </c>
      <c r="I63" s="2821" t="s">
        <v>2354</v>
      </c>
      <c r="J63" s="2822">
        <v>70</v>
      </c>
      <c r="K63" s="2822">
        <v>50</v>
      </c>
      <c r="L63" s="2822">
        <v>80</v>
      </c>
      <c r="M63" s="2824">
        <v>0.02</v>
      </c>
      <c r="O63" s="2251" t="s">
        <v>2375</v>
      </c>
      <c r="P63" s="2252" t="s">
        <v>2392</v>
      </c>
      <c r="Q63" s="2253">
        <f ca="1">Q57+Q58</f>
        <v>-3202</v>
      </c>
      <c r="R63" s="2256" t="s">
        <v>2376</v>
      </c>
    </row>
    <row r="64" spans="1:18" s="1940" customFormat="1" ht="16.5" thickBot="1">
      <c r="A64" s="1576" t="s">
        <v>1880</v>
      </c>
      <c r="B64" s="773" t="s">
        <v>673</v>
      </c>
      <c r="C64" s="53">
        <f ca="1">ROUND(C55*F64,1)</f>
        <v>0</v>
      </c>
      <c r="D64" s="3329"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329"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328" t="s">
        <v>694</v>
      </c>
      <c r="E66" s="3326"/>
      <c r="F66" s="808"/>
      <c r="K66" s="1966"/>
      <c r="O66" s="2251" t="s">
        <v>2363</v>
      </c>
      <c r="P66" s="2252" t="s">
        <v>2393</v>
      </c>
      <c r="Q66" s="2253">
        <f ca="1">C40+J29</f>
        <v>-3202</v>
      </c>
      <c r="R66" s="2252" t="s">
        <v>2364</v>
      </c>
    </row>
    <row r="67" spans="1:18" s="1940" customFormat="1" ht="20.25" thickBot="1">
      <c r="A67" s="770" t="s">
        <v>1770</v>
      </c>
      <c r="B67" s="2110" t="s">
        <v>2288</v>
      </c>
      <c r="C67" s="772">
        <f ca="1">ROUND(C66*(1-((1+F69)/(1+F67))^F68)/(F67-F69),0)</f>
        <v>0</v>
      </c>
      <c r="D67" s="802" t="s">
        <v>698</v>
      </c>
      <c r="E67" s="773" t="s">
        <v>699</v>
      </c>
      <c r="F67" s="783">
        <f ca="1">F40</f>
        <v>4.4999999999999998E-2</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-3936</v>
      </c>
      <c r="R68" s="2259" t="s">
        <v>2400</v>
      </c>
    </row>
    <row r="69" spans="1:18" ht="20.25" thickBot="1">
      <c r="A69" s="779"/>
      <c r="B69" s="780"/>
      <c r="C69" s="781"/>
      <c r="D69" s="804"/>
      <c r="E69" s="773" t="s">
        <v>704</v>
      </c>
      <c r="F69" s="2224"/>
      <c r="O69" s="2254" t="s">
        <v>2368</v>
      </c>
      <c r="P69" s="2260" t="s">
        <v>2382</v>
      </c>
      <c r="Q69" s="2253">
        <f ca="1">ROUND(Q70-Q71*Q72,0)</f>
        <v>-174</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-174</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6.5000000000000002E-2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-3202</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62" priority="6">
      <formula>$L$48&gt;$J$51</formula>
    </cfRule>
  </conditionalFormatting>
  <conditionalFormatting sqref="I55">
    <cfRule type="expression" dxfId="161" priority="7">
      <formula>$J$51&gt;$L$48</formula>
    </cfRule>
  </conditionalFormatting>
  <conditionalFormatting sqref="I60">
    <cfRule type="expression" dxfId="160" priority="5">
      <formula>$J$51&gt;$L$48</formula>
    </cfRule>
  </conditionalFormatting>
  <conditionalFormatting sqref="K60">
    <cfRule type="expression" dxfId="159" priority="4">
      <formula>$L$48&gt;$J$51</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3">
    <cfRule type="expression" dxfId="1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0"/>
  <sheetViews>
    <sheetView topLeftCell="A10" zoomScale="90" zoomScaleNormal="90" workbookViewId="0">
      <selection activeCell="H21" sqref="H21"/>
    </sheetView>
  </sheetViews>
  <sheetFormatPr defaultColWidth="8.875" defaultRowHeight="13.5"/>
  <cols>
    <col min="1" max="1" width="10.5" customWidth="1"/>
    <col min="2" max="2" width="12.875" customWidth="1"/>
    <col min="3" max="3" width="8.625" customWidth="1"/>
    <col min="17" max="17" width="13.625" customWidth="1"/>
  </cols>
  <sheetData>
    <row r="1" spans="1:19" ht="14.25">
      <c r="A1" s="3721" t="s">
        <v>2452</v>
      </c>
      <c r="B1" s="3722"/>
      <c r="C1" s="3723"/>
      <c r="D1" s="3724">
        <f>SUM(I10,I15,I20,I21,I23)</f>
        <v>-414</v>
      </c>
      <c r="E1" s="3724"/>
      <c r="F1" s="3724"/>
      <c r="G1" s="3724"/>
      <c r="H1" s="3724"/>
      <c r="I1" s="3725"/>
    </row>
    <row r="2" spans="1:19">
      <c r="A2" s="3726" t="s">
        <v>2453</v>
      </c>
      <c r="B2" s="3727" t="s">
        <v>2454</v>
      </c>
      <c r="C2" s="3727"/>
      <c r="D2" s="2358" t="s">
        <v>2455</v>
      </c>
      <c r="E2" s="2358" t="s">
        <v>2456</v>
      </c>
      <c r="F2" s="2358" t="s">
        <v>2457</v>
      </c>
      <c r="G2" s="2358" t="s">
        <v>2458</v>
      </c>
      <c r="H2" s="2358" t="s">
        <v>2459</v>
      </c>
      <c r="I2" s="2359" t="s">
        <v>2460</v>
      </c>
      <c r="M2" s="3357" t="s">
        <v>3462</v>
      </c>
      <c r="N2" s="3354">
        <v>1.8</v>
      </c>
    </row>
    <row r="3" spans="1:19">
      <c r="A3" s="3726"/>
      <c r="B3" s="3727" t="s">
        <v>3459</v>
      </c>
      <c r="C3" s="3727"/>
      <c r="D3" s="2360">
        <v>20</v>
      </c>
      <c r="E3" s="2358">
        <v>1250</v>
      </c>
      <c r="F3" s="2361">
        <v>0.7</v>
      </c>
      <c r="G3" s="2361">
        <v>0.7</v>
      </c>
      <c r="H3" s="2362">
        <v>365</v>
      </c>
      <c r="I3" s="2363">
        <f>ROUND(D3*E3*F3*G3*H3/10000,0)</f>
        <v>447</v>
      </c>
      <c r="K3">
        <f>E3*F3</f>
        <v>875</v>
      </c>
      <c r="M3" s="3354">
        <f>55*N2</f>
        <v>99</v>
      </c>
      <c r="N3" s="3354">
        <f>M3*D3</f>
        <v>1980</v>
      </c>
    </row>
    <row r="4" spans="1:19">
      <c r="A4" s="3726"/>
      <c r="B4" s="3727" t="s">
        <v>3461</v>
      </c>
      <c r="C4" s="3727"/>
      <c r="D4" s="2360">
        <v>70</v>
      </c>
      <c r="E4" s="2358">
        <v>1050</v>
      </c>
      <c r="F4" s="2361">
        <f>F3</f>
        <v>0.7</v>
      </c>
      <c r="G4" s="2361">
        <f>G3</f>
        <v>0.7</v>
      </c>
      <c r="H4" s="2362">
        <f>H3</f>
        <v>365</v>
      </c>
      <c r="I4" s="2363">
        <f t="shared" ref="I4:I9" si="0">ROUND(D4*E4*F4*G4*H4/10000,0)</f>
        <v>1315</v>
      </c>
      <c r="K4">
        <f t="shared" ref="K4:K5" si="1">E4*F4</f>
        <v>735</v>
      </c>
      <c r="M4" s="3354">
        <f>40*N2</f>
        <v>72</v>
      </c>
      <c r="N4" s="3354">
        <f>M4*D4</f>
        <v>5040</v>
      </c>
    </row>
    <row r="5" spans="1:19">
      <c r="A5" s="3726"/>
      <c r="B5" s="3727" t="s">
        <v>3460</v>
      </c>
      <c r="C5" s="3727"/>
      <c r="D5" s="2360">
        <f>ROUND(N5/M5,0)</f>
        <v>-130</v>
      </c>
      <c r="E5" s="2358">
        <v>900</v>
      </c>
      <c r="F5" s="2361">
        <f>F3</f>
        <v>0.7</v>
      </c>
      <c r="G5" s="2361">
        <f>G3</f>
        <v>0.7</v>
      </c>
      <c r="H5" s="2362">
        <f>H3</f>
        <v>365</v>
      </c>
      <c r="I5" s="2363">
        <f t="shared" si="0"/>
        <v>-2093</v>
      </c>
      <c r="K5">
        <f t="shared" si="1"/>
        <v>630</v>
      </c>
      <c r="M5" s="3354">
        <f>30*N2</f>
        <v>54</v>
      </c>
      <c r="N5" s="3354">
        <f>R23-N3-N4</f>
        <v>-7020</v>
      </c>
    </row>
    <row r="6" spans="1:19">
      <c r="A6" s="3726"/>
      <c r="B6" s="3727"/>
      <c r="C6" s="3727"/>
      <c r="D6" s="2360"/>
      <c r="E6" s="2358"/>
      <c r="F6" s="2361"/>
      <c r="G6" s="2361"/>
      <c r="H6" s="2362"/>
      <c r="I6" s="2363">
        <f t="shared" si="0"/>
        <v>0</v>
      </c>
    </row>
    <row r="7" spans="1:19">
      <c r="A7" s="3726"/>
      <c r="B7" s="3727"/>
      <c r="C7" s="3727"/>
      <c r="D7" s="2360"/>
      <c r="E7" s="2358"/>
      <c r="F7" s="2361"/>
      <c r="G7" s="2361"/>
      <c r="H7" s="2362"/>
      <c r="I7" s="2363">
        <f t="shared" si="0"/>
        <v>0</v>
      </c>
    </row>
    <row r="8" spans="1:19">
      <c r="A8" s="3726"/>
      <c r="B8" s="3727"/>
      <c r="C8" s="3727"/>
      <c r="D8" s="2360"/>
      <c r="E8" s="2358"/>
      <c r="F8" s="2361"/>
      <c r="G8" s="2361"/>
      <c r="H8" s="2362"/>
      <c r="I8" s="2363">
        <f t="shared" si="0"/>
        <v>0</v>
      </c>
    </row>
    <row r="9" spans="1:19">
      <c r="A9" s="3726"/>
      <c r="B9" s="3727"/>
      <c r="C9" s="3727"/>
      <c r="D9" s="2360"/>
      <c r="E9" s="2358"/>
      <c r="F9" s="2361"/>
      <c r="G9" s="2361"/>
      <c r="H9" s="2362">
        <f>H3</f>
        <v>365</v>
      </c>
      <c r="I9" s="2363">
        <f t="shared" si="0"/>
        <v>0</v>
      </c>
    </row>
    <row r="10" spans="1:19">
      <c r="A10" s="3726"/>
      <c r="B10" s="3728" t="s">
        <v>2461</v>
      </c>
      <c r="C10" s="3728"/>
      <c r="D10" s="2364">
        <f>SUM(D3:D5)</f>
        <v>-40</v>
      </c>
      <c r="E10" s="2364">
        <f>ROUND(D1*10000/D10/H9,0)</f>
        <v>284</v>
      </c>
      <c r="F10" s="2365"/>
      <c r="G10" s="2365"/>
      <c r="H10" s="2366"/>
      <c r="I10" s="2367">
        <f>SUM(I3:I9)</f>
        <v>-331</v>
      </c>
    </row>
    <row r="11" spans="1:19" ht="14.25">
      <c r="A11" s="3726" t="s">
        <v>2462</v>
      </c>
      <c r="B11" s="3727" t="s">
        <v>2463</v>
      </c>
      <c r="C11" s="3727"/>
      <c r="D11" s="2360" t="s">
        <v>2464</v>
      </c>
      <c r="E11" s="2360" t="s">
        <v>2465</v>
      </c>
      <c r="F11" s="2361" t="s">
        <v>2466</v>
      </c>
      <c r="G11" s="2361" t="s">
        <v>2467</v>
      </c>
      <c r="H11" s="2368" t="s">
        <v>2468</v>
      </c>
      <c r="I11" s="2359" t="s">
        <v>2469</v>
      </c>
      <c r="Q11" s="3357" t="s">
        <v>3457</v>
      </c>
      <c r="R11" s="3354">
        <v>7000</v>
      </c>
      <c r="S11" s="3357" t="s">
        <v>3458</v>
      </c>
    </row>
    <row r="12" spans="1:19">
      <c r="A12" s="3726"/>
      <c r="B12" s="3727" t="s">
        <v>2470</v>
      </c>
      <c r="C12" s="3727"/>
      <c r="D12" s="2360"/>
      <c r="E12" s="2360"/>
      <c r="F12" s="2361"/>
      <c r="G12" s="2362"/>
      <c r="H12" s="2369"/>
      <c r="I12" s="2359">
        <f>ROUND(D12*E12*F12*G12/10000,0)</f>
        <v>0</v>
      </c>
      <c r="Q12" s="3354"/>
      <c r="R12" s="3354"/>
      <c r="S12" s="3354"/>
    </row>
    <row r="13" spans="1:19">
      <c r="A13" s="3726"/>
      <c r="B13" s="3727" t="s">
        <v>2471</v>
      </c>
      <c r="C13" s="3727"/>
      <c r="D13" s="2360"/>
      <c r="E13" s="2360"/>
      <c r="F13" s="2361"/>
      <c r="G13" s="2362"/>
      <c r="H13" s="2369"/>
      <c r="I13" s="2359">
        <f>ROUND(D13*E13*F13*G13/10000,0)</f>
        <v>0</v>
      </c>
      <c r="Q13" s="3357" t="s">
        <v>3447</v>
      </c>
      <c r="R13" s="3357" t="s">
        <v>3454</v>
      </c>
      <c r="S13" s="3357" t="s">
        <v>3455</v>
      </c>
    </row>
    <row r="14" spans="1:19">
      <c r="A14" s="3726"/>
      <c r="B14" s="3727" t="s">
        <v>2472</v>
      </c>
      <c r="C14" s="3727"/>
      <c r="D14" s="2360"/>
      <c r="E14" s="2360"/>
      <c r="F14" s="2361"/>
      <c r="G14" s="2362"/>
      <c r="H14" s="2369"/>
      <c r="I14" s="2359">
        <f>ROUND(D14*E14*F14*G14/10000,0)</f>
        <v>0</v>
      </c>
      <c r="Q14" s="3357" t="s">
        <v>3448</v>
      </c>
      <c r="R14" s="3354">
        <v>167</v>
      </c>
      <c r="S14" s="3354">
        <v>740</v>
      </c>
    </row>
    <row r="15" spans="1:19">
      <c r="A15" s="3726"/>
      <c r="B15" s="3728" t="s">
        <v>2461</v>
      </c>
      <c r="C15" s="3728"/>
      <c r="D15" s="2364"/>
      <c r="E15" s="2364">
        <f>SUM(E12:E14)</f>
        <v>0</v>
      </c>
      <c r="F15" s="2365"/>
      <c r="G15" s="2362"/>
      <c r="H15" s="2369"/>
      <c r="I15" s="2370">
        <f>SUM(I12:I14)</f>
        <v>0</v>
      </c>
      <c r="Q15" s="3357" t="s">
        <v>3449</v>
      </c>
      <c r="R15" s="3354">
        <v>193</v>
      </c>
      <c r="S15" s="3354">
        <v>700</v>
      </c>
    </row>
    <row r="16" spans="1:19" ht="24">
      <c r="A16" s="3726" t="s">
        <v>2473</v>
      </c>
      <c r="B16" s="3727" t="s">
        <v>2474</v>
      </c>
      <c r="C16" s="3727"/>
      <c r="D16" s="2360" t="s">
        <v>2475</v>
      </c>
      <c r="E16" s="2371" t="s">
        <v>2476</v>
      </c>
      <c r="F16" s="2361" t="s">
        <v>2477</v>
      </c>
      <c r="G16" s="2362" t="s">
        <v>2467</v>
      </c>
      <c r="H16" s="2368" t="s">
        <v>2468</v>
      </c>
      <c r="I16" s="2359" t="s">
        <v>2469</v>
      </c>
      <c r="Q16" s="3357" t="s">
        <v>3450</v>
      </c>
      <c r="R16" s="3354">
        <v>67</v>
      </c>
      <c r="S16" s="3354">
        <v>850</v>
      </c>
    </row>
    <row r="17" spans="1:19" ht="14.25">
      <c r="A17" s="3726"/>
      <c r="B17" s="3727" t="s">
        <v>2478</v>
      </c>
      <c r="C17" s="3727"/>
      <c r="D17" s="2360"/>
      <c r="E17" s="2360"/>
      <c r="F17" s="2361"/>
      <c r="G17" s="2362"/>
      <c r="H17" s="2372"/>
      <c r="I17" s="2373">
        <f>ROUND(D17*E17*F17*G17/10000,0)</f>
        <v>0</v>
      </c>
      <c r="Q17" s="3357" t="s">
        <v>3451</v>
      </c>
      <c r="R17" s="3354">
        <v>67</v>
      </c>
      <c r="S17" s="3354">
        <v>850</v>
      </c>
    </row>
    <row r="18" spans="1:19" ht="14.25">
      <c r="A18" s="3726"/>
      <c r="B18" s="3727" t="s">
        <v>2479</v>
      </c>
      <c r="C18" s="3727"/>
      <c r="D18" s="2360"/>
      <c r="E18" s="2360"/>
      <c r="F18" s="2361"/>
      <c r="G18" s="2362"/>
      <c r="H18" s="2372"/>
      <c r="I18" s="2373">
        <f>ROUND(D18*E18*F18*G18/10000,0)</f>
        <v>0</v>
      </c>
      <c r="Q18" s="3357" t="s">
        <v>3452</v>
      </c>
      <c r="R18" s="3354">
        <v>6</v>
      </c>
      <c r="S18" s="3354">
        <v>900</v>
      </c>
    </row>
    <row r="19" spans="1:19" ht="14.25">
      <c r="A19" s="3726"/>
      <c r="B19" s="3727" t="s">
        <v>2480</v>
      </c>
      <c r="C19" s="3727"/>
      <c r="D19" s="2360"/>
      <c r="E19" s="2360"/>
      <c r="F19" s="2361"/>
      <c r="G19" s="2362"/>
      <c r="H19" s="2372"/>
      <c r="I19" s="2373">
        <f>ROUND(D19*E19*F19*G19/10000,0)</f>
        <v>0</v>
      </c>
      <c r="Q19" s="3357" t="s">
        <v>3453</v>
      </c>
      <c r="R19" s="3354">
        <v>10</v>
      </c>
      <c r="S19" s="3354">
        <v>1400</v>
      </c>
    </row>
    <row r="20" spans="1:19">
      <c r="A20" s="3726"/>
      <c r="B20" s="3728" t="s">
        <v>2461</v>
      </c>
      <c r="C20" s="3728"/>
      <c r="D20" s="2364">
        <f>SUM(D17:D19)</f>
        <v>0</v>
      </c>
      <c r="E20" s="2364"/>
      <c r="F20" s="2365"/>
      <c r="G20" s="2362"/>
      <c r="H20" s="2369"/>
      <c r="I20" s="2370">
        <f>SUM(I17:I19)</f>
        <v>0</v>
      </c>
      <c r="Q20" s="3357" t="s">
        <v>3456</v>
      </c>
      <c r="R20" s="3354">
        <f>SUM(R14:R19)</f>
        <v>510</v>
      </c>
      <c r="S20" s="3354"/>
    </row>
    <row r="21" spans="1:19">
      <c r="A21" s="3726" t="s">
        <v>2481</v>
      </c>
      <c r="B21" s="3730"/>
      <c r="C21" s="3730"/>
      <c r="D21" s="3730"/>
      <c r="E21" s="3730"/>
      <c r="F21" s="3730"/>
      <c r="G21" s="3730"/>
      <c r="H21" s="3358">
        <v>0.25</v>
      </c>
      <c r="I21" s="2367">
        <f>ROUND(I10*H21,0)</f>
        <v>-83</v>
      </c>
    </row>
    <row r="22" spans="1:19" ht="14.25">
      <c r="A22" s="3731" t="s">
        <v>2482</v>
      </c>
      <c r="B22" s="3732"/>
      <c r="C22" s="3733"/>
      <c r="D22" s="2374" t="s">
        <v>2483</v>
      </c>
      <c r="E22" s="2374" t="s">
        <v>2484</v>
      </c>
      <c r="F22" s="2375" t="s">
        <v>2485</v>
      </c>
      <c r="G22" s="2375" t="s">
        <v>2486</v>
      </c>
      <c r="H22" s="2368" t="s">
        <v>2487</v>
      </c>
      <c r="I22" s="2359" t="s">
        <v>2488</v>
      </c>
      <c r="Q22" s="3354">
        <v>20210118</v>
      </c>
      <c r="R22">
        <f>面积拆分!C18</f>
        <v>0</v>
      </c>
      <c r="S22" s="3359">
        <v>0.6</v>
      </c>
    </row>
    <row r="23" spans="1:19" ht="14.25" thickBot="1">
      <c r="A23" s="3734"/>
      <c r="B23" s="3735"/>
      <c r="C23" s="3736"/>
      <c r="D23" s="2376">
        <f>面积拆分!C18</f>
        <v>0</v>
      </c>
      <c r="E23" s="2376"/>
      <c r="F23" s="2376"/>
      <c r="G23" s="2377"/>
      <c r="H23" s="2378"/>
      <c r="I23" s="2379">
        <f>ROUND(E23*D23*F23*(1-G23)/10000,0)</f>
        <v>0</v>
      </c>
      <c r="Q23" s="3360" t="s">
        <v>3463</v>
      </c>
      <c r="R23">
        <f>R22*S22</f>
        <v>0</v>
      </c>
    </row>
    <row r="26" spans="1:19">
      <c r="A26" s="2380" t="s">
        <v>2489</v>
      </c>
      <c r="B26" s="2380"/>
      <c r="C26" s="2380"/>
      <c r="D26" s="2380"/>
      <c r="E26" s="3737">
        <f>C27-C30-C31-C32</f>
        <v>-248.39999999999995</v>
      </c>
      <c r="F26" s="3737"/>
      <c r="G26" s="3737"/>
      <c r="H26" s="2753" t="s">
        <v>2815</v>
      </c>
    </row>
    <row r="27" spans="1:19">
      <c r="A27" s="2381">
        <v>1</v>
      </c>
      <c r="B27" s="2382" t="s">
        <v>2490</v>
      </c>
      <c r="C27" s="2382">
        <f>C28+C29</f>
        <v>-414</v>
      </c>
      <c r="D27" s="2382"/>
      <c r="E27" s="3738"/>
      <c r="F27" s="3738"/>
      <c r="G27" s="3738"/>
    </row>
    <row r="28" spans="1:19">
      <c r="A28" s="2383" t="s">
        <v>2491</v>
      </c>
      <c r="B28" s="2382" t="s">
        <v>2492</v>
      </c>
      <c r="C28" s="2382">
        <f>I10</f>
        <v>-331</v>
      </c>
      <c r="D28" s="2382"/>
      <c r="E28" s="3738"/>
      <c r="F28" s="3738"/>
      <c r="G28" s="3738"/>
    </row>
    <row r="29" spans="1:19">
      <c r="A29" s="2383" t="s">
        <v>2493</v>
      </c>
      <c r="B29" s="2382" t="s">
        <v>2441</v>
      </c>
      <c r="C29" s="2382">
        <f>I21</f>
        <v>-83</v>
      </c>
      <c r="D29" s="2382"/>
      <c r="E29" s="2382" t="s">
        <v>2494</v>
      </c>
      <c r="F29" s="2382"/>
      <c r="G29" s="2382"/>
    </row>
    <row r="30" spans="1:19">
      <c r="A30" s="2381">
        <v>2</v>
      </c>
      <c r="B30" s="2382" t="s">
        <v>2495</v>
      </c>
      <c r="C30" s="2382">
        <f>C27*D30</f>
        <v>-82.800000000000011</v>
      </c>
      <c r="D30" s="2384">
        <v>0.2</v>
      </c>
      <c r="E30" s="2382" t="s">
        <v>2496</v>
      </c>
      <c r="F30" s="2382"/>
      <c r="G30" s="2382"/>
    </row>
    <row r="31" spans="1:19">
      <c r="A31" s="2381">
        <v>3</v>
      </c>
      <c r="B31" s="2382" t="s">
        <v>2497</v>
      </c>
      <c r="C31" s="2382">
        <f>C27*D31</f>
        <v>-41.400000000000006</v>
      </c>
      <c r="D31" s="2384">
        <v>0.1</v>
      </c>
      <c r="E31" s="2382" t="s">
        <v>2498</v>
      </c>
      <c r="F31" s="2382"/>
      <c r="G31" s="2382"/>
    </row>
    <row r="32" spans="1:19">
      <c r="A32" s="2381">
        <v>4</v>
      </c>
      <c r="B32" s="2382" t="s">
        <v>2499</v>
      </c>
      <c r="C32" s="2382">
        <f>C27*D32</f>
        <v>-41.400000000000006</v>
      </c>
      <c r="D32" s="2384">
        <v>0.1</v>
      </c>
      <c r="E32" s="3729"/>
      <c r="F32" s="3729"/>
      <c r="G32" s="3729"/>
    </row>
    <row r="33" spans="1:7" hidden="1">
      <c r="A33" s="3739" t="s">
        <v>2500</v>
      </c>
      <c r="B33" s="3740"/>
      <c r="C33" s="3740"/>
      <c r="D33" s="3741"/>
      <c r="E33" s="3737"/>
      <c r="F33" s="3737"/>
      <c r="G33" s="3737"/>
    </row>
    <row r="34" spans="1:7" hidden="1">
      <c r="A34" s="2385">
        <v>1</v>
      </c>
      <c r="B34" s="2382" t="s">
        <v>2501</v>
      </c>
      <c r="C34" s="2382"/>
      <c r="D34" s="2382"/>
      <c r="E34" s="3738"/>
      <c r="F34" s="3738"/>
      <c r="G34" s="3738"/>
    </row>
    <row r="35" spans="1:7" hidden="1">
      <c r="A35" s="2385">
        <v>2</v>
      </c>
      <c r="B35" s="2382" t="s">
        <v>2502</v>
      </c>
      <c r="C35" s="2382"/>
      <c r="D35" s="2382"/>
      <c r="E35" s="3738"/>
      <c r="F35" s="3738"/>
      <c r="G35" s="3738"/>
    </row>
    <row r="36" spans="1:7" hidden="1">
      <c r="A36" s="2385">
        <v>3</v>
      </c>
      <c r="B36" s="2382" t="s">
        <v>2503</v>
      </c>
      <c r="C36" s="2382"/>
      <c r="D36" s="2382"/>
      <c r="E36" s="3738"/>
      <c r="F36" s="3738"/>
      <c r="G36" s="3738"/>
    </row>
    <row r="37" spans="1:7" hidden="1">
      <c r="A37" s="2385">
        <v>4</v>
      </c>
      <c r="B37" s="2382" t="s">
        <v>2504</v>
      </c>
      <c r="C37" s="2382"/>
      <c r="D37" s="2382"/>
      <c r="E37" s="3738"/>
      <c r="F37" s="3738"/>
      <c r="G37" s="3738"/>
    </row>
    <row r="38" spans="1:7" hidden="1">
      <c r="A38" s="3739" t="s">
        <v>2505</v>
      </c>
      <c r="B38" s="3740"/>
      <c r="C38" s="3740"/>
      <c r="D38" s="3741"/>
      <c r="E38" s="3737"/>
      <c r="F38" s="3737"/>
      <c r="G38" s="3737"/>
    </row>
    <row r="40" spans="1:7">
      <c r="C40" t="e">
        <f ca="1">'不动产收益法-酒店'!F6</f>
        <v>#DIV/0!</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D14" sqref="D14"/>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20840</v>
      </c>
      <c r="C2" s="3263"/>
      <c r="D2" s="3263"/>
      <c r="E2" s="3263"/>
      <c r="F2" s="3263"/>
      <c r="G2" s="3263"/>
    </row>
    <row r="3" spans="1:25" s="1940" customFormat="1" ht="18" customHeight="1">
      <c r="A3" s="1329" t="s">
        <v>1675</v>
      </c>
      <c r="B3" s="418">
        <f ca="1">ROUND(B2*10000/'数据-汇总表'!E3,0)</f>
        <v>1060</v>
      </c>
      <c r="C3" s="3263"/>
      <c r="D3" s="3263"/>
      <c r="E3" s="3263"/>
      <c r="F3" s="3263"/>
      <c r="G3" s="3263"/>
    </row>
    <row r="4" spans="1:25" s="1940" customFormat="1" ht="18" customHeight="1">
      <c r="A4" s="419" t="s">
        <v>462</v>
      </c>
      <c r="B4" s="420">
        <f ca="1">ROUND(B2*10000/'数据-汇总表'!D3,0)</f>
        <v>2120</v>
      </c>
      <c r="C4" s="3216"/>
      <c r="D4" s="3263"/>
      <c r="E4" s="3263"/>
      <c r="F4" s="3263"/>
      <c r="G4" s="3263"/>
    </row>
    <row r="5" spans="1:25" s="1940" customFormat="1" ht="18" customHeight="1" thickBot="1">
      <c r="A5" s="422"/>
      <c r="B5" s="423">
        <f ca="1">ROUND(B2/('数据-汇总表'!D3/666.67),0)</f>
        <v>141</v>
      </c>
      <c r="C5" s="424" t="s">
        <v>463</v>
      </c>
      <c r="D5" s="3263"/>
      <c r="E5" s="3263"/>
      <c r="F5" s="3263"/>
      <c r="G5" s="3263"/>
    </row>
    <row r="6" spans="1:25" s="2062" customFormat="1" ht="13.5" customHeight="1">
      <c r="A6" s="734"/>
      <c r="B6" s="735" t="s">
        <v>598</v>
      </c>
      <c r="C6" s="736" t="s">
        <v>599</v>
      </c>
      <c r="D6" s="736" t="s">
        <v>600</v>
      </c>
      <c r="E6" s="737" t="s">
        <v>601</v>
      </c>
      <c r="F6" s="737" t="s">
        <v>602</v>
      </c>
      <c r="G6" s="3262" t="s">
        <v>2983</v>
      </c>
    </row>
    <row r="7" spans="1:25" s="2062" customFormat="1" ht="13.5" customHeight="1">
      <c r="A7" s="2321">
        <v>1</v>
      </c>
      <c r="B7" s="738" t="s">
        <v>603</v>
      </c>
      <c r="C7" s="739">
        <f>C8+C9</f>
        <v>16410</v>
      </c>
      <c r="D7" s="739"/>
      <c r="E7" s="740"/>
      <c r="F7" s="740"/>
      <c r="G7" s="2330"/>
    </row>
    <row r="8" spans="1:25" s="2062" customFormat="1" ht="13.5" customHeight="1">
      <c r="A8" s="2321" t="s">
        <v>2422</v>
      </c>
      <c r="B8" s="2324" t="s">
        <v>2424</v>
      </c>
      <c r="C8" s="3266">
        <f t="shared" ref="C8:C9" si="0">ROUND(D8*E8/10000,0)</f>
        <v>16410</v>
      </c>
      <c r="D8" s="3266">
        <f>'数据-基础表'!B3</f>
        <v>196602</v>
      </c>
      <c r="E8" s="3267">
        <f>[4]成本逼近法!$E$8</f>
        <v>834.7</v>
      </c>
      <c r="F8" s="740"/>
      <c r="G8" s="741"/>
    </row>
    <row r="9" spans="1:25" s="2062" customFormat="1" ht="13.5" customHeight="1">
      <c r="A9" s="2321" t="s">
        <v>2423</v>
      </c>
      <c r="B9" s="2324" t="s">
        <v>2425</v>
      </c>
      <c r="C9" s="3266">
        <f t="shared" si="0"/>
        <v>0</v>
      </c>
      <c r="D9" s="3266">
        <v>0</v>
      </c>
      <c r="E9" s="3267">
        <v>0</v>
      </c>
      <c r="F9" s="740"/>
      <c r="G9" s="741"/>
    </row>
    <row r="10" spans="1:25" s="2062" customFormat="1" ht="36">
      <c r="A10" s="2321">
        <v>2</v>
      </c>
      <c r="B10" s="738" t="s">
        <v>607</v>
      </c>
      <c r="C10" s="739">
        <f>C11+C14+C15</f>
        <v>1301</v>
      </c>
      <c r="D10" s="749"/>
      <c r="E10" s="739"/>
      <c r="F10" s="750"/>
      <c r="G10" s="748" t="s">
        <v>608</v>
      </c>
    </row>
    <row r="11" spans="1:25" s="2062" customFormat="1" ht="13.5" customHeight="1">
      <c r="A11" s="2321" t="s">
        <v>2422</v>
      </c>
      <c r="B11" s="742" t="s">
        <v>604</v>
      </c>
      <c r="C11" s="743">
        <f>'数据-取费表'!B29</f>
        <v>0</v>
      </c>
      <c r="D11" s="744"/>
      <c r="E11" s="743"/>
      <c r="F11" s="745"/>
      <c r="G11" s="2329" t="s">
        <v>2433</v>
      </c>
    </row>
    <row r="12" spans="1:25" s="2062" customFormat="1" ht="13.5" customHeight="1">
      <c r="A12" s="2327" t="s">
        <v>2430</v>
      </c>
      <c r="B12" s="746" t="s">
        <v>605</v>
      </c>
      <c r="C12" s="747">
        <f>ROUND(D12*E12/10000,0)</f>
        <v>0</v>
      </c>
      <c r="D12" s="3266">
        <f>'数据-汇总表'!E5</f>
        <v>188593</v>
      </c>
      <c r="E12" s="3266"/>
      <c r="F12" s="745"/>
      <c r="G12" s="748"/>
    </row>
    <row r="13" spans="1:25" s="2062" customFormat="1" ht="13.5" customHeight="1">
      <c r="A13" s="2327" t="s">
        <v>2429</v>
      </c>
      <c r="B13" s="746" t="s">
        <v>606</v>
      </c>
      <c r="C13" s="747">
        <f>ROUND(D13*E13/10000,0)</f>
        <v>0</v>
      </c>
      <c r="D13" s="3266">
        <f>'数据-汇总表'!E6</f>
        <v>8009</v>
      </c>
      <c r="E13" s="3266"/>
      <c r="F13" s="745"/>
      <c r="G13" s="748"/>
    </row>
    <row r="14" spans="1:25" s="2062" customFormat="1" ht="13.5" customHeight="1">
      <c r="A14" s="2321" t="s">
        <v>2423</v>
      </c>
      <c r="B14" s="2326" t="s">
        <v>2426</v>
      </c>
      <c r="C14" s="3268">
        <f t="shared" ref="C14:C15" si="1">ROUND(D14*E14/10000,0)</f>
        <v>1301</v>
      </c>
      <c r="D14" s="3266">
        <f>D8</f>
        <v>196602</v>
      </c>
      <c r="E14" s="3321">
        <f>[4]成本逼近法!$E$14</f>
        <v>66.19</v>
      </c>
      <c r="F14" s="2325"/>
      <c r="G14" s="2328" t="s">
        <v>2431</v>
      </c>
    </row>
    <row r="15" spans="1:25" s="2062" customFormat="1" ht="13.5" customHeight="1">
      <c r="A15" s="2321" t="s">
        <v>2428</v>
      </c>
      <c r="B15" s="2326" t="s">
        <v>2427</v>
      </c>
      <c r="C15" s="3268">
        <f t="shared" si="1"/>
        <v>0</v>
      </c>
      <c r="D15" s="3266">
        <v>0</v>
      </c>
      <c r="E15" s="3267">
        <v>0</v>
      </c>
      <c r="F15" s="2325"/>
      <c r="G15" s="2328" t="s">
        <v>2432</v>
      </c>
    </row>
    <row r="16" spans="1:25" s="2063" customFormat="1" ht="48">
      <c r="A16" s="2321">
        <v>3</v>
      </c>
      <c r="B16" s="738" t="s">
        <v>609</v>
      </c>
      <c r="C16" s="3268">
        <f t="shared" ref="C16" si="2">ROUND(D16*E16/10000,0)</f>
        <v>0</v>
      </c>
      <c r="D16" s="3266">
        <v>0</v>
      </c>
      <c r="E16" s="3267">
        <v>0</v>
      </c>
      <c r="F16" s="750"/>
      <c r="G16" s="748" t="s">
        <v>2434</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2">
        <f ca="1">ROUND(IF('数据-取费表'!B19&lt;=1,((C7+C16)*'数据-取费表'!B19+C10*'数据-取费表'!B19/2)*F17,((C7+C16)*(POWER((1+F17),'数据-取费表'!B19)-1)+C10*(POWER((1+F17),'数据-取费表'!B19/2)-1))),0)</f>
        <v>742</v>
      </c>
      <c r="D17" s="751"/>
      <c r="E17" s="752"/>
      <c r="F17" s="753">
        <f ca="1">存贷款利率!E3</f>
        <v>4.3499999999999997E-2</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1417</v>
      </c>
      <c r="D18" s="751"/>
      <c r="E18" s="752"/>
      <c r="F18" s="1300">
        <f>[5]成本逼近法!$F$18</f>
        <v>0.08</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19870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3974</v>
      </c>
      <c r="D20" s="749"/>
      <c r="E20" s="739"/>
      <c r="F20" s="1300">
        <f>[5]成本逼近法!$F$20</f>
        <v>0.2</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23844</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20840</v>
      </c>
      <c r="D22" s="749"/>
      <c r="E22" s="739"/>
      <c r="F22" s="755">
        <f>'数据-取费表'!AP16</f>
        <v>0.874</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35" customHeight="1" thickBot="1">
      <c r="A23" s="2323">
        <v>10</v>
      </c>
      <c r="B23" s="756" t="s">
        <v>621</v>
      </c>
      <c r="C23" s="757">
        <f ca="1">C22</f>
        <v>20840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5" customFormat="1">
      <c r="A24" s="3264"/>
      <c r="D24" s="1882"/>
      <c r="E24" s="1882"/>
    </row>
    <row r="25" spans="1:25" s="3265" customFormat="1">
      <c r="A25" s="3264"/>
      <c r="D25" s="1882"/>
      <c r="E25" s="1882"/>
    </row>
    <row r="26" spans="1:25" s="3265" customFormat="1">
      <c r="A26" s="3264"/>
      <c r="D26" s="1882"/>
      <c r="E26" s="1882"/>
    </row>
    <row r="27" spans="1:25" s="3265" customFormat="1">
      <c r="A27" s="3264"/>
      <c r="D27" s="1882"/>
      <c r="E27" s="1882"/>
    </row>
    <row r="28" spans="1:25" s="3265" customFormat="1">
      <c r="A28" s="3264"/>
      <c r="D28" s="1882"/>
      <c r="E28" s="1882"/>
    </row>
    <row r="29" spans="1:25" s="3265" customFormat="1">
      <c r="A29" s="3264"/>
      <c r="D29" s="1882"/>
      <c r="E29" s="1882"/>
    </row>
    <row r="30" spans="1:25" s="3265" customFormat="1">
      <c r="A30" s="3264"/>
      <c r="D30" s="1882"/>
      <c r="E30" s="1882"/>
    </row>
    <row r="31" spans="1:25" s="3265" customFormat="1">
      <c r="A31" s="3264"/>
      <c r="D31" s="1882"/>
      <c r="E31" s="1882"/>
    </row>
    <row r="32" spans="1:25" s="3265" customFormat="1">
      <c r="A32" s="3264"/>
      <c r="D32" s="1882"/>
      <c r="E32" s="1882"/>
    </row>
    <row r="33" spans="1:5" s="3265" customFormat="1">
      <c r="A33" s="3264"/>
      <c r="D33" s="1882"/>
      <c r="E33" s="1882"/>
    </row>
    <row r="34" spans="1:5" s="3265" customFormat="1">
      <c r="A34" s="3264"/>
      <c r="D34" s="1882"/>
      <c r="E34" s="1882"/>
    </row>
    <row r="35" spans="1:5" s="3265" customFormat="1">
      <c r="A35" s="3264"/>
      <c r="D35" s="1882"/>
      <c r="E35" s="1882"/>
    </row>
    <row r="36" spans="1:5" s="3265" customFormat="1">
      <c r="A36" s="3264"/>
      <c r="D36" s="1882"/>
      <c r="E36" s="1882"/>
    </row>
    <row r="37" spans="1:5" s="3265" customFormat="1">
      <c r="A37" s="3264"/>
      <c r="D37" s="1882"/>
      <c r="E37" s="1882"/>
    </row>
    <row r="38" spans="1:5" s="3265" customFormat="1">
      <c r="A38" s="3264"/>
      <c r="D38" s="1882"/>
      <c r="E38" s="1882"/>
    </row>
    <row r="39" spans="1:5" s="3265" customFormat="1">
      <c r="A39" s="3264"/>
      <c r="D39" s="1882"/>
      <c r="E39" s="1882"/>
    </row>
    <row r="40" spans="1:5" s="3265" customFormat="1">
      <c r="A40" s="3264"/>
      <c r="D40" s="1882"/>
      <c r="E40" s="1882"/>
    </row>
    <row r="41" spans="1:5" s="3265" customFormat="1">
      <c r="A41" s="3264"/>
      <c r="D41" s="1882"/>
      <c r="E41" s="1882"/>
    </row>
    <row r="42" spans="1:5" s="3265" customFormat="1">
      <c r="A42" s="3264"/>
      <c r="D42" s="1882"/>
      <c r="E42" s="1882"/>
    </row>
    <row r="43" spans="1:5" s="3265" customFormat="1">
      <c r="A43" s="3264"/>
      <c r="D43" s="1882"/>
      <c r="E43" s="1882"/>
    </row>
    <row r="44" spans="1:5" s="3265" customFormat="1">
      <c r="A44" s="3264"/>
      <c r="D44" s="1882"/>
      <c r="E44" s="1882"/>
    </row>
    <row r="45" spans="1:5" s="3265" customFormat="1">
      <c r="A45" s="3264"/>
      <c r="D45" s="1882"/>
      <c r="E45" s="1882"/>
    </row>
    <row r="46" spans="1:5" s="3265" customFormat="1">
      <c r="A46" s="3264"/>
      <c r="D46" s="1882"/>
      <c r="E46" s="1882"/>
    </row>
    <row r="47" spans="1:5" s="3265" customFormat="1">
      <c r="A47" s="3264"/>
      <c r="D47" s="1882"/>
      <c r="E47" s="1882"/>
    </row>
    <row r="48" spans="1:5" s="3265" customFormat="1">
      <c r="A48" s="3264"/>
      <c r="D48" s="1882"/>
      <c r="E48" s="1882"/>
    </row>
    <row r="49" spans="1:5" s="3265" customFormat="1">
      <c r="A49" s="3264"/>
      <c r="D49" s="1882"/>
      <c r="E49" s="1882"/>
    </row>
    <row r="50" spans="1:5" s="3265" customFormat="1">
      <c r="A50" s="3264"/>
      <c r="D50" s="1882"/>
      <c r="E50" s="1882"/>
    </row>
    <row r="51" spans="1:5" s="3265" customFormat="1">
      <c r="A51" s="3264"/>
      <c r="D51" s="1882"/>
      <c r="E51" s="1882"/>
    </row>
    <row r="52" spans="1:5" s="3265" customFormat="1">
      <c r="A52" s="3264"/>
      <c r="D52" s="1882"/>
      <c r="E52" s="1882"/>
    </row>
    <row r="53" spans="1:5" s="3265" customFormat="1">
      <c r="A53" s="3264"/>
      <c r="D53" s="1882"/>
      <c r="E53" s="1882"/>
    </row>
    <row r="54" spans="1:5" s="3265" customFormat="1">
      <c r="A54" s="3264"/>
      <c r="D54" s="1882"/>
      <c r="E54" s="1882"/>
    </row>
    <row r="55" spans="1:5" s="3265" customFormat="1">
      <c r="A55" s="3264"/>
      <c r="D55" s="1882"/>
      <c r="E55" s="1882"/>
    </row>
    <row r="56" spans="1:5" s="3265" customFormat="1">
      <c r="A56" s="3264"/>
      <c r="D56" s="1882"/>
      <c r="E56" s="1882"/>
    </row>
    <row r="57" spans="1:5" s="3265" customFormat="1">
      <c r="A57" s="3264"/>
      <c r="D57" s="1882"/>
      <c r="E57" s="1882"/>
    </row>
    <row r="58" spans="1:5" s="3265" customFormat="1">
      <c r="A58" s="3264"/>
      <c r="D58" s="1882"/>
      <c r="E58" s="1882"/>
    </row>
    <row r="59" spans="1:5" s="3265" customFormat="1">
      <c r="A59" s="3264"/>
      <c r="D59" s="1882"/>
      <c r="E59" s="1882"/>
    </row>
    <row r="60" spans="1:5" s="3265" customFormat="1">
      <c r="A60" s="3264"/>
      <c r="D60" s="1882"/>
      <c r="E60" s="1882"/>
    </row>
    <row r="61" spans="1:5" s="3265" customFormat="1">
      <c r="A61" s="3264"/>
      <c r="D61" s="1882"/>
      <c r="E61" s="1882"/>
    </row>
    <row r="62" spans="1:5" s="3265" customFormat="1">
      <c r="A62" s="3264"/>
      <c r="D62" s="1882"/>
      <c r="E62" s="1882"/>
    </row>
    <row r="63" spans="1:5" s="3265" customFormat="1">
      <c r="A63" s="3264"/>
      <c r="D63" s="1882"/>
      <c r="E63" s="1882"/>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I11" sqref="I11"/>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c r="C1" s="1984"/>
      <c r="D1" s="1984"/>
      <c r="E1" s="1984"/>
      <c r="F1" s="1984"/>
      <c r="G1" s="1984"/>
      <c r="H1" s="1984"/>
      <c r="I1" s="1984"/>
      <c r="J1" s="1984"/>
      <c r="K1" s="415">
        <f>MATCH(B1,'数据-取费表'!A6:A16,0)+5</f>
        <v>13</v>
      </c>
      <c r="L1" s="289"/>
      <c r="M1" s="289"/>
      <c r="N1" s="289"/>
      <c r="O1" s="289"/>
      <c r="P1" s="289"/>
      <c r="Q1" s="289"/>
      <c r="R1" s="289"/>
      <c r="S1" s="289"/>
      <c r="T1" s="289"/>
      <c r="U1" s="289"/>
      <c r="V1" s="289"/>
      <c r="W1" s="289"/>
      <c r="X1" s="289"/>
      <c r="Y1" s="289"/>
      <c r="Z1" s="289"/>
    </row>
    <row r="2" spans="1:31" s="1922" customFormat="1" ht="18" customHeight="1">
      <c r="A2" s="1981" t="s">
        <v>461</v>
      </c>
      <c r="B2" s="1985">
        <f ca="1">C36</f>
        <v>1370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ROUND(C36*10000/D9,0)</f>
        <v>6299</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139</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9</v>
      </c>
      <c r="C5" s="424" t="s">
        <v>463</v>
      </c>
      <c r="D5" s="415"/>
      <c r="E5" s="415"/>
      <c r="F5" s="415"/>
      <c r="G5" s="415"/>
      <c r="H5" s="415"/>
      <c r="I5" s="415"/>
      <c r="J5" s="415"/>
      <c r="K5" s="415"/>
      <c r="L5" s="289"/>
      <c r="N5" s="1922" t="s">
        <v>3368</v>
      </c>
      <c r="O5" s="1922">
        <f ca="1">结果表!G19</f>
        <v>17216</v>
      </c>
      <c r="P5" s="1922" t="s">
        <v>3369</v>
      </c>
      <c r="U5" s="289"/>
      <c r="V5" s="289"/>
      <c r="W5" s="289"/>
      <c r="X5" s="289"/>
      <c r="Y5" s="289"/>
      <c r="Z5" s="289"/>
    </row>
    <row r="6" spans="1:31" s="1991" customFormat="1" ht="16.5" customHeight="1">
      <c r="A6" s="2542" t="s">
        <v>1832</v>
      </c>
      <c r="B6" s="2543"/>
      <c r="C6" s="2544">
        <f ca="1">SUM(C10:K10)</f>
        <v>2969</v>
      </c>
      <c r="D6" s="2543"/>
      <c r="E6" s="2543"/>
      <c r="F6" s="2543"/>
      <c r="G6" s="2543"/>
      <c r="H6" s="2543"/>
      <c r="I6" s="2543"/>
      <c r="J6" s="2543"/>
      <c r="K6" s="2545"/>
      <c r="L6" s="3192"/>
      <c r="M6" s="3331" t="str">
        <f>C7</f>
        <v>住宅</v>
      </c>
      <c r="N6" s="3332">
        <f ca="1">C10/$C$6</f>
        <v>0</v>
      </c>
      <c r="O6" s="3332">
        <f ca="1">N6*$O$5</f>
        <v>0</v>
      </c>
      <c r="P6" s="3333">
        <f>C9</f>
        <v>0</v>
      </c>
      <c r="Q6" s="3332" t="e">
        <f ca="1">ROUND(O6*10000/P6,0)</f>
        <v>#DIV/0!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t="s">
        <v>3519</v>
      </c>
      <c r="J7" s="429"/>
      <c r="K7" s="430"/>
      <c r="M7" s="3334" t="str">
        <f>D7</f>
        <v>商业（底商）</v>
      </c>
      <c r="N7" s="1992">
        <f ca="1">D10/C6</f>
        <v>0.97675985180195357</v>
      </c>
      <c r="O7" s="3332">
        <f t="shared" ref="O7:O10" ca="1" si="0">N7*$O$5</f>
        <v>16815.897608622432</v>
      </c>
      <c r="P7" s="3335">
        <f>D9</f>
        <v>2175</v>
      </c>
      <c r="Q7" s="3332">
        <f t="shared" ref="Q7:Q10" ca="1" si="1">ROUND(O7*10000/P7,0)</f>
        <v>77314</v>
      </c>
      <c r="R7" s="3332"/>
      <c r="S7" s="1992"/>
      <c r="T7" s="3332"/>
      <c r="AA7" s="1992"/>
      <c r="AB7" s="1992"/>
      <c r="AC7" s="1992"/>
      <c r="AD7" s="1992"/>
      <c r="AE7" s="1992"/>
    </row>
    <row r="8" spans="1:31" s="1995" customFormat="1" ht="13.5" customHeight="1">
      <c r="A8" s="792" t="s">
        <v>1835</v>
      </c>
      <c r="B8" s="258" t="s">
        <v>466</v>
      </c>
      <c r="C8" s="2548"/>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v>0</v>
      </c>
      <c r="D9" s="434">
        <f>SUMIF('数据-汇总表'!$C19:$C33,'剩余法-车库+商业'!D7,'数据-汇总表'!$E19:$E33)</f>
        <v>2175</v>
      </c>
      <c r="E9" s="434">
        <f>SUMIF('数据-汇总表'!$C19:$C33,'剩余法-车库+商业'!E7,'数据-汇总表'!$E19:$E33)</f>
        <v>0</v>
      </c>
      <c r="F9" s="434">
        <f>SUMIF('数据-汇总表'!$C19:$C33,'剩余法-车库+商业'!F7,'数据-汇总表'!$E19:$E33)</f>
        <v>0</v>
      </c>
      <c r="G9" s="434">
        <f>SUMIF('数据-汇总表'!$C19:$C33,'剩余法-车库+商业'!G7,'数据-汇总表'!$E19:$E33)</f>
        <v>0</v>
      </c>
      <c r="H9" s="434">
        <f>SUMIF('数据-汇总表'!$C19:$C33,'剩余法-车库+商业'!H7,'数据-汇总表'!$E19:$E33)</f>
        <v>0</v>
      </c>
      <c r="I9" s="434">
        <f>SUMIF('数据-汇总表'!$C19:$C33,'剩余法-车库+商业'!I7,'数据-汇总表'!$E19:$E33)</f>
        <v>0</v>
      </c>
      <c r="J9" s="434">
        <f>SUMIF('数据-汇总表'!$C19:$C33,'剩余法-车库+商业'!J7,'数据-汇总表'!$E19:$E33)</f>
        <v>0</v>
      </c>
      <c r="K9" s="435">
        <f>SUMIF('数据-汇总表'!$C19:$C33,'剩余法-车库+商业'!K7,'数据-汇总表'!$E19:$E33)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0</v>
      </c>
      <c r="D10" s="2739">
        <f ca="1">'不动产收益法-底商'!B2</f>
        <v>2900</v>
      </c>
      <c r="E10" s="2739">
        <f ca="1">'不动产收益法-独商'!B2</f>
        <v>0</v>
      </c>
      <c r="F10" s="2551">
        <f ca="1">'不动产收益法-办公'!B2</f>
        <v>0</v>
      </c>
      <c r="G10" s="2551">
        <f ca="1">'不动产收益法-公寓'!B2</f>
        <v>0</v>
      </c>
      <c r="H10" s="2551"/>
      <c r="I10" s="2551">
        <f ca="1">'不动产收益法-车库'!B2</f>
        <v>69</v>
      </c>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404" t="s">
        <v>470</v>
      </c>
      <c r="E12" s="3404" t="s">
        <v>471</v>
      </c>
      <c r="F12" s="3404"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'剩余法-车位'!C13+'剩余法-底商'!C13</f>
        <v>805</v>
      </c>
      <c r="D13" s="2558"/>
      <c r="E13" s="2559">
        <f ca="1">C13*10000/(D9+I9)</f>
        <v>3701.1494252873563</v>
      </c>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40</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'剩余法-车位'!C15+'剩余法-底商'!C15</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78</v>
      </c>
      <c r="D16" s="2558">
        <f ca="1">'剩余法-底商'!D16+'剩余法-车位'!D16</f>
        <v>2241.52</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12</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935</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404">
        <f ca="1">ROUND(D19*E19/10000,0)</f>
        <v>0</v>
      </c>
      <c r="D19" s="2568">
        <f ca="1">D16</f>
        <v>2241.52</v>
      </c>
      <c r="E19" s="3404">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404">
        <f ca="1">C21+C22-IF(B1="",'数据-取费表'!B29,IF(G20="已全部缴纳",C21+C22,H20))</f>
        <v>45</v>
      </c>
      <c r="D20" s="2568"/>
      <c r="E20" s="3404"/>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ROUND(D21*E21/10000,0)</f>
        <v>0</v>
      </c>
      <c r="D21" s="2558">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45</v>
      </c>
      <c r="D22" s="2558">
        <f ca="1">'剩余法-车位'!D22+'剩余法-底商'!D22</f>
        <v>2241.52</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10</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30</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36</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36</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156</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1212</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1212</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102</v>
      </c>
      <c r="D33" s="460">
        <f ca="1">C34</f>
        <v>0.1031</v>
      </c>
      <c r="E33" s="462" t="s">
        <v>489</v>
      </c>
      <c r="F33" s="472">
        <f ca="1">(D9*'剩余法-底商'!F33+'剩余法-车库+商业'!I9*'剩余法-车位'!F33)/('剩余法-车库+商业'!D9+'剩余法-车库+商业'!I9)</f>
        <v>0.1</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0.1031</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102</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1370</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6111.9240515364572</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formatCells="0" formatColumns="0" formatRows="0"/>
  <phoneticPr fontId="229" type="noConversion"/>
  <dataValidations disablePrompts="1"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G41" sqref="G41:G42"/>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3519</v>
      </c>
      <c r="C1" s="1984"/>
      <c r="D1" s="1984"/>
      <c r="E1" s="1984"/>
      <c r="F1" s="1984"/>
      <c r="G1" s="1984"/>
      <c r="H1" s="1984"/>
      <c r="I1" s="1984"/>
      <c r="J1" s="1984"/>
      <c r="K1" s="415">
        <f>MATCH(B1,'数据-取费表'!A6:A16,0)+5</f>
        <v>12</v>
      </c>
      <c r="L1" s="289"/>
      <c r="M1" s="289"/>
      <c r="N1" s="289"/>
      <c r="O1" s="289"/>
      <c r="P1" s="289"/>
      <c r="Q1" s="289"/>
      <c r="R1" s="289"/>
      <c r="S1" s="289"/>
      <c r="T1" s="289"/>
      <c r="U1" s="289"/>
      <c r="V1" s="289"/>
      <c r="W1" s="289"/>
      <c r="X1" s="289"/>
      <c r="Y1" s="289"/>
      <c r="Z1" s="289"/>
    </row>
    <row r="2" spans="1:31" s="1922" customFormat="1" ht="18" customHeight="1">
      <c r="A2" s="1981" t="s">
        <v>461</v>
      </c>
      <c r="B2" s="1985">
        <f ca="1">C36</f>
        <v>53</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t="e">
        <f ca="1">ROUND(B2*10000/IF(B1="",'数据-汇总表'!E3,INDIRECT("'数据-取费表'!K"&amp;$K$1)),0)</f>
        <v>#DIV/0!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t="e">
        <f ca="1">ROUND(B2*10000/IF(B1="",'数据-汇总表'!D3,INDIRECT("'数据-取费表'!R"&amp;$K$1)),0)</f>
        <v>#DIV/0!</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t="e">
        <f ca="1">ROUND(B2/(IF(B1="",'数据-汇总表'!D3,INDIRECT("'数据-取费表'!R"&amp;$K$1))/666.67),0)</f>
        <v>#DIV/0!</v>
      </c>
      <c r="C5" s="424" t="s">
        <v>463</v>
      </c>
      <c r="D5" s="415"/>
      <c r="E5" s="415"/>
      <c r="F5" s="415"/>
      <c r="G5" s="415"/>
      <c r="H5" s="415"/>
      <c r="I5" s="415"/>
      <c r="J5" s="415"/>
      <c r="K5" s="415"/>
      <c r="L5" s="289"/>
      <c r="N5" s="1922" t="s">
        <v>3368</v>
      </c>
      <c r="O5" s="1922">
        <f ca="1">结果表!G19</f>
        <v>17216</v>
      </c>
      <c r="P5" s="1922" t="s">
        <v>3369</v>
      </c>
      <c r="U5" s="289"/>
      <c r="V5" s="289"/>
      <c r="W5" s="289"/>
      <c r="X5" s="289"/>
      <c r="Y5" s="289"/>
      <c r="Z5" s="289"/>
    </row>
    <row r="6" spans="1:31" s="1991" customFormat="1" ht="16.5" customHeight="1">
      <c r="A6" s="2542" t="s">
        <v>1832</v>
      </c>
      <c r="B6" s="2543"/>
      <c r="C6" s="2544">
        <f ca="1">SUM(C10:K10)</f>
        <v>69</v>
      </c>
      <c r="D6" s="2543"/>
      <c r="E6" s="2543"/>
      <c r="F6" s="2543"/>
      <c r="G6" s="2543"/>
      <c r="H6" s="2543"/>
      <c r="I6" s="2543"/>
      <c r="J6" s="2543"/>
      <c r="K6" s="2545"/>
      <c r="L6" s="3192"/>
      <c r="M6" s="3331" t="str">
        <f>C7</f>
        <v>住宅</v>
      </c>
      <c r="N6" s="3332">
        <f ca="1">C10/$C$6</f>
        <v>0</v>
      </c>
      <c r="O6" s="3332">
        <f ca="1">N6*$O$5</f>
        <v>0</v>
      </c>
      <c r="P6" s="3333">
        <f>C9</f>
        <v>188593</v>
      </c>
      <c r="Q6" s="3332">
        <f ca="1">ROUND(O6*10000/P6,0)</f>
        <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t="s">
        <v>3519</v>
      </c>
      <c r="J7" s="429"/>
      <c r="K7" s="430"/>
      <c r="M7" s="3334" t="str">
        <f>D7</f>
        <v>商业（底商）</v>
      </c>
      <c r="N7" s="1992">
        <f ca="1">D10/C6</f>
        <v>0</v>
      </c>
      <c r="O7" s="3332">
        <f t="shared" ref="O7:O10" ca="1" si="0">N7*$O$5</f>
        <v>0</v>
      </c>
      <c r="P7" s="3335">
        <f>D9</f>
        <v>2175</v>
      </c>
      <c r="Q7" s="3332">
        <f t="shared" ref="Q7:Q10" ca="1" si="1">ROUND(O7*10000/P7,0)</f>
        <v>0</v>
      </c>
      <c r="R7" s="3332"/>
      <c r="S7" s="1992"/>
      <c r="T7" s="3332"/>
      <c r="AA7" s="1992"/>
      <c r="AB7" s="1992"/>
      <c r="AC7" s="1992"/>
      <c r="AD7" s="1992"/>
      <c r="AE7" s="1992"/>
    </row>
    <row r="8" spans="1:31" s="1995" customFormat="1" ht="13.5" customHeight="1">
      <c r="A8" s="792" t="s">
        <v>1835</v>
      </c>
      <c r="B8" s="258" t="s">
        <v>466</v>
      </c>
      <c r="C8" s="2548"/>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SUMIF('数据-汇总表'!$C19:$C33,'剩余法-车位'!C7,'数据-汇总表'!$E19:$E33)</f>
        <v>188593</v>
      </c>
      <c r="D9" s="434">
        <f>SUMIF('数据-汇总表'!$C19:$C33,'剩余法-车位'!D7,'数据-汇总表'!$E19:$E33)</f>
        <v>2175</v>
      </c>
      <c r="E9" s="434">
        <f>SUMIF('数据-汇总表'!$C19:$C33,'剩余法-车位'!E7,'数据-汇总表'!$E19:$E33)</f>
        <v>0</v>
      </c>
      <c r="F9" s="434">
        <f>SUMIF('数据-汇总表'!$C19:$C33,'剩余法-车位'!F7,'数据-汇总表'!$E19:$E33)</f>
        <v>0</v>
      </c>
      <c r="G9" s="434">
        <f>SUMIF('数据-汇总表'!$C19:$C33,'剩余法-车位'!G7,'数据-汇总表'!$E19:$E33)</f>
        <v>0</v>
      </c>
      <c r="H9" s="434">
        <f>SUMIF('数据-汇总表'!$C19:$C33,'剩余法-车位'!H7,'数据-汇总表'!$E19:$E33)</f>
        <v>0</v>
      </c>
      <c r="I9" s="434">
        <f>SUMIF('数据-汇总表'!$C19:$C33,'剩余法-车位'!I7,'数据-汇总表'!$E19:$E33)</f>
        <v>0</v>
      </c>
      <c r="J9" s="434">
        <f>SUMIF('数据-汇总表'!$C19:$C33,'剩余法-车位'!J7,'数据-汇总表'!$E19:$E33)</f>
        <v>0</v>
      </c>
      <c r="K9" s="435">
        <f>SUMIF('数据-汇总表'!$C19:$C33,'剩余法-车位'!K7,'数据-汇总表'!$E19:$E33)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0</v>
      </c>
      <c r="D10" s="2739"/>
      <c r="E10" s="2739">
        <f ca="1">'不动产收益法-独商'!B2</f>
        <v>0</v>
      </c>
      <c r="F10" s="2551">
        <f ca="1">'不动产收益法-办公'!B2</f>
        <v>0</v>
      </c>
      <c r="G10" s="2551">
        <f ca="1">'不动产收益法-公寓'!B2</f>
        <v>0</v>
      </c>
      <c r="H10" s="2551"/>
      <c r="I10" s="2551">
        <f ca="1">'不动产收益法-车库'!B2</f>
        <v>69</v>
      </c>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95" t="s">
        <v>470</v>
      </c>
      <c r="E12" s="3395" t="s">
        <v>471</v>
      </c>
      <c r="F12" s="3395"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0</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0</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0</v>
      </c>
      <c r="D16" s="2558">
        <f ca="1">IF(B1="",'数据-汇总表'!E3,INDIRECT("'数据-取费表'!K"&amp;$K$1)+INDIRECT("'数据-取费表'!S"&amp;$K$1))</f>
        <v>0</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0</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0</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95">
        <f ca="1">ROUND(D19*E19/10000,0)</f>
        <v>0</v>
      </c>
      <c r="D19" s="2568">
        <f ca="1">D16</f>
        <v>0</v>
      </c>
      <c r="E19" s="3395">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95">
        <f ca="1">C21+C22-IF(B1="",'数据-取费表'!B29,IF(G20="已全部缴纳",C21+C22,H20))</f>
        <v>0</v>
      </c>
      <c r="D20" s="2568"/>
      <c r="E20" s="3395"/>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0</v>
      </c>
      <c r="D21" s="2558">
        <f ca="1">IF(B1="",'数据-汇总表'!E5,IF(INDIRECT("'数据-取费表'!c"&amp;$K$1)="住宅",INDIRECT("'数据-取费表'!k"&amp;$K$1),0))</f>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0</v>
      </c>
      <c r="D22" s="2558">
        <f ca="1">IF(B1="",'数据-汇总表'!E6,IF(INDIRECT("'数据-取费表'!c"&amp;$K$1)="住宅",INDIRECT("'数据-取费表'!s"&amp;$K$1),INDIRECT("'数据-取费表'!k"&amp;$K$1)+INDIRECT("'数据-取费表'!s"&amp;$K$1)))</f>
        <v>0</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0</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1</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489</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0</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0</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4</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5</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5</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0</v>
      </c>
      <c r="D33" s="460">
        <f ca="1">C34</f>
        <v>0.1031</v>
      </c>
      <c r="E33" s="462" t="s">
        <v>489</v>
      </c>
      <c r="F33" s="472">
        <f ca="1">IF(B1="",'数据-取费表'!Q16,INDIRECT("'数据-取费表'!q"&amp;$K$1))</f>
        <v>0.1</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0.1031</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0</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53</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t="e">
        <f ca="1">C36*10000/D19</f>
        <v>#DIV/0!</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1" sqref="N21"/>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c r="C1" s="1984"/>
      <c r="D1" s="1984"/>
      <c r="E1" s="1984"/>
      <c r="F1" s="1984"/>
      <c r="G1" s="1984"/>
      <c r="H1" s="1984"/>
      <c r="I1" s="1984"/>
      <c r="J1" s="1984"/>
      <c r="K1" s="415">
        <f>MATCH(B1,'数据-取费表'!A6:A16,0)+5</f>
        <v>13</v>
      </c>
      <c r="L1" s="289"/>
      <c r="M1" s="289"/>
      <c r="N1" s="289"/>
      <c r="O1" s="289"/>
      <c r="P1" s="289"/>
      <c r="Q1" s="289"/>
      <c r="R1" s="289"/>
      <c r="S1" s="289"/>
      <c r="T1" s="289"/>
      <c r="U1" s="289"/>
      <c r="V1" s="289"/>
      <c r="W1" s="289"/>
      <c r="X1" s="289"/>
      <c r="Y1" s="289"/>
      <c r="Z1" s="289"/>
    </row>
    <row r="2" spans="1:31" s="1922" customFormat="1" ht="18" customHeight="1">
      <c r="A2" s="1981" t="s">
        <v>461</v>
      </c>
      <c r="B2" s="1985">
        <f ca="1">C36</f>
        <v>13591</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691</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1383</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92</v>
      </c>
      <c r="C5" s="424" t="s">
        <v>463</v>
      </c>
      <c r="D5" s="415"/>
      <c r="E5" s="415"/>
      <c r="F5" s="415"/>
      <c r="G5" s="415"/>
      <c r="H5" s="415"/>
      <c r="I5" s="415"/>
      <c r="J5" s="415"/>
      <c r="K5" s="415"/>
      <c r="L5" s="289"/>
      <c r="N5" s="1922" t="s">
        <v>3368</v>
      </c>
      <c r="O5" s="1922">
        <f ca="1">结果表!G19</f>
        <v>17216</v>
      </c>
      <c r="P5" s="1922" t="s">
        <v>3369</v>
      </c>
      <c r="U5" s="289"/>
      <c r="V5" s="289"/>
      <c r="W5" s="289"/>
      <c r="X5" s="289"/>
      <c r="Y5" s="289"/>
      <c r="Z5" s="289"/>
    </row>
    <row r="6" spans="1:31" s="1991" customFormat="1" ht="16.5" customHeight="1">
      <c r="A6" s="2542" t="s">
        <v>1832</v>
      </c>
      <c r="B6" s="2543"/>
      <c r="C6" s="2544">
        <f ca="1">SUM(C10:K10)</f>
        <v>141308</v>
      </c>
      <c r="D6" s="2543"/>
      <c r="E6" s="2543"/>
      <c r="F6" s="2543"/>
      <c r="G6" s="2543"/>
      <c r="H6" s="2543"/>
      <c r="I6" s="2543"/>
      <c r="J6" s="2543"/>
      <c r="K6" s="2545"/>
      <c r="L6" s="3192"/>
      <c r="M6" s="3331" t="str">
        <f>C7</f>
        <v>住宅</v>
      </c>
      <c r="N6" s="3332">
        <f ca="1">C10/$C$6</f>
        <v>0.97947745350581705</v>
      </c>
      <c r="O6" s="3332">
        <f ca="1">N6*$O$5</f>
        <v>16862.683839556146</v>
      </c>
      <c r="P6" s="3333">
        <f>C9</f>
        <v>188593</v>
      </c>
      <c r="Q6" s="3332">
        <f ca="1">ROUND(O6*10000/P6,0)</f>
        <v>894</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t="s">
        <v>3519</v>
      </c>
      <c r="J7" s="429"/>
      <c r="K7" s="430"/>
      <c r="M7" s="3334" t="str">
        <f>D7</f>
        <v>商业（底商）</v>
      </c>
      <c r="N7" s="1992">
        <f ca="1">D10/C6</f>
        <v>2.0522546494182919E-2</v>
      </c>
      <c r="O7" s="3332">
        <f t="shared" ref="O7:O10" ca="1" si="0">N7*$O$5</f>
        <v>353.31616044385316</v>
      </c>
      <c r="P7" s="3335">
        <f>D9</f>
        <v>2175</v>
      </c>
      <c r="Q7" s="3332">
        <f t="shared" ref="Q7:Q10" ca="1" si="1">ROUND(O7*10000/P7,0)</f>
        <v>1624</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SUMIF('数据-汇总表'!$C19:$C33,'剩余法-待开发'!C7,'数据-汇总表'!$E19:$E33)</f>
        <v>188593</v>
      </c>
      <c r="D9" s="434">
        <f>SUMIF('数据-汇总表'!$C19:$C33,'剩余法-待开发'!D7,'数据-汇总表'!$E19:$E33)</f>
        <v>2175</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138408</v>
      </c>
      <c r="D10" s="2739">
        <f ca="1">'不动产收益法-底商'!B2</f>
        <v>2900</v>
      </c>
      <c r="E10" s="2739">
        <f ca="1">'不动产收益法-独商'!B2</f>
        <v>0</v>
      </c>
      <c r="F10" s="2551">
        <f ca="1">'不动产收益法-办公'!B2</f>
        <v>0</v>
      </c>
      <c r="G10" s="2551">
        <f ca="1">'不动产收益法-公寓'!B2</f>
        <v>0</v>
      </c>
      <c r="H10" s="2551"/>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2522" t="s">
        <v>470</v>
      </c>
      <c r="E12" s="2522" t="s">
        <v>471</v>
      </c>
      <c r="F12" s="2522"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88501</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4425</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4385</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6881</v>
      </c>
      <c r="D16" s="2558">
        <f ca="1">IF(B1="",'数据-汇总表'!E3,INDIRECT("'数据-取费表'!K"&amp;$K$1)+INDIRECT("'数据-取费表'!S"&amp;$K$1))</f>
        <v>196602</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1328</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105520</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2522">
        <f ca="1">ROUND(D19*E19/10000,0)</f>
        <v>0</v>
      </c>
      <c r="D19" s="2568">
        <f ca="1">D16</f>
        <v>196602</v>
      </c>
      <c r="E19" s="2522">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2522">
        <f ca="1">C21+C22-IF(B1="",'数据-取费表'!B29,IF(G20="已全部缴纳",C21+C22,H20))</f>
        <v>3177</v>
      </c>
      <c r="D20" s="2568"/>
      <c r="E20" s="2522"/>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3017</v>
      </c>
      <c r="D21" s="2558">
        <f ca="1">IF(B1="",'数据-汇总表'!E5,IF(INDIRECT("'数据-取费表'!c"&amp;$K$1)="住宅",INDIRECT("'数据-取费表'!k"&amp;$K$1),0))</f>
        <v>188593</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160</v>
      </c>
      <c r="D22" s="2558">
        <f ca="1">IF(B1="",'数据-汇总表'!E6,IF(INDIRECT("'数据-取费表'!c"&amp;$K$1)="住宅",INDIRECT("'数据-取费表'!s"&amp;$K$1),INDIRECT("'数据-取费表'!k"&amp;$K$1)+INDIRECT("'数据-取费表'!s"&amp;$K$1)))</f>
        <v>8009</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1087</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1413</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3938</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3938</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7402</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122537</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122537</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3336</v>
      </c>
      <c r="D33" s="460">
        <f ca="1">C34</f>
        <v>3.09E-2</v>
      </c>
      <c r="E33" s="462" t="s">
        <v>489</v>
      </c>
      <c r="F33" s="472">
        <f ca="1">IF(B1="",'数据-取费表'!Q16,INDIRECT("'数据-取费表'!q"&amp;$K$1))</f>
        <v>0.03</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3.09E-2</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3336</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13591</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691.29510381379635</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J15" sqref="J15"/>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3325</v>
      </c>
      <c r="C1" s="1984"/>
      <c r="D1" s="1984"/>
      <c r="E1" s="1984"/>
      <c r="F1" s="1984"/>
      <c r="G1" s="1984"/>
      <c r="H1" s="1984"/>
      <c r="I1" s="1984"/>
      <c r="J1" s="1984"/>
      <c r="K1" s="415">
        <f>MATCH(B1,'数据-取费表'!A6:A16,0)+5</f>
        <v>7</v>
      </c>
      <c r="L1" s="289"/>
      <c r="M1" s="289"/>
      <c r="N1" s="289"/>
      <c r="O1" s="289"/>
      <c r="P1" s="289"/>
      <c r="Q1" s="289"/>
      <c r="R1" s="289"/>
      <c r="S1" s="289"/>
      <c r="T1" s="289"/>
      <c r="U1" s="289"/>
      <c r="V1" s="289"/>
      <c r="W1" s="289"/>
      <c r="X1" s="289"/>
      <c r="Y1" s="289"/>
      <c r="Z1" s="289"/>
    </row>
    <row r="2" spans="1:31" s="1922" customFormat="1" ht="18" customHeight="1">
      <c r="A2" s="1981" t="s">
        <v>461</v>
      </c>
      <c r="B2" s="1985">
        <f ca="1">C36</f>
        <v>1361</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6257</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12143</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810</v>
      </c>
      <c r="C5" s="424" t="s">
        <v>463</v>
      </c>
      <c r="D5" s="415"/>
      <c r="E5" s="415"/>
      <c r="F5" s="415"/>
      <c r="G5" s="415"/>
      <c r="H5" s="415"/>
      <c r="I5" s="415"/>
      <c r="J5" s="415"/>
      <c r="K5" s="415"/>
      <c r="L5" s="289"/>
      <c r="N5" s="1922" t="s">
        <v>3368</v>
      </c>
      <c r="O5" s="1922">
        <f ca="1">结果表!G19</f>
        <v>17216</v>
      </c>
      <c r="P5" s="1922" t="s">
        <v>3369</v>
      </c>
      <c r="U5" s="289"/>
      <c r="V5" s="289"/>
      <c r="W5" s="289"/>
      <c r="X5" s="289"/>
      <c r="Y5" s="289"/>
      <c r="Z5" s="289"/>
    </row>
    <row r="6" spans="1:31" s="1991" customFormat="1" ht="16.5" customHeight="1">
      <c r="A6" s="2542" t="s">
        <v>1832</v>
      </c>
      <c r="B6" s="2543"/>
      <c r="C6" s="2544">
        <f ca="1">SUM(C10:K10)</f>
        <v>2900</v>
      </c>
      <c r="D6" s="2543"/>
      <c r="E6" s="2543"/>
      <c r="F6" s="2543"/>
      <c r="G6" s="2543"/>
      <c r="H6" s="2543"/>
      <c r="I6" s="2543"/>
      <c r="J6" s="2543"/>
      <c r="K6" s="2545"/>
      <c r="L6" s="3192"/>
      <c r="M6" s="3331" t="str">
        <f>C7</f>
        <v>住宅</v>
      </c>
      <c r="N6" s="3332">
        <f ca="1">C10/$C$6</f>
        <v>0</v>
      </c>
      <c r="O6" s="3332">
        <f ca="1">N6*$O$5</f>
        <v>0</v>
      </c>
      <c r="P6" s="3333">
        <f>C9</f>
        <v>188593</v>
      </c>
      <c r="Q6" s="3332">
        <f ca="1">ROUND(O6*10000/P6,0)</f>
        <v>0</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c r="J7" s="429"/>
      <c r="K7" s="430"/>
      <c r="M7" s="3334" t="str">
        <f>D7</f>
        <v>商业（底商）</v>
      </c>
      <c r="N7" s="1992">
        <f ca="1">D10/C6</f>
        <v>1</v>
      </c>
      <c r="O7" s="3332">
        <f t="shared" ref="O7:O10" ca="1" si="0">N7*$O$5</f>
        <v>17216</v>
      </c>
      <c r="P7" s="3335">
        <f>D9</f>
        <v>2175</v>
      </c>
      <c r="Q7" s="3332">
        <f t="shared" ref="Q7:Q10" ca="1" si="1">ROUND(O7*10000/P7,0)</f>
        <v>79154</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SUMIF('数据-汇总表'!$C19:$C33,'剩余法-底商'!C7,'数据-汇总表'!$E19:$E33)</f>
        <v>188593</v>
      </c>
      <c r="D9" s="434">
        <f>SUMIF('数据-汇总表'!$C19:$C33,'剩余法-底商'!D7,'数据-汇总表'!$E19:$E33)</f>
        <v>2175</v>
      </c>
      <c r="E9" s="434">
        <f>SUMIF('数据-汇总表'!$C19:$C33,'剩余法-底商'!E7,'数据-汇总表'!$E19:$E33)</f>
        <v>0</v>
      </c>
      <c r="F9" s="434">
        <f>SUMIF('数据-汇总表'!$C19:$C33,'剩余法-底商'!F7,'数据-汇总表'!$E19:$E33)</f>
        <v>0</v>
      </c>
      <c r="G9" s="434">
        <f>SUMIF('数据-汇总表'!$C19:$C33,'剩余法-底商'!G7,'数据-汇总表'!$E19:$E33)</f>
        <v>0</v>
      </c>
      <c r="H9" s="434">
        <f>SUMIF('数据-汇总表'!$C19:$C33,'剩余法-底商'!H7,'数据-汇总表'!$E19:$E33)</f>
        <v>0</v>
      </c>
      <c r="I9" s="434">
        <f>SUMIF('数据-汇总表'!$C19:$C33,'剩余法-底商'!I7,'数据-汇总表'!$E19:$E33)</f>
        <v>0</v>
      </c>
      <c r="J9" s="434">
        <f>SUMIF('数据-汇总表'!$C19:$C33,'剩余法-底商'!J7,'数据-汇总表'!$E19:$E33)</f>
        <v>0</v>
      </c>
      <c r="K9" s="435">
        <f>SUMIF('数据-汇总表'!$C19:$C33,'剩余法-底商'!K7,'数据-汇总表'!$E19:$E33)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c r="D10" s="2739">
        <f ca="1">'不动产收益法-底商'!B2</f>
        <v>2900</v>
      </c>
      <c r="E10" s="2739">
        <f ca="1">'不动产收益法-独商'!B2</f>
        <v>0</v>
      </c>
      <c r="F10" s="2551">
        <f ca="1">'不动产收益法-办公'!B2</f>
        <v>0</v>
      </c>
      <c r="G10" s="2551">
        <f ca="1">'不动产收益法-公寓'!B2</f>
        <v>0</v>
      </c>
      <c r="H10" s="2551"/>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61" t="s">
        <v>470</v>
      </c>
      <c r="E12" s="3361" t="s">
        <v>471</v>
      </c>
      <c r="F12" s="3361"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805</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40</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0</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78</v>
      </c>
      <c r="D16" s="2558">
        <f ca="1">IF(B1="",'数据-汇总表'!E3,INDIRECT("'数据-取费表'!K"&amp;$K$1)+INDIRECT("'数据-取费表'!S"&amp;$K$1))</f>
        <v>2241.52</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12</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935</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61">
        <f ca="1">ROUND(D19*E19/10000,0)</f>
        <v>0</v>
      </c>
      <c r="D19" s="2568">
        <f ca="1">D16</f>
        <v>2241.52</v>
      </c>
      <c r="E19" s="3361">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61">
        <f ca="1">C21+C22-IF(B1="",'数据-取费表'!B29,IF(G20="已全部缴纳",C21+C22,H20))</f>
        <v>0</v>
      </c>
      <c r="D20" s="2568"/>
      <c r="E20" s="3361"/>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0</v>
      </c>
      <c r="D21" s="2558">
        <f ca="1">IF(B1="",'数据-汇总表'!E5,IF(INDIRECT("'数据-取费表'!c"&amp;$K$1)="住宅",INDIRECT("'数据-取费表'!k"&amp;$K$1),0))</f>
        <v>0</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45</v>
      </c>
      <c r="D22" s="2558">
        <f ca="1">IF(B1="",'数据-汇总表'!E6,IF(INDIRECT("'数据-取费表'!c"&amp;$K$1)="住宅",INDIRECT("'数据-取费表'!s"&amp;$K$1),INDIRECT("'数据-取费表'!k"&amp;$K$1)+INDIRECT("'数据-取费表'!s"&amp;$K$1)))</f>
        <v>2241.52</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9</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29</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34</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34</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152</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1159</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1159</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97</v>
      </c>
      <c r="D33" s="460">
        <f ca="1">C34</f>
        <v>0.1031</v>
      </c>
      <c r="E33" s="462" t="s">
        <v>489</v>
      </c>
      <c r="F33" s="472">
        <f ca="1">IF(B1="",'数据-取费表'!Q16,INDIRECT("'数据-取费表'!q"&amp;$K$1))</f>
        <v>0.1</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0.1031</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97</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1361</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6071.7727256504513</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1894</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受贵公司委托，我公司对河北省出让国有建设用地使用权市场价格进行了预评估。</v>
      </c>
    </row>
    <row r="5" spans="1:4" ht="18.75">
      <c r="A5" s="1707" t="s">
        <v>1895</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98307平方米。根据《建设工程规划许可证》[]、《出让合同》[]，估价对象规划建筑面积为196602平方米。</v>
      </c>
    </row>
    <row r="7" spans="1:4" ht="93.75">
      <c r="A7" s="2587" t="s">
        <v>2721</v>
      </c>
    </row>
    <row r="8" spans="1:4" ht="18.75">
      <c r="A8" s="1707" t="s">
        <v>1896</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2014</v>
      </c>
    </row>
    <row r="11" spans="1:4" ht="18.75">
      <c r="A11" s="1693" t="str">
        <f>TEXT(项目基本情况!D3,"yyyy年m月d日;;")&amp;IF(项目基本情况!B3=项目基本情况!D3,"（评估专业人员勘察现场之日）","")</f>
        <v>2020年10月21日</v>
      </c>
    </row>
    <row r="12" spans="1:4" ht="18.75">
      <c r="A12" s="1710" t="s">
        <v>2013</v>
      </c>
    </row>
    <row r="13" spans="1:4" ht="18.75">
      <c r="A13" s="1704" t="s">
        <v>2059</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2060</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2061</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根据《国有土地使用证》[]，估价对象（分摊）出让国有建设用地使用权面积为98307平方米。根据《建设工程规划许可证》[]、《出让合同》[]，估价对象规划建筑面积为196602平方米。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2062</v>
      </c>
    </row>
    <row r="23" spans="1:1" ht="18.75">
      <c r="A23" s="2589" t="s">
        <v>2722</v>
      </c>
    </row>
    <row r="24" spans="1:1" ht="18.75">
      <c r="A24" s="1704" t="s">
        <v>2063</v>
      </c>
    </row>
    <row r="25" spans="1:1" ht="75">
      <c r="A25" s="1704"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9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2015</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D10" sqref="D10"/>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914</v>
      </c>
      <c r="D1" s="2795" t="s">
        <v>943</v>
      </c>
      <c r="E1" s="2240" t="s">
        <v>2358</v>
      </c>
      <c r="F1" s="2241">
        <f ca="1">J53</f>
        <v>70</v>
      </c>
      <c r="G1" s="3254">
        <f>MATCH(C1,'数据-取费表'!A6:A16,0)+5</f>
        <v>6</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225874</v>
      </c>
      <c r="C2" s="3259"/>
      <c r="D2" s="3260"/>
      <c r="E2" s="3261"/>
      <c r="F2" s="3261"/>
      <c r="G2" s="3255"/>
      <c r="H2" s="1938"/>
      <c r="I2" s="1938"/>
      <c r="J2" s="1938"/>
      <c r="K2" s="1939"/>
      <c r="L2" s="1938"/>
      <c r="M2" s="1938"/>
    </row>
    <row r="3" spans="1:33" ht="18" customHeight="1" thickBot="1">
      <c r="A3" s="821" t="s">
        <v>1717</v>
      </c>
      <c r="B3" s="822">
        <f ca="1">IF(ISERROR(B2*10000/F43),0,ROUND(B2*10000/F43,0))</f>
        <v>11977</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12441</v>
      </c>
      <c r="D5" s="2347" t="s">
        <v>2442</v>
      </c>
      <c r="E5" s="2341"/>
      <c r="F5" s="2342"/>
      <c r="G5" s="1943"/>
      <c r="H5" s="770">
        <v>1</v>
      </c>
      <c r="I5" s="771" t="s">
        <v>2439</v>
      </c>
      <c r="J5" s="55">
        <f ca="1">J6+J10+J12</f>
        <v>0</v>
      </c>
      <c r="K5" s="2347" t="s">
        <v>2442</v>
      </c>
      <c r="L5" s="2341"/>
      <c r="M5" s="2342"/>
    </row>
    <row r="6" spans="1:33" ht="18" customHeight="1">
      <c r="A6" s="1743" t="s">
        <v>1814</v>
      </c>
      <c r="B6" s="3713" t="s">
        <v>2444</v>
      </c>
      <c r="C6" s="772">
        <f ca="1">ROUND(F6*F8*F7*(1-F9)/10000,0)</f>
        <v>12425</v>
      </c>
      <c r="D6" s="2348" t="s">
        <v>2443</v>
      </c>
      <c r="E6" s="773" t="s">
        <v>1728</v>
      </c>
      <c r="F6" s="774">
        <f ca="1">INDIRECT("'数据-取费表'!u"&amp;$G$1)</f>
        <v>1.9</v>
      </c>
      <c r="G6" s="1943"/>
      <c r="H6" s="2355" t="s">
        <v>2449</v>
      </c>
      <c r="I6" s="3713" t="s">
        <v>2444</v>
      </c>
      <c r="J6" s="772">
        <f ca="1">ROUND(M6*M8*M7*(1-M9)/10000,0)</f>
        <v>0</v>
      </c>
      <c r="K6" s="338" t="s">
        <v>1727</v>
      </c>
      <c r="L6" s="773" t="s">
        <v>1728</v>
      </c>
      <c r="M6" s="774">
        <f ca="1">INDIRECT("'数据-取费表'!z"&amp;$G$1)</f>
        <v>0</v>
      </c>
    </row>
    <row r="7" spans="1:33" ht="18" customHeight="1">
      <c r="A7" s="2351"/>
      <c r="B7" s="3714"/>
      <c r="C7" s="777"/>
      <c r="D7" s="778"/>
      <c r="E7" s="773" t="s">
        <v>1729</v>
      </c>
      <c r="F7" s="774">
        <f ca="1">IF(INDIRECT("'数据-取费表'!ah"&amp;$G$1)="",INDIRECT("'数据-取费表'!k"&amp;$G$1),INDIRECT("'数据-取费表'!ah"&amp;$G$1))</f>
        <v>188593</v>
      </c>
      <c r="G7" s="1943"/>
      <c r="H7" s="2340"/>
      <c r="I7" s="3714"/>
      <c r="J7" s="777"/>
      <c r="K7" s="778"/>
      <c r="L7" s="773" t="s">
        <v>1729</v>
      </c>
      <c r="M7" s="774">
        <f ca="1">F7</f>
        <v>188593</v>
      </c>
    </row>
    <row r="8" spans="1:33" ht="18" customHeight="1">
      <c r="A8" s="2344"/>
      <c r="B8" s="3715"/>
      <c r="C8" s="777"/>
      <c r="D8" s="778"/>
      <c r="E8" s="773" t="s">
        <v>1730</v>
      </c>
      <c r="F8" s="774">
        <f ca="1">INDIRECT("'数据-取费表'!ai"&amp;$G$1)</f>
        <v>365</v>
      </c>
      <c r="G8" s="1943"/>
      <c r="H8" s="2340"/>
      <c r="I8" s="3715"/>
      <c r="J8" s="777"/>
      <c r="K8" s="778"/>
      <c r="L8" s="773" t="s">
        <v>1730</v>
      </c>
      <c r="M8" s="774">
        <f ca="1">INDIRECT("'数据-取费表'!ai"&amp;$G$1)</f>
        <v>365</v>
      </c>
    </row>
    <row r="9" spans="1:33" ht="18" customHeight="1">
      <c r="A9" s="775"/>
      <c r="B9" s="3716"/>
      <c r="C9" s="777"/>
      <c r="D9" s="778"/>
      <c r="E9" s="773" t="s">
        <v>1731</v>
      </c>
      <c r="F9" s="783">
        <f ca="1">INDIRECT("'数据-取费表'!w"&amp;$G$1)</f>
        <v>0.05</v>
      </c>
      <c r="G9" s="1943"/>
      <c r="H9" s="2356"/>
      <c r="I9" s="3715"/>
      <c r="J9" s="777"/>
      <c r="K9" s="778"/>
      <c r="L9" s="784" t="s">
        <v>1731</v>
      </c>
      <c r="M9" s="785">
        <f ca="1">INDIRECT("'数据-取费表'!ab"&amp;$G$1)</f>
        <v>0</v>
      </c>
    </row>
    <row r="10" spans="1:33" ht="18" customHeight="1">
      <c r="A10" s="1743" t="s">
        <v>2447</v>
      </c>
      <c r="B10" s="2345" t="s">
        <v>2440</v>
      </c>
      <c r="C10" s="788">
        <f ca="1">ROUND(IF(F10="押一",C6/12*F11,IF(F10="押二",C6/12*2*F11,IF(F10="押三",C6/12*3*F11,C11*F11))),0)</f>
        <v>16</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2446</v>
      </c>
      <c r="F11" s="785">
        <f ca="1">'数据-取费表'!B39</f>
        <v>1.4999999999999999E-2</v>
      </c>
      <c r="G11" s="1943"/>
      <c r="H11" s="2412"/>
      <c r="I11" s="2346" t="s">
        <v>2547</v>
      </c>
      <c r="J11" s="2350"/>
      <c r="K11" s="2413"/>
      <c r="L11" s="2349" t="s">
        <v>2446</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120120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87696</v>
      </c>
      <c r="D14" s="1891" t="s">
        <v>1735</v>
      </c>
      <c r="E14" s="1892"/>
      <c r="F14" s="794"/>
      <c r="G14" s="1943"/>
      <c r="H14" s="1576" t="s">
        <v>1820</v>
      </c>
      <c r="I14" s="2109" t="s">
        <v>2798</v>
      </c>
      <c r="J14" s="53">
        <f ca="1">C29</f>
        <v>120120</v>
      </c>
      <c r="K14" s="26"/>
      <c r="L14" s="790"/>
      <c r="M14" s="791"/>
    </row>
    <row r="15" spans="1:33" s="1945" customFormat="1" ht="18" customHeight="1" thickBot="1">
      <c r="A15" s="1575" t="s">
        <v>1875</v>
      </c>
      <c r="B15" s="773" t="s">
        <v>641</v>
      </c>
      <c r="C15" s="53">
        <f ca="1">ROUND(C14*F15,0)</f>
        <v>4385</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4385</v>
      </c>
      <c r="D16" s="773" t="s">
        <v>1736</v>
      </c>
      <c r="E16" s="773" t="s">
        <v>1737</v>
      </c>
      <c r="F16" s="798">
        <f ca="1">IF(INDIRECT("'数据-取费表'!c"&amp;$G$1)="住宅",'数据-取费表'!B34,0)</f>
        <v>0.05</v>
      </c>
      <c r="G16" s="1943"/>
      <c r="H16" s="1742" t="s">
        <v>1738</v>
      </c>
      <c r="I16" s="1740" t="s">
        <v>1739</v>
      </c>
      <c r="J16" s="781">
        <f ca="1">ROUND(J17+J22+J23+J24,0)</f>
        <v>2840</v>
      </c>
      <c r="K16" s="1734" t="s">
        <v>1740</v>
      </c>
      <c r="L16" s="2337"/>
      <c r="M16" s="2342"/>
    </row>
    <row r="17" spans="1:33" s="1945" customFormat="1" ht="18" customHeight="1">
      <c r="A17" s="1575" t="s">
        <v>1877</v>
      </c>
      <c r="B17" s="773" t="s">
        <v>647</v>
      </c>
      <c r="C17" s="53">
        <f ca="1">ROUND(F17*(F43+INDIRECT("'数据-取费表'!S"&amp;$G$1))/10000,0)</f>
        <v>6803</v>
      </c>
      <c r="D17" s="773" t="s">
        <v>1741</v>
      </c>
      <c r="E17" s="773" t="s">
        <v>1742</v>
      </c>
      <c r="F17" s="56">
        <f>'数据-取费表'!B35</f>
        <v>350</v>
      </c>
      <c r="G17" s="3256"/>
      <c r="H17" s="1576" t="s">
        <v>1820</v>
      </c>
      <c r="I17" s="773" t="s">
        <v>650</v>
      </c>
      <c r="J17" s="3016">
        <f ca="1">ROUND(IF(AND(项目基本情况!B11="自然人",项目基本情况!B10="北京市"),J6*M17/(1+'数据-取费表'!C42),J18+J19+J20),0)</f>
        <v>1038</v>
      </c>
      <c r="K17" s="2336" t="s">
        <v>1743</v>
      </c>
      <c r="L17" s="233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1315</v>
      </c>
      <c r="D18" s="773" t="s">
        <v>1736</v>
      </c>
      <c r="E18" s="773" t="s">
        <v>1737</v>
      </c>
      <c r="F18" s="798">
        <f>'数据-取费表'!B36</f>
        <v>1.4999999999999999E-2</v>
      </c>
      <c r="G18" s="3256"/>
      <c r="H18" s="1575" t="s">
        <v>1874</v>
      </c>
      <c r="I18" s="773" t="s">
        <v>1745</v>
      </c>
      <c r="J18" s="53">
        <f ca="1">ROUND(J6*M18/(1+'数据-取费表'!C42),1)</f>
        <v>0</v>
      </c>
      <c r="K18" s="233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104584</v>
      </c>
      <c r="D19" s="258" t="s">
        <v>1747</v>
      </c>
      <c r="E19" s="1894"/>
      <c r="F19" s="56"/>
      <c r="G19" s="1943"/>
      <c r="H19" s="1575" t="s">
        <v>1875</v>
      </c>
      <c r="I19" s="773" t="s">
        <v>1748</v>
      </c>
      <c r="J19" s="53">
        <f ca="1">IF(K19="按租金收入计税",ROUND(J6*M19/(1+'数据-取费表'!C42),1),ROUND(C29*F33*0.7,1))</f>
        <v>1009</v>
      </c>
      <c r="K19" s="799" t="s">
        <v>659</v>
      </c>
      <c r="L19" s="773" t="s">
        <v>1737</v>
      </c>
      <c r="M19" s="798">
        <f>IF(K19="按租金收入计税",'数据-取费表'!B51,'数据-取费表'!B50)</f>
        <v>1.2E-2</v>
      </c>
    </row>
    <row r="20" spans="1:33" s="1945" customFormat="1" ht="18" customHeight="1">
      <c r="A20" s="1576" t="s">
        <v>1879</v>
      </c>
      <c r="B20" s="773" t="s">
        <v>660</v>
      </c>
      <c r="C20" s="53">
        <f ca="1">ROUND(C19*F20,0)</f>
        <v>1046</v>
      </c>
      <c r="D20" s="800" t="s">
        <v>1749</v>
      </c>
      <c r="E20" s="773" t="s">
        <v>1737</v>
      </c>
      <c r="F20" s="798">
        <f>'数据-取费表'!B37</f>
        <v>0.01</v>
      </c>
      <c r="G20" s="3256"/>
      <c r="H20" s="1578" t="s">
        <v>1870</v>
      </c>
      <c r="I20" s="338" t="s">
        <v>1750</v>
      </c>
      <c r="J20" s="54">
        <f ca="1">ROUND(M20*M21/10000,0)</f>
        <v>29</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97186.18</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1894"/>
      <c r="F22" s="56"/>
      <c r="G22" s="1943"/>
      <c r="H22" s="1576" t="s">
        <v>1879</v>
      </c>
      <c r="I22" s="773" t="s">
        <v>1758</v>
      </c>
      <c r="J22" s="53">
        <f ca="1">ROUND(J14*M22,0)</f>
        <v>1802</v>
      </c>
      <c r="K22" s="2335"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3741</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233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1894"/>
      <c r="F25" s="56"/>
      <c r="G25" s="1943"/>
      <c r="H25" s="1742" t="s">
        <v>1766</v>
      </c>
      <c r="I25" s="2720" t="s">
        <v>2794</v>
      </c>
      <c r="J25" s="781">
        <f ca="1">J5-J16</f>
        <v>-2840</v>
      </c>
      <c r="K25" s="2398" t="s">
        <v>1767</v>
      </c>
      <c r="L25" s="2399"/>
      <c r="M25" s="2400"/>
    </row>
    <row r="26" spans="1:33" ht="18" customHeight="1">
      <c r="A26" s="1575" t="s">
        <v>1821</v>
      </c>
      <c r="B26" s="773" t="s">
        <v>2421</v>
      </c>
      <c r="C26" s="53">
        <f ca="1">ROUND((C19+C20)*F26,0)</f>
        <v>3169</v>
      </c>
      <c r="D26" s="800" t="s">
        <v>1768</v>
      </c>
      <c r="E26" s="784" t="s">
        <v>1769</v>
      </c>
      <c r="F26" s="783">
        <f ca="1">INDIRECT("'数据-取费表'!q"&amp;$G$1)</f>
        <v>0.03</v>
      </c>
      <c r="G26" s="1943"/>
      <c r="H26" s="2353" t="s">
        <v>1770</v>
      </c>
      <c r="I26" s="2110" t="s">
        <v>2799</v>
      </c>
      <c r="J26" s="772">
        <f ca="1">IF(J5&lt;&gt;0,ROUND(J25*(1-((1+M28)/(1+M26))^M27)/(M26-M28),0),0)</f>
        <v>0</v>
      </c>
      <c r="K26" s="802" t="s">
        <v>1771</v>
      </c>
      <c r="L26" s="773" t="s">
        <v>2403</v>
      </c>
      <c r="M26" s="783">
        <f ca="1">INDIRECT("'数据-取费表'!I"&amp;$G$1)</f>
        <v>0.04</v>
      </c>
    </row>
    <row r="27" spans="1:33" ht="18" customHeight="1">
      <c r="A27" s="1575" t="s">
        <v>1822</v>
      </c>
      <c r="B27" s="773" t="s">
        <v>680</v>
      </c>
      <c r="C27" s="53">
        <f ca="1">ROUND(F21*F26,4)</f>
        <v>2.9999999999999997E-4</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120120</v>
      </c>
      <c r="D29" s="2395"/>
      <c r="E29" s="2396"/>
      <c r="F29" s="2397"/>
      <c r="G29" s="3256"/>
      <c r="H29" s="811" t="s">
        <v>1777</v>
      </c>
      <c r="I29" s="812" t="s">
        <v>1778</v>
      </c>
      <c r="J29" s="813">
        <f ca="1">ROUND(J26/(1+F40)^F41,0)</f>
        <v>0</v>
      </c>
      <c r="K29" s="814" t="s">
        <v>1779</v>
      </c>
      <c r="L29" s="815"/>
      <c r="M29" s="816">
        <f ca="1">INDIRECT("'数据-取费表'!k"&amp;$G$1)</f>
        <v>188593</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2786</v>
      </c>
      <c r="D30" s="1734" t="s">
        <v>1781</v>
      </c>
      <c r="E30" s="2337"/>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680</v>
      </c>
      <c r="D31" s="1891" t="s">
        <v>1782</v>
      </c>
      <c r="E31" s="1889"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f ca="1">ROUND(C6*F32/(1+'数据-取费表'!C42),1)</f>
        <v>650.79999999999995</v>
      </c>
      <c r="D32" s="1889"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29.2</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97186.18</v>
      </c>
      <c r="G35" s="1943"/>
      <c r="H35" s="1946"/>
      <c r="I35" s="825" t="s">
        <v>1804</v>
      </c>
      <c r="J35" s="826">
        <f ca="1">ROUND(C13*J36,0)</f>
        <v>6006</v>
      </c>
      <c r="K35" s="1959"/>
      <c r="L35" s="1958"/>
      <c r="M35" s="1958"/>
    </row>
    <row r="36" spans="1:18" ht="18" customHeight="1">
      <c r="A36" s="1576" t="s">
        <v>1879</v>
      </c>
      <c r="B36" s="773" t="s">
        <v>1792</v>
      </c>
      <c r="C36" s="53">
        <f ca="1">ROUND(C29*F36,1)</f>
        <v>1801.8</v>
      </c>
      <c r="D36" s="1889" t="s">
        <v>1793</v>
      </c>
      <c r="E36" s="773" t="s">
        <v>1786</v>
      </c>
      <c r="F36" s="805">
        <f ca="1">INDIRECT("'数据-取费表'!Ak"&amp;$G$1)</f>
        <v>1.4999999999999999E-2</v>
      </c>
      <c r="G36" s="1943"/>
      <c r="H36" s="1958"/>
      <c r="I36" s="827" t="s">
        <v>1805</v>
      </c>
      <c r="J36" s="828">
        <f ca="1">INDIRECT("'数据-取费表'!j"&amp;$G$1)</f>
        <v>0.05</v>
      </c>
      <c r="K36" s="1962"/>
      <c r="L36" s="1958"/>
      <c r="M36" s="1958"/>
    </row>
    <row r="37" spans="1:18" ht="18" customHeight="1">
      <c r="A37" s="1576" t="s">
        <v>1880</v>
      </c>
      <c r="B37" s="773" t="s">
        <v>673</v>
      </c>
      <c r="C37" s="53">
        <f ca="1">ROUND(C13*F37,1)</f>
        <v>180.2</v>
      </c>
      <c r="D37" s="1889"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124.4</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9655</v>
      </c>
      <c r="D39" s="2398" t="s">
        <v>1796</v>
      </c>
      <c r="E39" s="2399"/>
      <c r="F39" s="2400"/>
      <c r="G39" s="1943"/>
      <c r="H39" s="1958"/>
      <c r="I39" s="825" t="s">
        <v>1808</v>
      </c>
      <c r="J39" s="833">
        <f ca="1">ROUND(J35/C39,3)</f>
        <v>0.622</v>
      </c>
      <c r="K39" s="1963"/>
      <c r="L39" s="1958"/>
      <c r="M39" s="1958"/>
    </row>
    <row r="40" spans="1:18" ht="18" customHeight="1">
      <c r="A40" s="770" t="s">
        <v>1885</v>
      </c>
      <c r="B40" s="2110" t="s">
        <v>2288</v>
      </c>
      <c r="C40" s="772">
        <f ca="1">ROUND(C39*(1-((1+F42)/(1+F40))^F41)/(F40-F42),0)</f>
        <v>225874</v>
      </c>
      <c r="D40" s="802" t="s">
        <v>1797</v>
      </c>
      <c r="E40" s="773" t="s">
        <v>2403</v>
      </c>
      <c r="F40" s="783">
        <f ca="1">INDIRECT("'数据-取费表'!I"&amp;$G$1)</f>
        <v>0.04</v>
      </c>
      <c r="G40" s="1943"/>
      <c r="H40" s="1943"/>
      <c r="I40" s="825" t="s">
        <v>1809</v>
      </c>
      <c r="J40" s="833">
        <f ca="1">1-J39</f>
        <v>0.378</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70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f ca="1">ROUND(C13/C40,3)</f>
        <v>0.53200000000000003</v>
      </c>
      <c r="K42" s="1962"/>
      <c r="L42" s="1898"/>
      <c r="M42" s="1898"/>
    </row>
    <row r="43" spans="1:18" ht="18" customHeight="1" thickBot="1">
      <c r="A43" s="811" t="s">
        <v>1777</v>
      </c>
      <c r="B43" s="812" t="s">
        <v>1800</v>
      </c>
      <c r="C43" s="813">
        <f ca="1">ROUND(C40*10000/F43,0)</f>
        <v>11977</v>
      </c>
      <c r="D43" s="814" t="s">
        <v>1801</v>
      </c>
      <c r="E43" s="815" t="s">
        <v>1802</v>
      </c>
      <c r="F43" s="816">
        <f ca="1">INDIRECT("'数据-取费表'!k"&amp;$G$1)</f>
        <v>188593</v>
      </c>
      <c r="G43" s="1943"/>
      <c r="H43" s="1898"/>
      <c r="I43" s="835" t="s">
        <v>1812</v>
      </c>
      <c r="J43" s="836">
        <f ca="1">1-J42</f>
        <v>0.46799999999999997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-272920</v>
      </c>
      <c r="D46" s="3257"/>
      <c r="E46" s="3257"/>
      <c r="F46" s="3257"/>
      <c r="I46" s="2231" t="s">
        <v>2327</v>
      </c>
      <c r="J46" s="2232"/>
      <c r="K46" s="2233"/>
      <c r="L46" s="2808">
        <f>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70</v>
      </c>
      <c r="M47" s="1533" t="str">
        <f>IF(ISNUMBER(FIND("住宅",C1)),"住宅","非住宅")</f>
        <v>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70</v>
      </c>
      <c r="M48" s="3258"/>
      <c r="O48" s="2251" t="s">
        <v>2363</v>
      </c>
      <c r="P48" s="2252" t="s">
        <v>2389</v>
      </c>
      <c r="Q48" s="2253">
        <f ca="1">C40+J29</f>
        <v>225874</v>
      </c>
      <c r="R48" s="2252" t="s">
        <v>2364</v>
      </c>
    </row>
    <row r="49" spans="1:18" s="1940" customFormat="1" ht="18" customHeight="1" thickBot="1">
      <c r="A49" s="775"/>
      <c r="B49" s="776"/>
      <c r="C49" s="777"/>
      <c r="D49" s="778"/>
      <c r="E49" s="773" t="s">
        <v>1729</v>
      </c>
      <c r="F49" s="774">
        <f ca="1">F7</f>
        <v>188593</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120120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100988</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70</v>
      </c>
      <c r="K53" s="3719" t="s">
        <v>2920</v>
      </c>
      <c r="L53" s="3720"/>
      <c r="M53" s="3258"/>
      <c r="O53" s="2254" t="s">
        <v>2372</v>
      </c>
      <c r="P53" s="2252" t="s">
        <v>2373</v>
      </c>
      <c r="Q53" s="2253">
        <f ca="1">J53</f>
        <v>70</v>
      </c>
      <c r="R53" s="2252" t="s">
        <v>2374</v>
      </c>
    </row>
    <row r="54" spans="1:18" s="1940" customFormat="1" ht="18" customHeight="1" thickBot="1">
      <c r="A54" s="2387" t="s">
        <v>2448</v>
      </c>
      <c r="B54" s="2388" t="s">
        <v>2441</v>
      </c>
      <c r="C54" s="2389"/>
      <c r="D54" s="2352"/>
      <c r="E54" s="2349"/>
      <c r="F54" s="789"/>
      <c r="I54" s="19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6"/>
      <c r="M54" s="3258"/>
      <c r="O54" s="2251" t="s">
        <v>2375</v>
      </c>
      <c r="P54" s="2252" t="s">
        <v>2392</v>
      </c>
      <c r="Q54" s="2253">
        <f ca="1">Q48+Q49</f>
        <v>225874</v>
      </c>
      <c r="R54" s="2256" t="s">
        <v>2376</v>
      </c>
    </row>
    <row r="55" spans="1:18" s="1940" customFormat="1" ht="18" customHeight="1" thickTop="1" thickBot="1">
      <c r="A55" s="786">
        <v>2</v>
      </c>
      <c r="B55" s="787" t="s">
        <v>638</v>
      </c>
      <c r="C55" s="788">
        <f ca="1">C13</f>
        <v>120120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120120</v>
      </c>
      <c r="D56" s="2478"/>
      <c r="E56" s="773"/>
      <c r="F56" s="798"/>
      <c r="I56" s="2815" t="s">
        <v>2341</v>
      </c>
      <c r="J56" s="2825" t="s">
        <v>1669</v>
      </c>
      <c r="K56" s="2796" t="s">
        <v>2346</v>
      </c>
      <c r="L56" s="1820">
        <f ca="1">IF(L48&lt;J51,"——",L48-J51)</f>
        <v>10</v>
      </c>
      <c r="M56" s="3258"/>
      <c r="O56" s="2248" t="s">
        <v>2359</v>
      </c>
      <c r="P56" s="2249" t="s">
        <v>2360</v>
      </c>
      <c r="Q56" s="2250" t="s">
        <v>2361</v>
      </c>
      <c r="R56" s="2249" t="s">
        <v>2362</v>
      </c>
    </row>
    <row r="57" spans="1:18" s="1940" customFormat="1" ht="28.5" customHeight="1" thickBot="1">
      <c r="A57" s="786" t="s">
        <v>1738</v>
      </c>
      <c r="B57" s="787" t="s">
        <v>645</v>
      </c>
      <c r="C57" s="788">
        <f ca="1">ROUND(C58+C63+C64+C65,0)</f>
        <v>2011</v>
      </c>
      <c r="D57" s="26" t="s">
        <v>1740</v>
      </c>
      <c r="E57" s="2479"/>
      <c r="F57" s="56"/>
      <c r="I57" s="2816" t="s">
        <v>2342</v>
      </c>
      <c r="J57" s="2817" t="str">
        <f ca="1">IF(OR(M47="住宅",J51&lt;L48,J56="是"),"——",J51-L48)</f>
        <v>——</v>
      </c>
      <c r="K57" s="2796" t="s">
        <v>2347</v>
      </c>
      <c r="L57" s="1820">
        <f ca="1">IF(L48&lt;J51,"——",IF(L55="比较法",L49,IF(L55="基准地价",L50,L51)))</f>
        <v>100988</v>
      </c>
      <c r="M57" s="3258"/>
      <c r="O57" s="2251" t="s">
        <v>2363</v>
      </c>
      <c r="P57" s="2252" t="s">
        <v>2393</v>
      </c>
      <c r="Q57" s="2253">
        <f ca="1">C40+J29</f>
        <v>225874</v>
      </c>
      <c r="R57" s="2252" t="s">
        <v>2364</v>
      </c>
    </row>
    <row r="58" spans="1:18" s="1940" customFormat="1" ht="28.5" customHeight="1" thickBot="1">
      <c r="A58" s="1576" t="s">
        <v>1814</v>
      </c>
      <c r="B58" s="773" t="s">
        <v>650</v>
      </c>
      <c r="C58" s="3016">
        <f ca="1">ROUND(IF(AND(项目基本情况!B11="自然人",项目基本情况!B10="北京市"),C48*F58/(1+'数据-取费表'!C42),C59+C60+C61),0)</f>
        <v>29</v>
      </c>
      <c r="D58" s="2477" t="s">
        <v>651</v>
      </c>
      <c r="E58" s="2478"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2478"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2478"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29.2</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97186.18</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1801.8</v>
      </c>
      <c r="D63" s="2478" t="s">
        <v>1793</v>
      </c>
      <c r="E63" s="773" t="s">
        <v>1737</v>
      </c>
      <c r="F63" s="805">
        <f t="shared" ca="1" si="0"/>
        <v>1.4999999999999999E-2</v>
      </c>
      <c r="I63" s="2821" t="s">
        <v>2354</v>
      </c>
      <c r="J63" s="2822">
        <v>70</v>
      </c>
      <c r="K63" s="2822">
        <v>50</v>
      </c>
      <c r="L63" s="2822">
        <v>80</v>
      </c>
      <c r="M63" s="2824">
        <v>0.02</v>
      </c>
      <c r="O63" s="2251" t="s">
        <v>2375</v>
      </c>
      <c r="P63" s="2252" t="s">
        <v>2392</v>
      </c>
      <c r="Q63" s="2253">
        <f ca="1">Q57+Q58</f>
        <v>225874</v>
      </c>
      <c r="R63" s="2256" t="s">
        <v>2376</v>
      </c>
    </row>
    <row r="64" spans="1:18" s="1940" customFormat="1" ht="16.5" thickBot="1">
      <c r="A64" s="1576" t="s">
        <v>1880</v>
      </c>
      <c r="B64" s="773" t="s">
        <v>673</v>
      </c>
      <c r="C64" s="53">
        <f ca="1">ROUND(C55*F64,1)</f>
        <v>180.2</v>
      </c>
      <c r="D64" s="2478"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2478"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-2011</v>
      </c>
      <c r="D66" s="2477" t="s">
        <v>694</v>
      </c>
      <c r="E66" s="2476"/>
      <c r="F66" s="808"/>
      <c r="K66" s="1966"/>
      <c r="O66" s="2251" t="s">
        <v>2363</v>
      </c>
      <c r="P66" s="2252" t="s">
        <v>2393</v>
      </c>
      <c r="Q66" s="2253">
        <f ca="1">C40+J29</f>
        <v>225874</v>
      </c>
      <c r="R66" s="2252" t="s">
        <v>2364</v>
      </c>
    </row>
    <row r="67" spans="1:18" s="1940" customFormat="1" ht="20.25" thickBot="1">
      <c r="A67" s="770" t="s">
        <v>1770</v>
      </c>
      <c r="B67" s="2110" t="s">
        <v>2288</v>
      </c>
      <c r="C67" s="772">
        <f ca="1">ROUND(C66*(1-((1+F69)/(1+F67))^F68)/(F67-F69),0)</f>
        <v>-47046</v>
      </c>
      <c r="D67" s="802" t="s">
        <v>698</v>
      </c>
      <c r="E67" s="773" t="s">
        <v>699</v>
      </c>
      <c r="F67" s="783">
        <f ca="1">F40</f>
        <v>0.04</v>
      </c>
      <c r="K67" s="1966"/>
      <c r="O67" s="2251" t="s">
        <v>2365</v>
      </c>
      <c r="P67" s="2252" t="s">
        <v>2396</v>
      </c>
      <c r="Q67" s="2253">
        <f ca="1">L60</f>
        <v>0</v>
      </c>
      <c r="R67" s="2256" t="s">
        <v>2398</v>
      </c>
    </row>
    <row r="68" spans="1:18" ht="21.75" thickBot="1">
      <c r="A68" s="775"/>
      <c r="B68" s="776"/>
      <c r="C68" s="777"/>
      <c r="D68" s="809" t="s">
        <v>1798</v>
      </c>
      <c r="E68" s="773" t="s">
        <v>1774</v>
      </c>
      <c r="F68" s="810">
        <f ca="1">F41</f>
        <v>70</v>
      </c>
      <c r="O68" s="2254" t="s">
        <v>2367</v>
      </c>
      <c r="P68" s="2252" t="s">
        <v>2397</v>
      </c>
      <c r="Q68" s="2258">
        <f ca="1">L51</f>
        <v>100988</v>
      </c>
      <c r="R68" s="2259" t="s">
        <v>2400</v>
      </c>
    </row>
    <row r="69" spans="1:18" ht="20.25" thickBot="1">
      <c r="A69" s="779"/>
      <c r="B69" s="780"/>
      <c r="C69" s="781"/>
      <c r="D69" s="804"/>
      <c r="E69" s="773" t="s">
        <v>704</v>
      </c>
      <c r="F69" s="2224"/>
      <c r="O69" s="2254" t="s">
        <v>2368</v>
      </c>
      <c r="P69" s="2260" t="s">
        <v>2382</v>
      </c>
      <c r="Q69" s="2253">
        <f ca="1">ROUND(Q70-Q71*Q72,0)</f>
        <v>3649</v>
      </c>
      <c r="R69" s="2256"/>
    </row>
    <row r="70" spans="1:18" ht="15.75" thickBot="1">
      <c r="A70" s="811" t="s">
        <v>1777</v>
      </c>
      <c r="B70" s="812" t="s">
        <v>1800</v>
      </c>
      <c r="C70" s="813">
        <f ca="1">ROUND(C67*10000/F70,0)</f>
        <v>-2495</v>
      </c>
      <c r="D70" s="814" t="s">
        <v>1801</v>
      </c>
      <c r="E70" s="815" t="s">
        <v>1802</v>
      </c>
      <c r="F70" s="816">
        <f ca="1">F43</f>
        <v>188593</v>
      </c>
      <c r="O70" s="2254" t="s">
        <v>2383</v>
      </c>
      <c r="P70" s="2260" t="s">
        <v>2384</v>
      </c>
      <c r="Q70" s="2253">
        <f ca="1">C39</f>
        <v>9655</v>
      </c>
      <c r="R70" s="2252" t="s">
        <v>2364</v>
      </c>
    </row>
    <row r="71" spans="1:18" ht="15.75" thickBot="1">
      <c r="O71" s="2254" t="s">
        <v>2385</v>
      </c>
      <c r="P71" s="2260" t="s">
        <v>2386</v>
      </c>
      <c r="Q71" s="2253">
        <f ca="1">C13</f>
        <v>120120</v>
      </c>
      <c r="R71" s="2252" t="s">
        <v>2364</v>
      </c>
    </row>
    <row r="72" spans="1:18" ht="15.75" thickBot="1">
      <c r="O72" s="2254" t="s">
        <v>2387</v>
      </c>
      <c r="P72" s="2260" t="s">
        <v>2388</v>
      </c>
      <c r="Q72" s="2255">
        <f ca="1">J36</f>
        <v>0.05</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225874</v>
      </c>
      <c r="R76" s="2256"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5" priority="7">
      <formula>$L$48&gt;$J$51</formula>
    </cfRule>
  </conditionalFormatting>
  <conditionalFormatting sqref="I55">
    <cfRule type="expression" dxfId="154" priority="8">
      <formula>$J$51&gt;$L$48</formula>
    </cfRule>
  </conditionalFormatting>
  <conditionalFormatting sqref="I60">
    <cfRule type="expression" dxfId="153" priority="6">
      <formula>$J$51&gt;$L$48</formula>
    </cfRule>
  </conditionalFormatting>
  <conditionalFormatting sqref="K60">
    <cfRule type="expression" dxfId="152" priority="5">
      <formula>$L$48&gt;$J$51</formula>
    </cfRule>
  </conditionalFormatting>
  <conditionalFormatting sqref="C11">
    <cfRule type="expression" dxfId="151" priority="4">
      <formula>$F$10="自定义"</formula>
    </cfRule>
  </conditionalFormatting>
  <conditionalFormatting sqref="J11">
    <cfRule type="expression" dxfId="150" priority="2">
      <formula>$M$10="自定义"</formula>
    </cfRule>
  </conditionalFormatting>
  <conditionalFormatting sqref="C53">
    <cfRule type="expression" dxfId="14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I27" sqref="I27"/>
    </sheetView>
  </sheetViews>
  <sheetFormatPr defaultColWidth="6.625" defaultRowHeight="12.75"/>
  <cols>
    <col min="1" max="1" width="9.625" style="2004" customWidth="1"/>
    <col min="2" max="2" width="25.62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15" width="9" style="1995" customWidth="1"/>
    <col min="16" max="16" width="12.625" style="1995" customWidth="1"/>
    <col min="17" max="26" width="9" style="1995" customWidth="1"/>
    <col min="27" max="254" width="9" style="1994" customWidth="1"/>
    <col min="255" max="16384" width="6.625" style="1994"/>
  </cols>
  <sheetData>
    <row r="1" spans="1:31" s="1922" customFormat="1" ht="20.25">
      <c r="A1" s="1983" t="s">
        <v>460</v>
      </c>
      <c r="B1" s="2523" t="s">
        <v>914</v>
      </c>
      <c r="C1" s="1984"/>
      <c r="D1" s="1984"/>
      <c r="E1" s="1984"/>
      <c r="F1" s="1984"/>
      <c r="G1" s="1984"/>
      <c r="H1" s="1984"/>
      <c r="I1" s="1984"/>
      <c r="J1" s="1984"/>
      <c r="K1" s="415">
        <f>MATCH(B1,'数据-取费表'!A6:A16,0)+5</f>
        <v>6</v>
      </c>
      <c r="L1" s="289"/>
      <c r="M1" s="289"/>
      <c r="N1" s="289"/>
      <c r="O1" s="289"/>
      <c r="P1" s="289"/>
      <c r="Q1" s="289"/>
      <c r="R1" s="289"/>
      <c r="S1" s="289"/>
      <c r="T1" s="289"/>
      <c r="U1" s="289"/>
      <c r="V1" s="289"/>
      <c r="W1" s="289"/>
      <c r="X1" s="289"/>
      <c r="Y1" s="289"/>
      <c r="Z1" s="289"/>
    </row>
    <row r="2" spans="1:31" s="1922" customFormat="1" ht="18" customHeight="1">
      <c r="A2" s="1981" t="s">
        <v>461</v>
      </c>
      <c r="B2" s="1985">
        <f ca="1">C36</f>
        <v>15096</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1674</v>
      </c>
      <c r="B3" s="1987">
        <f ca="1">ROUND(B2*10000/IF(B1="",'数据-汇总表'!E3,INDIRECT("'数据-取费表'!K"&amp;$K$1)),0)</f>
        <v>800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1553</v>
      </c>
      <c r="C4" s="421"/>
      <c r="D4" s="415"/>
      <c r="E4" s="415"/>
      <c r="F4" s="415"/>
      <c r="G4" s="415"/>
      <c r="H4" s="415"/>
      <c r="I4" s="415"/>
      <c r="J4" s="415"/>
      <c r="K4" s="415"/>
      <c r="L4" s="289"/>
      <c r="O4" s="1922" t="s">
        <v>3366</v>
      </c>
      <c r="Q4" s="1922" t="s">
        <v>3367</v>
      </c>
      <c r="U4" s="289"/>
      <c r="V4" s="289"/>
      <c r="W4" s="289"/>
      <c r="X4" s="289"/>
      <c r="Y4" s="289"/>
      <c r="Z4" s="289"/>
    </row>
    <row r="5" spans="1:31" s="1922" customFormat="1" ht="18" customHeight="1" thickBot="1">
      <c r="A5" s="422"/>
      <c r="B5" s="423">
        <f ca="1">ROUND(B2/(IF(B1="",'数据-汇总表'!D3,INDIRECT("'数据-取费表'!R"&amp;$K$1))/666.67),0)</f>
        <v>104</v>
      </c>
      <c r="C5" s="424" t="s">
        <v>463</v>
      </c>
      <c r="D5" s="415"/>
      <c r="E5" s="415"/>
      <c r="F5" s="415"/>
      <c r="G5" s="415"/>
      <c r="H5" s="415"/>
      <c r="I5" s="415"/>
      <c r="J5" s="415"/>
      <c r="K5" s="415"/>
      <c r="L5" s="289"/>
      <c r="N5" s="1922" t="s">
        <v>3368</v>
      </c>
      <c r="O5" s="1922">
        <f ca="1">结果表!G19</f>
        <v>17216</v>
      </c>
      <c r="P5" s="1922" t="s">
        <v>3369</v>
      </c>
      <c r="U5" s="289"/>
      <c r="V5" s="289"/>
      <c r="W5" s="289"/>
      <c r="X5" s="289"/>
      <c r="Y5" s="289"/>
      <c r="Z5" s="289"/>
    </row>
    <row r="6" spans="1:31" s="1991" customFormat="1" ht="16.5" customHeight="1">
      <c r="A6" s="2542" t="s">
        <v>1832</v>
      </c>
      <c r="B6" s="2543"/>
      <c r="C6" s="2544">
        <f ca="1">SUM(C10:K10)</f>
        <v>138408</v>
      </c>
      <c r="D6" s="2543"/>
      <c r="E6" s="2543"/>
      <c r="F6" s="2543"/>
      <c r="G6" s="2543"/>
      <c r="H6" s="2543"/>
      <c r="I6" s="2543"/>
      <c r="J6" s="2543"/>
      <c r="K6" s="2545"/>
      <c r="L6" s="3192"/>
      <c r="M6" s="3331" t="str">
        <f>C7</f>
        <v>住宅</v>
      </c>
      <c r="N6" s="3332">
        <f ca="1">C10/$C$6</f>
        <v>1</v>
      </c>
      <c r="O6" s="3332">
        <f ca="1">N6*$O$5</f>
        <v>17216</v>
      </c>
      <c r="P6" s="3333">
        <f>C9</f>
        <v>188593</v>
      </c>
      <c r="Q6" s="3332">
        <f ca="1">ROUND(O6*10000/P6,0)</f>
        <v>913</v>
      </c>
      <c r="R6" s="3332"/>
      <c r="S6" s="3332"/>
      <c r="T6" s="3332"/>
      <c r="U6" s="3192"/>
      <c r="V6" s="3192"/>
      <c r="W6" s="3192"/>
      <c r="X6" s="3192"/>
      <c r="Y6" s="3192"/>
      <c r="Z6" s="3192"/>
    </row>
    <row r="7" spans="1:31" s="1993" customFormat="1" ht="25.5">
      <c r="A7" s="2546" t="s">
        <v>464</v>
      </c>
      <c r="B7" s="2547" t="s">
        <v>465</v>
      </c>
      <c r="C7" s="429" t="s">
        <v>914</v>
      </c>
      <c r="D7" s="429" t="s">
        <v>3325</v>
      </c>
      <c r="E7" s="429" t="s">
        <v>3326</v>
      </c>
      <c r="F7" s="429" t="s">
        <v>1668</v>
      </c>
      <c r="G7" s="429" t="s">
        <v>3320</v>
      </c>
      <c r="H7" s="429" t="s">
        <v>3441</v>
      </c>
      <c r="I7" s="429"/>
      <c r="J7" s="429"/>
      <c r="K7" s="430"/>
      <c r="M7" s="3334" t="str">
        <f>D7</f>
        <v>商业（底商）</v>
      </c>
      <c r="N7" s="1992">
        <f ca="1">D10/C6</f>
        <v>0</v>
      </c>
      <c r="O7" s="3332">
        <f t="shared" ref="O7:O10" ca="1" si="0">N7*$O$5</f>
        <v>0</v>
      </c>
      <c r="P7" s="3335">
        <f>D9</f>
        <v>2175</v>
      </c>
      <c r="Q7" s="3332">
        <f t="shared" ref="Q7:Q10" ca="1" si="1">ROUND(O7*10000/P7,0)</f>
        <v>0</v>
      </c>
      <c r="R7" s="3332"/>
      <c r="S7" s="1992"/>
      <c r="T7" s="3332"/>
      <c r="AA7" s="1992"/>
      <c r="AB7" s="1992"/>
      <c r="AC7" s="1992"/>
      <c r="AD7" s="1992"/>
      <c r="AE7" s="1992"/>
    </row>
    <row r="8" spans="1:31" s="1995" customFormat="1" ht="13.5" customHeight="1">
      <c r="A8" s="792" t="s">
        <v>1835</v>
      </c>
      <c r="B8" s="258" t="s">
        <v>466</v>
      </c>
      <c r="C8" s="2548">
        <v>7339</v>
      </c>
      <c r="D8" s="2548"/>
      <c r="E8" s="2548"/>
      <c r="F8" s="2548"/>
      <c r="G8" s="2548"/>
      <c r="H8" s="2548"/>
      <c r="I8" s="2548"/>
      <c r="J8" s="2548"/>
      <c r="K8" s="2549"/>
      <c r="M8" s="3336" t="str">
        <f>E7</f>
        <v>商业（独立）</v>
      </c>
      <c r="N8" s="1994">
        <f ca="1">E10/C6</f>
        <v>0</v>
      </c>
      <c r="O8" s="3332">
        <f t="shared" ca="1" si="0"/>
        <v>0</v>
      </c>
      <c r="P8" s="3337">
        <f>E9</f>
        <v>0</v>
      </c>
      <c r="Q8" s="3332" t="e">
        <f t="shared" ca="1" si="1"/>
        <v>#DIV/0!</v>
      </c>
      <c r="R8" s="3332"/>
      <c r="S8" s="1994"/>
      <c r="T8" s="3332"/>
      <c r="AA8" s="1994"/>
      <c r="AB8" s="1994"/>
      <c r="AC8" s="1994"/>
      <c r="AD8" s="1994"/>
      <c r="AE8" s="1994"/>
    </row>
    <row r="9" spans="1:31" s="1995" customFormat="1" ht="13.5" customHeight="1">
      <c r="A9" s="792" t="s">
        <v>1836</v>
      </c>
      <c r="B9" s="258" t="s">
        <v>467</v>
      </c>
      <c r="C9" s="434">
        <f>SUMIF('数据-汇总表'!$C19:$C33,'剩余法-住宅'!C7,'数据-汇总表'!$E19:$E33)</f>
        <v>188593</v>
      </c>
      <c r="D9" s="434">
        <f>SUMIF('数据-汇总表'!$C19:$C33,'剩余法-住宅'!D7,'数据-汇总表'!$E19:$E33)</f>
        <v>2175</v>
      </c>
      <c r="E9" s="434">
        <f>SUMIF('数据-汇总表'!$C19:$C33,'剩余法-住宅'!E7,'数据-汇总表'!$E19:$E33)</f>
        <v>0</v>
      </c>
      <c r="F9" s="434">
        <f>SUMIF('数据-汇总表'!$C19:$C33,'剩余法-住宅'!F7,'数据-汇总表'!$E19:$E33)</f>
        <v>0</v>
      </c>
      <c r="G9" s="434">
        <f>SUMIF('数据-汇总表'!$C19:$C33,'剩余法-住宅'!G7,'数据-汇总表'!$E19:$E33)</f>
        <v>0</v>
      </c>
      <c r="H9" s="434">
        <f>SUMIF('数据-汇总表'!$C19:$C33,'剩余法-住宅'!H7,'数据-汇总表'!$E19:$E33)</f>
        <v>0</v>
      </c>
      <c r="I9" s="434">
        <f>SUMIF('数据-汇总表'!$C19:$C33,'剩余法-住宅'!I7,'数据-汇总表'!$E19:$E33)</f>
        <v>0</v>
      </c>
      <c r="J9" s="434">
        <f>SUMIF('数据-汇总表'!$C19:$C33,'剩余法-住宅'!J7,'数据-汇总表'!$E19:$E33)</f>
        <v>0</v>
      </c>
      <c r="K9" s="435">
        <f>SUMIF('数据-汇总表'!$C19:$C33,'剩余法-住宅'!K7,'数据-汇总表'!$E19:$E33)</f>
        <v>0</v>
      </c>
      <c r="M9" s="3336" t="str">
        <f>F7</f>
        <v>办公</v>
      </c>
      <c r="N9" s="1994">
        <f ca="1">F10/C6</f>
        <v>0</v>
      </c>
      <c r="O9" s="3332">
        <f t="shared" ca="1" si="0"/>
        <v>0</v>
      </c>
      <c r="P9" s="3337">
        <f>F9</f>
        <v>0</v>
      </c>
      <c r="Q9" s="3332" t="e">
        <f t="shared" ca="1" si="1"/>
        <v>#DIV/0!</v>
      </c>
      <c r="R9" s="3332"/>
      <c r="S9" s="1994"/>
      <c r="T9" s="3332"/>
      <c r="AA9" s="1994"/>
      <c r="AB9" s="1994"/>
      <c r="AC9" s="1994"/>
      <c r="AD9" s="1994"/>
      <c r="AE9" s="1994"/>
    </row>
    <row r="10" spans="1:31" s="1995" customFormat="1" ht="13.5" customHeight="1" thickBot="1">
      <c r="A10" s="2550" t="s">
        <v>1837</v>
      </c>
      <c r="B10" s="2536" t="s">
        <v>468</v>
      </c>
      <c r="C10" s="2739">
        <f>ROUND(C8*C9/10000,0)</f>
        <v>138408</v>
      </c>
      <c r="D10" s="2739"/>
      <c r="E10" s="2739">
        <f ca="1">'不动产收益法-独商'!B2</f>
        <v>0</v>
      </c>
      <c r="F10" s="2551">
        <f ca="1">'不动产收益法-办公'!B2</f>
        <v>0</v>
      </c>
      <c r="G10" s="2551">
        <f ca="1">'不动产收益法-公寓'!B2</f>
        <v>0</v>
      </c>
      <c r="H10" s="2551"/>
      <c r="I10" s="2551"/>
      <c r="J10" s="2551"/>
      <c r="K10" s="2552"/>
      <c r="M10" s="3338" t="str">
        <f>G7</f>
        <v>公寓</v>
      </c>
      <c r="N10" s="1995">
        <f ca="1">G10/C6</f>
        <v>0</v>
      </c>
      <c r="O10" s="3332">
        <f t="shared" ca="1" si="0"/>
        <v>0</v>
      </c>
      <c r="P10" s="3339">
        <f>G9</f>
        <v>0</v>
      </c>
      <c r="Q10" s="3332" t="e">
        <f t="shared" ca="1" si="1"/>
        <v>#DIV/0!</v>
      </c>
      <c r="AA10" s="1994"/>
      <c r="AB10" s="1994"/>
      <c r="AC10" s="1994"/>
      <c r="AD10" s="1994"/>
      <c r="AE10" s="1994"/>
    </row>
    <row r="11" spans="1:31" s="1991" customFormat="1" ht="16.5" customHeight="1">
      <c r="A11" s="2553" t="s">
        <v>1833</v>
      </c>
      <c r="B11" s="2543"/>
      <c r="C11" s="2543"/>
      <c r="D11" s="2543"/>
      <c r="E11" s="2543"/>
      <c r="F11" s="2543"/>
      <c r="G11" s="2543"/>
      <c r="H11" s="2543"/>
      <c r="I11" s="2543"/>
      <c r="J11" s="2543"/>
      <c r="K11" s="2545"/>
      <c r="L11" s="3192"/>
      <c r="M11" s="3192"/>
      <c r="N11" s="3192"/>
      <c r="O11" s="3192"/>
      <c r="P11" s="3192"/>
      <c r="Q11" s="3192"/>
      <c r="R11" s="3192"/>
      <c r="S11" s="3192"/>
      <c r="T11" s="3192"/>
      <c r="U11" s="3192"/>
      <c r="V11" s="3192"/>
      <c r="W11" s="3192"/>
      <c r="X11" s="3192"/>
      <c r="Y11" s="3192"/>
      <c r="Z11" s="3192"/>
    </row>
    <row r="12" spans="1:31" s="1965" customFormat="1" ht="13.5" customHeight="1">
      <c r="A12" s="2554" t="s">
        <v>464</v>
      </c>
      <c r="B12" s="2526" t="s">
        <v>465</v>
      </c>
      <c r="C12" s="2555" t="s">
        <v>469</v>
      </c>
      <c r="D12" s="3361" t="s">
        <v>470</v>
      </c>
      <c r="E12" s="3361" t="s">
        <v>471</v>
      </c>
      <c r="F12" s="3361" t="s">
        <v>472</v>
      </c>
      <c r="G12" s="2526"/>
      <c r="H12" s="2527"/>
      <c r="I12" s="2527"/>
      <c r="J12" s="2527"/>
      <c r="K12" s="2528"/>
      <c r="L12" s="3193"/>
      <c r="M12" s="3193"/>
      <c r="N12" s="3193"/>
      <c r="O12" s="3193"/>
      <c r="P12" s="3193"/>
      <c r="Q12" s="3193"/>
      <c r="R12" s="3193"/>
      <c r="S12" s="3193"/>
      <c r="T12" s="3193"/>
      <c r="U12" s="3193"/>
      <c r="V12" s="3193"/>
      <c r="W12" s="3193"/>
      <c r="X12" s="3193"/>
      <c r="Y12" s="3193"/>
      <c r="Z12" s="3193"/>
    </row>
    <row r="13" spans="1:31" s="1996" customFormat="1" ht="13.5" customHeight="1">
      <c r="A13" s="2556" t="s">
        <v>1838</v>
      </c>
      <c r="B13" s="2557" t="s">
        <v>473</v>
      </c>
      <c r="C13" s="443">
        <f ca="1">IF(B1="",'数据-取费表'!P16,INDIRECT("'数据-取费表'!p"&amp;$K$1)+INDIRECT("'数据-取费表'!t"&amp;$K$1))</f>
        <v>87696</v>
      </c>
      <c r="D13" s="2558"/>
      <c r="E13" s="2559"/>
      <c r="F13" s="2560"/>
      <c r="G13" s="2526"/>
      <c r="H13" s="2527"/>
      <c r="I13" s="2527"/>
      <c r="J13" s="2527"/>
      <c r="K13" s="2528"/>
      <c r="L13" s="1997"/>
      <c r="M13" s="1997"/>
      <c r="N13" s="1997"/>
      <c r="O13" s="1997"/>
      <c r="P13" s="1997"/>
      <c r="Q13" s="1997"/>
      <c r="R13" s="1997"/>
      <c r="S13" s="1997"/>
      <c r="T13" s="1997"/>
      <c r="U13" s="1997"/>
      <c r="V13" s="1997"/>
      <c r="W13" s="1997"/>
      <c r="X13" s="1997"/>
      <c r="Y13" s="1997"/>
      <c r="Z13" s="1997"/>
    </row>
    <row r="14" spans="1:31" s="1996" customFormat="1" ht="13.5" customHeight="1">
      <c r="A14" s="2556" t="s">
        <v>1839</v>
      </c>
      <c r="B14" s="2557" t="s">
        <v>474</v>
      </c>
      <c r="C14" s="53">
        <f ca="1">ROUND(C13*F14,0)</f>
        <v>4385</v>
      </c>
      <c r="D14" s="2558"/>
      <c r="E14" s="2559"/>
      <c r="F14" s="2561">
        <f>'数据-取费表'!B33</f>
        <v>0.05</v>
      </c>
      <c r="G14" s="2526" t="s">
        <v>475</v>
      </c>
      <c r="H14" s="2527"/>
      <c r="I14" s="2527"/>
      <c r="J14" s="2527"/>
      <c r="K14" s="2528"/>
      <c r="L14" s="1997"/>
      <c r="M14" s="1997"/>
      <c r="N14" s="1997"/>
      <c r="O14" s="1997"/>
      <c r="P14" s="1997"/>
      <c r="Q14" s="1997"/>
      <c r="R14" s="1997"/>
      <c r="S14" s="1997"/>
      <c r="T14" s="1997"/>
      <c r="U14" s="1997"/>
      <c r="V14" s="1997"/>
      <c r="W14" s="1997"/>
      <c r="X14" s="1997"/>
      <c r="Y14" s="1997"/>
      <c r="Z14" s="1997"/>
    </row>
    <row r="15" spans="1:31" s="1996" customFormat="1" ht="13.5" customHeight="1">
      <c r="A15" s="2556" t="s">
        <v>1840</v>
      </c>
      <c r="B15" s="2557" t="s">
        <v>476</v>
      </c>
      <c r="C15" s="53">
        <f ca="1">ROUND(IF(B1="",SUMIF('数据-取费表'!C:C,"住宅",'数据-取费表'!P:P)*F15,IF(INDIRECT("'数据-取费表'!c"&amp;$K$1)="住宅",INDIRECT("'数据-取费表'!P"&amp;$K$1)*F15,0)),0)</f>
        <v>4385</v>
      </c>
      <c r="D15" s="2558"/>
      <c r="E15" s="2559"/>
      <c r="F15" s="2561">
        <f>'数据-取费表'!B34</f>
        <v>0.05</v>
      </c>
      <c r="G15" s="2526" t="s">
        <v>477</v>
      </c>
      <c r="H15" s="2527"/>
      <c r="I15" s="2527"/>
      <c r="J15" s="2527"/>
      <c r="K15" s="2528"/>
      <c r="L15" s="1997"/>
      <c r="M15" s="1997"/>
      <c r="N15" s="1997"/>
      <c r="O15" s="1997"/>
      <c r="P15" s="1997"/>
      <c r="Q15" s="1997"/>
      <c r="R15" s="1997"/>
      <c r="S15" s="1997"/>
      <c r="T15" s="1997"/>
      <c r="U15" s="1997"/>
      <c r="V15" s="1997"/>
      <c r="W15" s="1997"/>
      <c r="X15" s="1997"/>
      <c r="Y15" s="1997"/>
      <c r="Z15" s="1997"/>
    </row>
    <row r="16" spans="1:31" s="1997" customFormat="1" ht="13.5" customHeight="1">
      <c r="A16" s="2556" t="s">
        <v>1841</v>
      </c>
      <c r="B16" s="2557" t="s">
        <v>478</v>
      </c>
      <c r="C16" s="53">
        <f ca="1">ROUND(D16*E16/10000,0)</f>
        <v>6803</v>
      </c>
      <c r="D16" s="2558">
        <f ca="1">IF(B1="",'数据-汇总表'!E3,INDIRECT("'数据-取费表'!K"&amp;$K$1)+INDIRECT("'数据-取费表'!S"&amp;$K$1))</f>
        <v>194360.48</v>
      </c>
      <c r="E16" s="53">
        <f>'数据-取费表'!B35</f>
        <v>350</v>
      </c>
      <c r="F16" s="2561"/>
      <c r="G16" s="2526"/>
      <c r="H16" s="2527"/>
      <c r="I16" s="2527"/>
      <c r="J16" s="2527"/>
      <c r="K16" s="2528"/>
      <c r="AA16" s="1996"/>
      <c r="AB16" s="1996"/>
      <c r="AC16" s="1996"/>
      <c r="AD16" s="1996"/>
      <c r="AE16" s="1996"/>
    </row>
    <row r="17" spans="1:26" s="1996" customFormat="1" ht="13.5" customHeight="1">
      <c r="A17" s="2556" t="s">
        <v>1842</v>
      </c>
      <c r="B17" s="2557" t="s">
        <v>479</v>
      </c>
      <c r="C17" s="2562">
        <f ca="1">ROUND(C13*F17,0)</f>
        <v>1315</v>
      </c>
      <c r="D17" s="468"/>
      <c r="E17" s="2562"/>
      <c r="F17" s="2563">
        <f>'数据-取费表'!B36</f>
        <v>1.4999999999999999E-2</v>
      </c>
      <c r="G17" s="258" t="s">
        <v>480</v>
      </c>
      <c r="H17" s="2529"/>
      <c r="I17" s="2529"/>
      <c r="J17" s="2529"/>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4" t="s">
        <v>1843</v>
      </c>
      <c r="B18" s="2565" t="s">
        <v>481</v>
      </c>
      <c r="C18" s="2566">
        <f ca="1">SUM(C13:C17)</f>
        <v>104584</v>
      </c>
      <c r="D18" s="2567"/>
      <c r="E18" s="461"/>
      <c r="F18" s="461"/>
      <c r="G18" s="2530" t="s">
        <v>2413</v>
      </c>
      <c r="H18" s="2531"/>
      <c r="I18" s="2531"/>
      <c r="J18" s="2531"/>
      <c r="K18" s="2532"/>
      <c r="L18" s="1997"/>
      <c r="M18" s="1997"/>
      <c r="N18" s="1997"/>
      <c r="O18" s="1997"/>
      <c r="P18" s="1997"/>
      <c r="Q18" s="1997"/>
      <c r="R18" s="1997"/>
      <c r="S18" s="1997"/>
      <c r="T18" s="1997"/>
      <c r="U18" s="1997"/>
      <c r="V18" s="1997"/>
      <c r="W18" s="1997"/>
      <c r="X18" s="1997"/>
      <c r="Y18" s="1997"/>
      <c r="Z18" s="1997"/>
    </row>
    <row r="19" spans="1:26" s="1996" customFormat="1" ht="13.5" customHeight="1">
      <c r="A19" s="2564" t="s">
        <v>1844</v>
      </c>
      <c r="B19" s="2565" t="s">
        <v>482</v>
      </c>
      <c r="C19" s="3361">
        <f ca="1">ROUND(D19*E19/10000,0)</f>
        <v>0</v>
      </c>
      <c r="D19" s="2568">
        <f ca="1">D16</f>
        <v>194360.48</v>
      </c>
      <c r="E19" s="3361">
        <f>'数据-取费表'!B32</f>
        <v>0</v>
      </c>
      <c r="F19" s="461"/>
      <c r="G19" s="2526" t="s">
        <v>483</v>
      </c>
      <c r="H19" s="2527"/>
      <c r="I19" s="2531"/>
      <c r="J19" s="2531"/>
      <c r="K19" s="2532"/>
      <c r="L19" s="1997"/>
      <c r="M19" s="1997"/>
      <c r="N19" s="1997"/>
      <c r="O19" s="1997"/>
      <c r="P19" s="1997"/>
      <c r="Q19" s="1997"/>
      <c r="R19" s="1997"/>
      <c r="S19" s="1997"/>
      <c r="T19" s="1997"/>
      <c r="U19" s="1997"/>
      <c r="V19" s="1997"/>
      <c r="W19" s="1997"/>
      <c r="X19" s="1997"/>
      <c r="Y19" s="1997"/>
      <c r="Z19" s="1997"/>
    </row>
    <row r="20" spans="1:26" s="1996" customFormat="1" ht="13.5" customHeight="1">
      <c r="A20" s="2564" t="s">
        <v>1845</v>
      </c>
      <c r="B20" s="2565" t="s">
        <v>484</v>
      </c>
      <c r="C20" s="3361">
        <f ca="1">C21+C22-IF(B1="",'数据-取费表'!B29,IF(G20="已全部缴纳",C21+C22,H20))</f>
        <v>0</v>
      </c>
      <c r="D20" s="2568"/>
      <c r="E20" s="3361"/>
      <c r="F20" s="2569"/>
      <c r="G20" s="2773" t="s">
        <v>3348</v>
      </c>
      <c r="H20" s="2524"/>
      <c r="I20" s="2525" t="s">
        <v>2624</v>
      </c>
      <c r="J20" s="2531"/>
      <c r="K20" s="2532"/>
      <c r="L20" s="1997"/>
      <c r="M20" s="1997"/>
      <c r="N20" s="1997"/>
      <c r="O20" s="1997"/>
      <c r="P20" s="1997"/>
      <c r="Q20" s="1997"/>
      <c r="R20" s="1997"/>
      <c r="S20" s="1997"/>
      <c r="T20" s="1997"/>
      <c r="U20" s="1997"/>
      <c r="V20" s="1997"/>
      <c r="W20" s="1997"/>
      <c r="X20" s="1997"/>
      <c r="Y20" s="1997"/>
      <c r="Z20" s="1997"/>
    </row>
    <row r="21" spans="1:26" s="1996" customFormat="1" ht="13.5" customHeight="1">
      <c r="A21" s="2556" t="s">
        <v>1846</v>
      </c>
      <c r="B21" s="2557" t="s">
        <v>485</v>
      </c>
      <c r="C21" s="53">
        <f ca="1">ROUND(D21*E21/10000,0)</f>
        <v>3017</v>
      </c>
      <c r="D21" s="2558">
        <f ca="1">IF(B1="",'数据-汇总表'!E5,IF(INDIRECT("'数据-取费表'!c"&amp;$K$1)="住宅",INDIRECT("'数据-取费表'!k"&amp;$K$1),0))</f>
        <v>188593</v>
      </c>
      <c r="E21" s="53">
        <f>'数据-取费表'!B27</f>
        <v>160</v>
      </c>
      <c r="F21" s="2561"/>
      <c r="G21" s="26"/>
      <c r="H21" s="51"/>
      <c r="I21" s="51"/>
      <c r="J21" s="51"/>
      <c r="K21" s="2533"/>
      <c r="L21" s="1997"/>
      <c r="M21" s="1997"/>
      <c r="N21" s="1997"/>
      <c r="O21" s="1997"/>
      <c r="P21" s="1997"/>
      <c r="Q21" s="1997"/>
      <c r="R21" s="1997"/>
      <c r="S21" s="1997"/>
      <c r="T21" s="1997"/>
      <c r="U21" s="1997"/>
      <c r="V21" s="1997"/>
      <c r="W21" s="1997"/>
      <c r="X21" s="1997"/>
      <c r="Y21" s="1997"/>
      <c r="Z21" s="1997"/>
    </row>
    <row r="22" spans="1:26" s="1996" customFormat="1" ht="13.5" customHeight="1">
      <c r="A22" s="2556" t="s">
        <v>1847</v>
      </c>
      <c r="B22" s="2557" t="s">
        <v>486</v>
      </c>
      <c r="C22" s="53">
        <f ca="1">ROUND(D22*E22/10000,0)</f>
        <v>115</v>
      </c>
      <c r="D22" s="2558">
        <f ca="1">IF(B1="",'数据-汇总表'!E6,IF(INDIRECT("'数据-取费表'!c"&amp;$K$1)="住宅",INDIRECT("'数据-取费表'!s"&amp;$K$1),INDIRECT("'数据-取费表'!k"&amp;$K$1)+INDIRECT("'数据-取费表'!s"&amp;$K$1)))</f>
        <v>5767.48</v>
      </c>
      <c r="E22" s="53">
        <f>'数据-取费表'!B28</f>
        <v>200</v>
      </c>
      <c r="F22" s="2561"/>
      <c r="G22" s="26"/>
      <c r="H22" s="51"/>
      <c r="I22" s="51"/>
      <c r="J22" s="51"/>
      <c r="K22" s="2533"/>
      <c r="L22" s="1997"/>
      <c r="M22" s="1997"/>
      <c r="N22" s="1997"/>
      <c r="O22" s="1997"/>
      <c r="P22" s="1997"/>
      <c r="Q22" s="1997"/>
      <c r="R22" s="1997"/>
      <c r="S22" s="1997"/>
      <c r="T22" s="1997"/>
      <c r="U22" s="1997"/>
      <c r="V22" s="1997"/>
      <c r="W22" s="1997"/>
      <c r="X22" s="1997"/>
      <c r="Y22" s="1997"/>
      <c r="Z22" s="1997"/>
    </row>
    <row r="23" spans="1:26" s="1996" customFormat="1" ht="13.5" customHeight="1">
      <c r="A23" s="2564" t="s">
        <v>1848</v>
      </c>
      <c r="B23" s="2745" t="s">
        <v>2806</v>
      </c>
      <c r="C23" s="2566">
        <f ca="1">ROUND((C18+C19+C20)*F23,0)</f>
        <v>1046</v>
      </c>
      <c r="D23" s="461"/>
      <c r="E23" s="461"/>
      <c r="F23" s="2570">
        <f>'数据-取费表'!B37</f>
        <v>0.01</v>
      </c>
      <c r="G23" s="2526" t="s">
        <v>2414</v>
      </c>
      <c r="H23" s="2527"/>
      <c r="I23" s="2527"/>
      <c r="J23" s="2527"/>
      <c r="K23" s="2528"/>
      <c r="L23" s="3194"/>
      <c r="M23" s="3194"/>
      <c r="N23" s="3194"/>
      <c r="O23" s="1997"/>
      <c r="P23" s="1997"/>
      <c r="Q23" s="1997"/>
      <c r="R23" s="1997"/>
      <c r="S23" s="1997"/>
      <c r="T23" s="1997"/>
      <c r="U23" s="1997"/>
      <c r="V23" s="1997"/>
      <c r="W23" s="1997"/>
      <c r="X23" s="1997"/>
      <c r="Y23" s="1997"/>
      <c r="Z23" s="1997"/>
    </row>
    <row r="24" spans="1:26" s="1996" customFormat="1" ht="13.5" customHeight="1">
      <c r="A24" s="2564" t="s">
        <v>1849</v>
      </c>
      <c r="B24" s="2745" t="s">
        <v>2809</v>
      </c>
      <c r="C24" s="2566">
        <f ca="1">ROUND(C6*F24,0)</f>
        <v>1384</v>
      </c>
      <c r="D24" s="468"/>
      <c r="E24" s="466"/>
      <c r="F24" s="2570">
        <f>'数据-取费表'!B38</f>
        <v>0.01</v>
      </c>
      <c r="G24" s="2535" t="s">
        <v>493</v>
      </c>
      <c r="H24" s="2529"/>
      <c r="I24" s="2529"/>
      <c r="J24" s="2529"/>
      <c r="K24" s="276"/>
      <c r="L24" s="3194"/>
      <c r="M24" s="3194"/>
      <c r="N24" s="3194"/>
      <c r="O24" s="1997"/>
      <c r="P24" s="1997"/>
      <c r="Q24" s="1997"/>
      <c r="R24" s="1997"/>
      <c r="S24" s="1997"/>
      <c r="T24" s="1997"/>
      <c r="U24" s="1997"/>
      <c r="V24" s="1997"/>
      <c r="W24" s="1997"/>
      <c r="X24" s="1997"/>
      <c r="Y24" s="1997"/>
      <c r="Z24" s="1997"/>
    </row>
    <row r="25" spans="1:26" s="1999" customFormat="1" ht="13.5" customHeight="1">
      <c r="A25" s="2564" t="s">
        <v>1850</v>
      </c>
      <c r="B25" s="2745" t="s">
        <v>2807</v>
      </c>
      <c r="C25" s="3271">
        <f>F25</f>
        <v>3.0499999999999999E-2</v>
      </c>
      <c r="D25" s="455" t="s">
        <v>2801</v>
      </c>
      <c r="E25" s="462"/>
      <c r="F25" s="2570">
        <f>'数据-取费表'!B48+'数据-取费表'!B49</f>
        <v>3.0499999999999999E-2</v>
      </c>
      <c r="G25" s="2534" t="s">
        <v>2276</v>
      </c>
      <c r="H25" s="2527"/>
      <c r="I25" s="2527"/>
      <c r="J25" s="2527"/>
      <c r="K25" s="2528"/>
      <c r="L25" s="3195"/>
      <c r="M25" s="3195"/>
      <c r="N25" s="3195"/>
      <c r="O25" s="3195"/>
      <c r="P25" s="3195"/>
      <c r="Q25" s="3195"/>
      <c r="R25" s="3195"/>
      <c r="S25" s="3195"/>
      <c r="T25" s="3195"/>
      <c r="U25" s="3195"/>
      <c r="V25" s="3195"/>
      <c r="W25" s="3195"/>
      <c r="X25" s="3195"/>
      <c r="Y25" s="3195"/>
      <c r="Z25" s="3195"/>
    </row>
    <row r="26" spans="1:26" s="1998" customFormat="1" ht="13.5" customHeight="1">
      <c r="A26" s="2564" t="s">
        <v>1851</v>
      </c>
      <c r="B26" s="2746" t="s">
        <v>2808</v>
      </c>
      <c r="C26" s="2571">
        <f ca="1">C28</f>
        <v>3790</v>
      </c>
      <c r="D26" s="460">
        <f ca="1">C27</f>
        <v>7.4300000000000005E-2</v>
      </c>
      <c r="E26" s="462" t="s">
        <v>489</v>
      </c>
      <c r="F26" s="464">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4"/>
      <c r="M26" s="3194"/>
      <c r="N26" s="3194"/>
      <c r="O26" s="3194"/>
      <c r="P26" s="3194"/>
      <c r="Q26" s="3194"/>
      <c r="R26" s="3194"/>
      <c r="S26" s="3194"/>
      <c r="T26" s="3194"/>
      <c r="U26" s="3194"/>
      <c r="V26" s="3194"/>
      <c r="W26" s="3194"/>
      <c r="X26" s="3194"/>
      <c r="Y26" s="3194"/>
      <c r="Z26" s="3194"/>
    </row>
    <row r="27" spans="1:26" s="2000" customFormat="1" ht="13.5" customHeight="1">
      <c r="A27" s="792" t="s">
        <v>1846</v>
      </c>
      <c r="B27" s="2572" t="s">
        <v>490</v>
      </c>
      <c r="C27" s="2573">
        <f ca="1">ROUND(IF('数据-取费表'!B22&lt;=1,(1+C25)*F26*'数据-取费表'!B24,(1+C25)*(POWER((1+F26),'数据-取费表'!B24)-1)),4)</f>
        <v>7.4300000000000005E-2</v>
      </c>
      <c r="D27" s="465"/>
      <c r="E27" s="466"/>
      <c r="F27" s="467"/>
      <c r="G27" s="2421" t="str">
        <f>IF('数据-取费表'!B22&lt;=1,"（1+取得税费率/(1+5%)）×年利率×建设期","（1+取得税费率）/(1+5%)×((1+年利率)^建设期-1)")</f>
        <v>（1+取得税费率）/(1+5%)×((1+年利率)^建设期-1)</v>
      </c>
      <c r="H27" s="2529"/>
      <c r="I27" s="2529"/>
      <c r="J27" s="2529"/>
      <c r="K27" s="276"/>
      <c r="L27" s="3196"/>
      <c r="M27" s="3196"/>
      <c r="N27" s="3196"/>
      <c r="O27" s="3196"/>
      <c r="P27" s="3196"/>
      <c r="Q27" s="3196"/>
      <c r="R27" s="3196"/>
      <c r="S27" s="3196"/>
      <c r="T27" s="3196"/>
      <c r="U27" s="3196"/>
      <c r="V27" s="3196"/>
      <c r="W27" s="3196"/>
      <c r="X27" s="3196"/>
      <c r="Y27" s="3196"/>
      <c r="Z27" s="3196"/>
    </row>
    <row r="28" spans="1:26" s="2000" customFormat="1" ht="13.5" customHeight="1">
      <c r="A28" s="792" t="s">
        <v>1847</v>
      </c>
      <c r="B28" s="2572" t="s">
        <v>2810</v>
      </c>
      <c r="C28" s="2574">
        <f ca="1">ROUND(IF('数据-取费表'!B22&lt;=1,(C18+C19+C20+C23+C24)*F26*'数据-取费表'!B24/2,(C18+C19+C20+C23+C24)*(POWER((1+F26),'数据-取费表'!B24/2)-1)),0)</f>
        <v>3790</v>
      </c>
      <c r="D28" s="465"/>
      <c r="E28" s="466"/>
      <c r="F28" s="467"/>
      <c r="G28" s="2421" t="str">
        <f>IF('数据-取费表'!B22&lt;=1,"（1）-（4）项×年利率×建设期÷2","（1）-（4）项×((1+年利率)^(建设期÷2)-1)")</f>
        <v>（1）-（4）项×((1+年利率)^(建设期÷2)-1)</v>
      </c>
      <c r="H28" s="2529"/>
      <c r="I28" s="2529"/>
      <c r="J28" s="2529"/>
      <c r="K28" s="276"/>
      <c r="L28" s="3196"/>
      <c r="M28" s="3196"/>
      <c r="N28" s="3196"/>
      <c r="O28" s="3196"/>
      <c r="P28" s="3196"/>
      <c r="Q28" s="3196"/>
      <c r="R28" s="3196"/>
      <c r="S28" s="3196"/>
      <c r="T28" s="3196"/>
      <c r="U28" s="3196"/>
      <c r="V28" s="3196"/>
      <c r="W28" s="3196"/>
      <c r="X28" s="3196"/>
      <c r="Y28" s="3196"/>
      <c r="Z28" s="3196"/>
    </row>
    <row r="29" spans="1:26" s="2000" customFormat="1" ht="13.5" customHeight="1">
      <c r="A29" s="2575" t="s">
        <v>1852</v>
      </c>
      <c r="B29" s="2565" t="s">
        <v>491</v>
      </c>
      <c r="C29" s="2566">
        <f ca="1">ROUND(C6*F29/(1+'数据-取费表'!C42),0)</f>
        <v>7250</v>
      </c>
      <c r="D29" s="461"/>
      <c r="E29" s="461"/>
      <c r="F29" s="2747">
        <f>'数据-取费表'!B41</f>
        <v>5.5000000000000007E-2</v>
      </c>
      <c r="G29" s="2535" t="s">
        <v>492</v>
      </c>
      <c r="H29" s="2527"/>
      <c r="I29" s="2527"/>
      <c r="J29" s="2527"/>
      <c r="K29" s="2528"/>
      <c r="L29" s="3196"/>
      <c r="M29" s="3196"/>
      <c r="N29" s="3196"/>
      <c r="O29" s="3196"/>
      <c r="P29" s="3196"/>
      <c r="Q29" s="3196"/>
      <c r="R29" s="3196"/>
      <c r="S29" s="3196"/>
      <c r="T29" s="3196"/>
      <c r="U29" s="3196"/>
      <c r="V29" s="3196"/>
      <c r="W29" s="3196"/>
      <c r="X29" s="3196"/>
      <c r="Y29" s="3196"/>
      <c r="Z29" s="3196"/>
    </row>
    <row r="30" spans="1:26" s="2001" customFormat="1" ht="13.5" customHeight="1">
      <c r="A30" s="1562" t="s">
        <v>1853</v>
      </c>
      <c r="B30" s="2576" t="s">
        <v>494</v>
      </c>
      <c r="C30" s="2571">
        <f ca="1">C31</f>
        <v>118054</v>
      </c>
      <c r="D30" s="470">
        <f ca="1">C32</f>
        <v>0.1048</v>
      </c>
      <c r="E30" s="462" t="s">
        <v>489</v>
      </c>
      <c r="F30" s="464"/>
      <c r="G30" s="2534" t="s">
        <v>2925</v>
      </c>
      <c r="H30" s="2527"/>
      <c r="I30" s="2527"/>
      <c r="J30" s="2527"/>
      <c r="K30" s="2528"/>
      <c r="L30" s="3197"/>
      <c r="M30" s="3197"/>
      <c r="N30" s="3197"/>
      <c r="O30" s="3197"/>
      <c r="P30" s="3197"/>
      <c r="Q30" s="3197"/>
      <c r="R30" s="3197"/>
      <c r="S30" s="3197"/>
      <c r="T30" s="3197"/>
      <c r="U30" s="3197"/>
      <c r="V30" s="3197"/>
      <c r="W30" s="3197"/>
      <c r="X30" s="3197"/>
      <c r="Y30" s="3197"/>
      <c r="Z30" s="3197"/>
    </row>
    <row r="31" spans="1:26" s="2000" customFormat="1" ht="13.5" customHeight="1">
      <c r="A31" s="792" t="s">
        <v>1846</v>
      </c>
      <c r="B31" s="2572"/>
      <c r="C31" s="443">
        <f ca="1">C18+C19+C20+C23+C24+C26+C29</f>
        <v>118054</v>
      </c>
      <c r="D31" s="465"/>
      <c r="E31" s="466"/>
      <c r="F31" s="467"/>
      <c r="G31" s="258"/>
      <c r="H31" s="2529"/>
      <c r="I31" s="2529"/>
      <c r="J31" s="2529"/>
      <c r="K31" s="276"/>
      <c r="L31" s="3196"/>
      <c r="M31" s="3196"/>
      <c r="N31" s="3196"/>
      <c r="O31" s="3196"/>
      <c r="P31" s="3196"/>
      <c r="Q31" s="3196"/>
      <c r="R31" s="3196"/>
      <c r="S31" s="3196"/>
      <c r="T31" s="3196"/>
      <c r="U31" s="3196"/>
      <c r="V31" s="3196"/>
      <c r="W31" s="3196"/>
      <c r="X31" s="3196"/>
      <c r="Y31" s="3196"/>
      <c r="Z31" s="3196"/>
    </row>
    <row r="32" spans="1:26" s="2000" customFormat="1" ht="13.5" customHeight="1">
      <c r="A32" s="792" t="s">
        <v>1847</v>
      </c>
      <c r="B32" s="2572"/>
      <c r="C32" s="53">
        <f ca="1">ROUND(C25+D26,4)</f>
        <v>0.1048</v>
      </c>
      <c r="D32" s="465"/>
      <c r="E32" s="466"/>
      <c r="F32" s="467"/>
      <c r="G32" s="258"/>
      <c r="H32" s="2529"/>
      <c r="I32" s="2529"/>
      <c r="J32" s="2529"/>
      <c r="K32" s="276"/>
      <c r="L32" s="3196"/>
      <c r="M32" s="3196"/>
      <c r="N32" s="3196"/>
      <c r="O32" s="3196"/>
      <c r="P32" s="3196"/>
      <c r="Q32" s="3196"/>
      <c r="R32" s="3196"/>
      <c r="S32" s="3196"/>
      <c r="T32" s="3196"/>
      <c r="U32" s="3196"/>
      <c r="V32" s="3196"/>
      <c r="W32" s="3196"/>
      <c r="X32" s="3196"/>
      <c r="Y32" s="3196"/>
      <c r="Z32" s="3196"/>
    </row>
    <row r="33" spans="1:26" s="2002" customFormat="1" ht="13.5" customHeight="1">
      <c r="A33" s="2744" t="s">
        <v>2805</v>
      </c>
      <c r="B33" s="2742" t="s">
        <v>2803</v>
      </c>
      <c r="C33" s="471">
        <f ca="1">C35</f>
        <v>3210</v>
      </c>
      <c r="D33" s="460">
        <f ca="1">C34</f>
        <v>3.09E-2</v>
      </c>
      <c r="E33" s="462" t="s">
        <v>489</v>
      </c>
      <c r="F33" s="472">
        <f ca="1">IF(B1="",'数据-取费表'!Q16,INDIRECT("'数据-取费表'!q"&amp;$K$1))</f>
        <v>0.03</v>
      </c>
      <c r="G33" s="2530"/>
      <c r="H33" s="2531"/>
      <c r="I33" s="2531"/>
      <c r="J33" s="2531"/>
      <c r="K33" s="2532"/>
      <c r="L33" s="3198"/>
      <c r="M33" s="3198"/>
      <c r="N33" s="3198"/>
      <c r="O33" s="3198"/>
      <c r="P33" s="3198"/>
      <c r="Q33" s="3198"/>
      <c r="R33" s="3198"/>
      <c r="S33" s="3198"/>
      <c r="T33" s="3198"/>
      <c r="U33" s="3198"/>
      <c r="V33" s="3198"/>
      <c r="W33" s="3198"/>
      <c r="X33" s="3198"/>
      <c r="Y33" s="3198"/>
      <c r="Z33" s="3198"/>
    </row>
    <row r="34" spans="1:26" s="2003" customFormat="1" ht="13.5" customHeight="1">
      <c r="A34" s="368" t="s">
        <v>1846</v>
      </c>
      <c r="B34" s="2577" t="s">
        <v>495</v>
      </c>
      <c r="C34" s="465">
        <f ca="1">ROUND((1+C25)*F33,4)</f>
        <v>3.09E-2</v>
      </c>
      <c r="D34" s="465"/>
      <c r="E34" s="466"/>
      <c r="F34" s="473"/>
      <c r="G34" s="258" t="s">
        <v>2277</v>
      </c>
      <c r="H34" s="2529"/>
      <c r="I34" s="2529"/>
      <c r="J34" s="2529"/>
      <c r="K34" s="276"/>
      <c r="L34" s="3199"/>
      <c r="M34" s="3199"/>
      <c r="N34" s="3199"/>
      <c r="O34" s="3199"/>
      <c r="P34" s="3199"/>
      <c r="Q34" s="3199"/>
      <c r="R34" s="3199"/>
      <c r="S34" s="3199"/>
      <c r="T34" s="3199"/>
      <c r="U34" s="3199"/>
      <c r="V34" s="3199"/>
      <c r="W34" s="3199"/>
      <c r="X34" s="3199"/>
      <c r="Y34" s="3199"/>
      <c r="Z34" s="3199"/>
    </row>
    <row r="35" spans="1:26" s="2003" customFormat="1" ht="13.5" customHeight="1" thickBot="1">
      <c r="A35" s="1563" t="s">
        <v>1847</v>
      </c>
      <c r="B35" s="2743" t="s">
        <v>2811</v>
      </c>
      <c r="C35" s="1555">
        <f ca="1">ROUND((C18+C19+C20+C23+C24)*F33,0)</f>
        <v>3210</v>
      </c>
      <c r="D35" s="1556"/>
      <c r="E35" s="2578"/>
      <c r="F35" s="1557"/>
      <c r="G35" s="2536"/>
      <c r="H35" s="2537"/>
      <c r="I35" s="2537"/>
      <c r="J35" s="2537"/>
      <c r="K35" s="2538"/>
      <c r="L35" s="3199"/>
      <c r="M35" s="3199"/>
      <c r="N35" s="3199"/>
      <c r="O35" s="3199"/>
      <c r="P35" s="3199"/>
      <c r="Q35" s="3199"/>
      <c r="R35" s="3199"/>
      <c r="S35" s="3199"/>
      <c r="T35" s="3199"/>
      <c r="U35" s="3199"/>
      <c r="V35" s="3199"/>
      <c r="W35" s="3199"/>
      <c r="X35" s="3199"/>
      <c r="Y35" s="3199"/>
      <c r="Z35" s="3199"/>
    </row>
    <row r="36" spans="1:26" s="1965" customFormat="1" ht="13.5" customHeight="1" thickBot="1">
      <c r="A36" s="281" t="s">
        <v>1834</v>
      </c>
      <c r="B36" s="2540"/>
      <c r="C36" s="2579">
        <f ca="1">ROUND((C6-C30-C33)/(1+D30+D33),0)</f>
        <v>15096</v>
      </c>
      <c r="D36" s="2540"/>
      <c r="E36" s="2540"/>
      <c r="F36" s="2540"/>
      <c r="G36" s="2539" t="s">
        <v>2812</v>
      </c>
      <c r="H36" s="2540"/>
      <c r="I36" s="2540"/>
      <c r="J36" s="2540"/>
      <c r="K36" s="2541"/>
      <c r="L36" s="3193"/>
      <c r="M36" s="3193"/>
      <c r="N36" s="3193"/>
      <c r="O36" s="3193"/>
      <c r="P36" s="3193"/>
      <c r="Q36" s="3193"/>
      <c r="R36" s="3193"/>
      <c r="S36" s="3193"/>
      <c r="T36" s="3193"/>
      <c r="U36" s="3193"/>
      <c r="V36" s="3193"/>
      <c r="W36" s="3193"/>
      <c r="X36" s="3193"/>
      <c r="Y36" s="3193"/>
      <c r="Z36" s="3193"/>
    </row>
    <row r="37" spans="1:26" s="1995" customFormat="1">
      <c r="A37" s="3200"/>
      <c r="C37" s="3201">
        <f ca="1">C36*10000/D19</f>
        <v>776.70110713865279</v>
      </c>
      <c r="E37" s="3200"/>
    </row>
    <row r="38" spans="1:26" s="1995" customFormat="1" ht="12.75" customHeight="1">
      <c r="A38" s="3200"/>
      <c r="C38" s="3201"/>
      <c r="E38" s="3200"/>
    </row>
    <row r="39" spans="1:26" s="1995" customFormat="1">
      <c r="A39" s="3200"/>
      <c r="C39" s="3201"/>
      <c r="E39" s="3200"/>
    </row>
    <row r="40" spans="1:26" s="1995" customFormat="1">
      <c r="A40" s="3200"/>
      <c r="C40" s="3201"/>
      <c r="E40" s="3200"/>
    </row>
    <row r="41" spans="1:26" s="1995" customFormat="1">
      <c r="A41" s="3200"/>
      <c r="C41" s="3201"/>
      <c r="E41" s="3200"/>
    </row>
    <row r="42" spans="1:26" s="1995" customFormat="1">
      <c r="A42" s="3200"/>
      <c r="C42" s="3201"/>
      <c r="E42" s="3200"/>
    </row>
    <row r="43" spans="1:26" s="1995" customFormat="1">
      <c r="A43" s="3200"/>
      <c r="C43" s="3201"/>
      <c r="E43" s="3200"/>
    </row>
    <row r="44" spans="1:26" s="1995" customFormat="1">
      <c r="A44" s="3200"/>
      <c r="C44" s="3201"/>
      <c r="E44" s="3200"/>
    </row>
    <row r="45" spans="1:26" s="1995" customFormat="1">
      <c r="A45" s="3200"/>
      <c r="C45" s="3201"/>
      <c r="E45" s="3200"/>
    </row>
    <row r="46" spans="1:26" s="1995" customFormat="1">
      <c r="A46" s="3200"/>
      <c r="C46" s="3201"/>
      <c r="E46" s="3200"/>
    </row>
    <row r="47" spans="1:26" s="1995" customFormat="1">
      <c r="A47" s="3200"/>
      <c r="C47" s="3201"/>
      <c r="E47" s="3200"/>
    </row>
    <row r="48" spans="1:26" s="1995" customFormat="1">
      <c r="A48" s="3200"/>
      <c r="C48" s="3201"/>
      <c r="E48" s="3200"/>
    </row>
    <row r="49" spans="1:5" s="1995" customFormat="1">
      <c r="A49" s="3200"/>
      <c r="C49" s="3201"/>
      <c r="E49" s="3200"/>
    </row>
    <row r="50" spans="1:5" s="1995" customFormat="1">
      <c r="A50" s="3200"/>
      <c r="C50" s="3201"/>
      <c r="E50" s="3200"/>
    </row>
    <row r="51" spans="1:5" s="1995" customFormat="1">
      <c r="A51" s="3200"/>
      <c r="C51" s="3201"/>
      <c r="E51" s="3200"/>
    </row>
    <row r="52" spans="1:5" s="1995" customFormat="1">
      <c r="A52" s="3200"/>
      <c r="C52" s="3201"/>
      <c r="E52" s="3200"/>
    </row>
    <row r="53" spans="1:5" s="1995" customFormat="1">
      <c r="A53" s="3200"/>
      <c r="C53" s="3201"/>
      <c r="E53" s="3200"/>
    </row>
    <row r="54" spans="1:5" s="1995" customFormat="1">
      <c r="A54" s="3200"/>
      <c r="C54" s="3201"/>
      <c r="E54" s="3200"/>
    </row>
    <row r="55" spans="1:5" s="1995" customFormat="1">
      <c r="A55" s="3200"/>
      <c r="C55" s="3201"/>
      <c r="E55" s="3200"/>
    </row>
    <row r="56" spans="1:5" s="1995" customFormat="1">
      <c r="A56" s="3200"/>
      <c r="C56" s="3201"/>
      <c r="E56" s="3200"/>
    </row>
    <row r="57" spans="1:5" s="1995" customFormat="1">
      <c r="A57" s="3200"/>
      <c r="C57" s="3201"/>
      <c r="E57" s="3200"/>
    </row>
    <row r="58" spans="1:5" s="1995" customFormat="1">
      <c r="A58" s="3200"/>
      <c r="C58" s="3201"/>
      <c r="E58" s="3200"/>
    </row>
    <row r="59" spans="1:5" s="1995" customFormat="1">
      <c r="A59" s="3200"/>
      <c r="C59" s="3201"/>
      <c r="E59" s="3200"/>
    </row>
    <row r="60" spans="1:5" s="1995" customFormat="1">
      <c r="A60" s="3200"/>
      <c r="C60" s="3201"/>
      <c r="E60" s="3200"/>
    </row>
    <row r="61" spans="1:5" s="1995" customFormat="1">
      <c r="A61" s="3200"/>
      <c r="C61" s="3201"/>
      <c r="E61" s="3200"/>
    </row>
    <row r="62" spans="1:5" s="1995" customFormat="1">
      <c r="A62" s="3200"/>
      <c r="C62" s="3201"/>
      <c r="E62" s="3200"/>
    </row>
    <row r="63" spans="1:5" s="1995" customFormat="1">
      <c r="A63" s="3200"/>
      <c r="C63" s="3201"/>
      <c r="E63" s="3200"/>
    </row>
    <row r="64" spans="1:5" s="1995" customFormat="1">
      <c r="A64" s="3200"/>
      <c r="C64" s="3201"/>
      <c r="E64" s="3200"/>
    </row>
    <row r="65" spans="1:5" s="1995" customFormat="1">
      <c r="A65" s="3200"/>
      <c r="C65" s="3201"/>
      <c r="E65" s="3200"/>
    </row>
    <row r="66" spans="1:5" s="1995" customFormat="1">
      <c r="A66" s="3200"/>
      <c r="C66" s="3201"/>
      <c r="E66" s="3200"/>
    </row>
    <row r="67" spans="1:5" s="1995" customFormat="1">
      <c r="A67" s="3200"/>
      <c r="C67" s="3201"/>
      <c r="E67" s="3200"/>
    </row>
    <row r="68" spans="1:5" s="1995" customFormat="1">
      <c r="A68" s="3200"/>
      <c r="C68" s="3201"/>
      <c r="E68" s="3200"/>
    </row>
    <row r="69" spans="1:5" s="1995" customFormat="1">
      <c r="A69" s="3200"/>
      <c r="C69" s="3201"/>
      <c r="E69" s="3200"/>
    </row>
    <row r="70" spans="1:5" s="1995" customFormat="1">
      <c r="A70" s="3200"/>
      <c r="C70" s="3201"/>
      <c r="E70" s="3200"/>
    </row>
    <row r="71" spans="1:5" s="1995" customFormat="1">
      <c r="A71" s="3200"/>
      <c r="C71" s="3201"/>
      <c r="E71" s="3200"/>
    </row>
    <row r="72" spans="1:5" s="1995" customFormat="1">
      <c r="A72" s="3200"/>
      <c r="C72" s="3201"/>
      <c r="E72" s="3200"/>
    </row>
    <row r="73" spans="1:5" s="1995" customFormat="1">
      <c r="A73" s="3200"/>
      <c r="C73" s="3201"/>
      <c r="E73" s="3200"/>
    </row>
    <row r="74" spans="1:5" s="1995" customFormat="1">
      <c r="A74" s="3200"/>
      <c r="C74" s="3201"/>
      <c r="E74" s="3200"/>
    </row>
    <row r="75" spans="1:5" s="1995" customFormat="1">
      <c r="A75" s="3200"/>
      <c r="C75" s="3201"/>
      <c r="E75" s="3200"/>
    </row>
    <row r="76" spans="1:5" s="1995" customFormat="1">
      <c r="A76" s="3200"/>
      <c r="C76" s="3201"/>
      <c r="E76" s="3200"/>
    </row>
    <row r="77" spans="1:5" s="1995" customFormat="1">
      <c r="A77" s="3200"/>
      <c r="C77" s="3201"/>
      <c r="E77" s="3200"/>
    </row>
    <row r="78" spans="1:5" s="1995" customFormat="1">
      <c r="A78" s="3200"/>
      <c r="C78" s="3201"/>
      <c r="E78" s="3200"/>
    </row>
    <row r="79" spans="1:5" s="1995" customFormat="1">
      <c r="A79" s="3200"/>
      <c r="C79" s="3201"/>
      <c r="E79" s="3200"/>
    </row>
    <row r="80" spans="1:5" s="1995" customFormat="1">
      <c r="A80" s="3200"/>
      <c r="C80" s="3201"/>
      <c r="E80" s="3200"/>
    </row>
    <row r="81" spans="1:5" s="1995" customFormat="1">
      <c r="A81" s="3200"/>
      <c r="C81" s="3201"/>
      <c r="E81" s="3200"/>
    </row>
    <row r="82" spans="1:5" s="1995" customFormat="1">
      <c r="A82" s="3200"/>
      <c r="C82" s="3201"/>
      <c r="E82" s="3200"/>
    </row>
    <row r="83" spans="1:5" s="1995" customFormat="1">
      <c r="A83" s="3200"/>
      <c r="C83" s="3201"/>
      <c r="E83" s="3200"/>
    </row>
    <row r="84" spans="1:5" s="1995" customFormat="1">
      <c r="A84" s="3200"/>
      <c r="C84" s="3201"/>
      <c r="E84" s="3200"/>
    </row>
    <row r="85" spans="1:5" s="1995" customFormat="1">
      <c r="A85" s="3200"/>
      <c r="C85" s="3201"/>
      <c r="E85" s="3200"/>
    </row>
    <row r="86" spans="1:5" s="1995" customFormat="1">
      <c r="A86" s="3200"/>
      <c r="C86" s="3201"/>
      <c r="E86" s="3200"/>
    </row>
    <row r="87" spans="1:5" s="1995" customFormat="1">
      <c r="A87" s="3200"/>
      <c r="C87" s="3201"/>
      <c r="E87" s="3200"/>
    </row>
    <row r="88" spans="1:5" s="1995" customFormat="1">
      <c r="A88" s="3200"/>
      <c r="C88" s="3201"/>
      <c r="E88" s="3200"/>
    </row>
    <row r="89" spans="1:5" s="1995" customFormat="1">
      <c r="A89" s="3200"/>
      <c r="C89" s="3201"/>
      <c r="E89" s="3200"/>
    </row>
    <row r="90" spans="1:5" s="1995" customFormat="1">
      <c r="A90" s="3200"/>
      <c r="C90" s="3201"/>
      <c r="E90" s="3200"/>
    </row>
    <row r="91" spans="1:5" s="1995" customFormat="1">
      <c r="A91" s="3200"/>
      <c r="C91" s="3201"/>
      <c r="E91" s="3200"/>
    </row>
    <row r="92" spans="1:5" s="1995" customFormat="1">
      <c r="A92" s="3200"/>
      <c r="C92" s="3201"/>
      <c r="E92" s="3200"/>
    </row>
    <row r="93" spans="1:5" s="1995" customFormat="1">
      <c r="A93" s="3200"/>
      <c r="C93" s="3201"/>
      <c r="E93" s="3200"/>
    </row>
    <row r="94" spans="1:5" s="1995" customFormat="1">
      <c r="A94" s="3200"/>
      <c r="C94" s="3201"/>
      <c r="E94" s="3200"/>
    </row>
    <row r="95" spans="1:5" s="1995" customFormat="1">
      <c r="A95" s="3200"/>
      <c r="C95" s="3201"/>
      <c r="E95" s="3200"/>
    </row>
    <row r="96" spans="1:5" s="1995" customFormat="1">
      <c r="A96" s="3200"/>
      <c r="C96" s="3201"/>
      <c r="E96" s="3200"/>
    </row>
    <row r="97" spans="1:5" s="1995" customFormat="1">
      <c r="A97" s="3200"/>
      <c r="C97" s="3201"/>
      <c r="E97" s="3200"/>
    </row>
    <row r="98" spans="1:5" s="1995" customFormat="1">
      <c r="A98" s="3200"/>
      <c r="C98" s="3201"/>
      <c r="E98" s="3200"/>
    </row>
    <row r="99" spans="1:5" s="1995" customFormat="1">
      <c r="A99" s="3200"/>
      <c r="C99" s="3201"/>
      <c r="E99" s="3200"/>
    </row>
    <row r="100" spans="1:5" s="1995" customFormat="1">
      <c r="A100" s="3200"/>
      <c r="C100" s="3201"/>
      <c r="E100" s="3200"/>
    </row>
    <row r="101" spans="1:5" s="1995" customFormat="1">
      <c r="A101" s="3200"/>
      <c r="C101" s="3201"/>
      <c r="E101" s="3200"/>
    </row>
    <row r="102" spans="1:5" s="1995" customFormat="1">
      <c r="A102" s="3200"/>
      <c r="C102" s="3201"/>
      <c r="E102" s="3200"/>
    </row>
    <row r="103" spans="1:5" s="1995" customFormat="1">
      <c r="A103" s="3200"/>
      <c r="C103" s="3201"/>
      <c r="E103" s="3200"/>
    </row>
    <row r="104" spans="1:5" s="1995" customFormat="1">
      <c r="A104" s="3200"/>
      <c r="C104" s="3201"/>
      <c r="E104" s="3200"/>
    </row>
    <row r="105" spans="1:5" s="1995" customFormat="1">
      <c r="A105" s="3200"/>
      <c r="C105" s="3201"/>
      <c r="E105" s="3200"/>
    </row>
    <row r="106" spans="1:5" s="1995" customFormat="1">
      <c r="A106" s="3200"/>
      <c r="C106" s="3201"/>
      <c r="E106" s="3200"/>
    </row>
    <row r="107" spans="1:5" s="1995" customFormat="1">
      <c r="A107" s="3200"/>
      <c r="C107" s="3201"/>
      <c r="E107" s="3200"/>
    </row>
    <row r="108" spans="1:5" s="1995" customFormat="1">
      <c r="A108" s="3200"/>
      <c r="C108" s="3201"/>
      <c r="E108" s="3200"/>
    </row>
    <row r="109" spans="1:5" s="1995" customFormat="1">
      <c r="A109" s="3200"/>
      <c r="C109" s="3201"/>
      <c r="E109" s="3200"/>
    </row>
    <row r="110" spans="1:5" s="1995" customFormat="1">
      <c r="A110" s="3200"/>
      <c r="C110" s="3201"/>
      <c r="E110" s="3200"/>
    </row>
    <row r="111" spans="1:5" s="1995" customFormat="1">
      <c r="A111" s="3200"/>
      <c r="C111" s="3201"/>
      <c r="E111" s="3200"/>
    </row>
    <row r="112" spans="1:5" s="1995" customFormat="1">
      <c r="A112" s="3200"/>
      <c r="C112" s="3201"/>
      <c r="E112" s="3200"/>
    </row>
    <row r="113" spans="1:5" s="1995" customFormat="1">
      <c r="A113" s="3200"/>
      <c r="C113" s="3201"/>
      <c r="E113" s="3200"/>
    </row>
    <row r="114" spans="1:5" s="1995" customFormat="1">
      <c r="A114" s="3200"/>
      <c r="C114" s="3201"/>
      <c r="E114" s="3200"/>
    </row>
    <row r="115" spans="1:5" s="1995" customFormat="1">
      <c r="A115" s="3200"/>
      <c r="C115" s="3201"/>
      <c r="E115" s="3200"/>
    </row>
    <row r="116" spans="1:5" s="1995" customFormat="1">
      <c r="A116" s="3200"/>
      <c r="C116" s="3201"/>
      <c r="E116" s="3200"/>
    </row>
    <row r="117" spans="1:5" s="1995" customFormat="1">
      <c r="A117" s="3200"/>
      <c r="C117" s="3201"/>
      <c r="E117" s="3200"/>
    </row>
    <row r="118" spans="1:5" s="1995" customFormat="1">
      <c r="A118" s="3200"/>
      <c r="C118" s="3201"/>
      <c r="E118" s="3200"/>
    </row>
    <row r="119" spans="1:5" s="1995" customFormat="1">
      <c r="A119" s="3200"/>
      <c r="C119" s="3201"/>
      <c r="E119" s="3200"/>
    </row>
    <row r="120" spans="1:5" s="1995" customFormat="1">
      <c r="A120" s="3200"/>
      <c r="C120" s="3201"/>
      <c r="E120" s="3200"/>
    </row>
    <row r="121" spans="1:5" s="1995" customFormat="1">
      <c r="A121" s="3200"/>
      <c r="C121" s="3201"/>
      <c r="E121" s="3200"/>
    </row>
    <row r="122" spans="1:5" s="1995" customFormat="1">
      <c r="A122" s="3200"/>
      <c r="C122" s="3201"/>
      <c r="E122" s="3200"/>
    </row>
    <row r="123" spans="1:5" s="1995" customFormat="1">
      <c r="A123" s="3200"/>
      <c r="C123" s="3201"/>
      <c r="E123" s="3200"/>
    </row>
    <row r="124" spans="1:5" s="1995" customFormat="1">
      <c r="A124" s="3200"/>
      <c r="C124" s="3201"/>
      <c r="E124" s="3200"/>
    </row>
    <row r="125" spans="1:5" s="1995" customFormat="1">
      <c r="A125" s="3200"/>
      <c r="C125" s="3201"/>
      <c r="E125" s="3200"/>
    </row>
    <row r="126" spans="1:5" s="1995" customFormat="1">
      <c r="A126" s="3200"/>
      <c r="C126" s="3201"/>
      <c r="E126" s="3200"/>
    </row>
    <row r="127" spans="1:5" s="1995" customFormat="1">
      <c r="A127" s="3200"/>
      <c r="C127" s="3201"/>
      <c r="E127" s="3200"/>
    </row>
    <row r="128" spans="1:5" s="1995" customFormat="1">
      <c r="A128" s="3200"/>
      <c r="C128" s="3201"/>
      <c r="E128" s="3200"/>
    </row>
    <row r="129" spans="1:5" s="1995" customFormat="1">
      <c r="A129" s="3200"/>
      <c r="C129" s="3201"/>
      <c r="E129" s="3200"/>
    </row>
    <row r="130" spans="1:5" s="1995" customFormat="1">
      <c r="A130" s="3200"/>
      <c r="C130" s="3201"/>
      <c r="E130" s="3200"/>
    </row>
    <row r="131" spans="1:5" s="1995" customFormat="1">
      <c r="A131" s="3200"/>
      <c r="C131" s="3201"/>
      <c r="E131" s="3200"/>
    </row>
    <row r="132" spans="1:5" s="1995" customFormat="1">
      <c r="A132" s="3200"/>
      <c r="C132" s="3201"/>
      <c r="E132" s="3200"/>
    </row>
    <row r="133" spans="1:5" s="1995" customFormat="1">
      <c r="A133" s="3200"/>
      <c r="C133" s="3201"/>
      <c r="E133" s="3200"/>
    </row>
    <row r="134" spans="1:5" s="1995" customFormat="1">
      <c r="A134" s="3200"/>
      <c r="C134" s="3201"/>
      <c r="E134" s="3200"/>
    </row>
    <row r="135" spans="1:5" s="1995" customFormat="1">
      <c r="A135" s="3200"/>
      <c r="C135" s="3201"/>
      <c r="E135" s="3200"/>
    </row>
    <row r="136" spans="1:5" s="1995" customFormat="1">
      <c r="A136" s="3200"/>
      <c r="C136" s="3201"/>
      <c r="E136" s="3200"/>
    </row>
    <row r="137" spans="1:5" s="1995" customFormat="1">
      <c r="A137" s="3200"/>
      <c r="C137" s="3201"/>
      <c r="E137" s="3200"/>
    </row>
    <row r="138" spans="1:5" s="1995" customFormat="1">
      <c r="A138" s="3200"/>
      <c r="C138" s="3201"/>
      <c r="E138" s="3200"/>
    </row>
    <row r="139" spans="1:5" s="1995" customFormat="1">
      <c r="A139" s="3200"/>
      <c r="C139" s="3201"/>
      <c r="E139" s="3200"/>
    </row>
    <row r="140" spans="1:5" s="1995" customFormat="1">
      <c r="A140" s="3200"/>
      <c r="C140" s="3201"/>
      <c r="E140" s="3200"/>
    </row>
    <row r="141" spans="1:5" s="1995" customFormat="1">
      <c r="A141" s="3200"/>
      <c r="C141" s="3201"/>
      <c r="E141" s="3200"/>
    </row>
    <row r="142" spans="1:5" s="1995" customFormat="1">
      <c r="A142" s="3200"/>
      <c r="C142" s="3201"/>
      <c r="E142" s="3200"/>
    </row>
    <row r="143" spans="1:5" s="1995" customFormat="1">
      <c r="A143" s="3200"/>
      <c r="C143" s="3201"/>
      <c r="E143" s="3200"/>
    </row>
    <row r="144" spans="1:5" s="1995" customFormat="1">
      <c r="A144" s="3200"/>
      <c r="C144" s="3201"/>
      <c r="E144" s="3200"/>
    </row>
    <row r="145" spans="1:5" s="1995" customFormat="1">
      <c r="A145" s="3200"/>
      <c r="C145" s="3201"/>
      <c r="E145" s="3200"/>
    </row>
    <row r="146" spans="1:5" s="1995" customFormat="1">
      <c r="A146" s="3200"/>
      <c r="C146" s="3201"/>
      <c r="E146" s="3200"/>
    </row>
    <row r="147" spans="1:5" s="1995" customFormat="1">
      <c r="A147" s="3200"/>
      <c r="C147" s="3201"/>
      <c r="E147" s="3200"/>
    </row>
    <row r="148" spans="1:5" s="1995" customFormat="1">
      <c r="A148" s="3200"/>
      <c r="C148" s="3201"/>
      <c r="E148" s="3200"/>
    </row>
    <row r="149" spans="1:5" s="1995" customFormat="1">
      <c r="A149" s="3200"/>
      <c r="C149" s="3201"/>
      <c r="E149" s="3200"/>
    </row>
    <row r="150" spans="1:5" s="1995" customFormat="1">
      <c r="A150" s="3200"/>
      <c r="C150" s="3201"/>
      <c r="E150" s="3200"/>
    </row>
    <row r="151" spans="1:5" s="1995" customFormat="1">
      <c r="A151" s="3200"/>
      <c r="C151" s="3201"/>
      <c r="E151" s="3200"/>
    </row>
    <row r="152" spans="1:5" s="1995" customFormat="1">
      <c r="A152" s="3200"/>
      <c r="C152" s="3201"/>
      <c r="E152" s="3200"/>
    </row>
    <row r="153" spans="1:5" s="1995" customFormat="1">
      <c r="A153" s="3200"/>
      <c r="C153" s="3201"/>
      <c r="E153" s="3200"/>
    </row>
    <row r="154" spans="1:5" s="1995" customFormat="1">
      <c r="A154" s="3200"/>
      <c r="C154" s="3201"/>
      <c r="E154" s="3200"/>
    </row>
    <row r="155" spans="1:5" s="1995" customFormat="1">
      <c r="A155" s="3200"/>
      <c r="C155" s="3201"/>
      <c r="E155" s="3200"/>
    </row>
    <row r="156" spans="1:5" s="1995" customFormat="1">
      <c r="A156" s="3200"/>
      <c r="C156" s="3201"/>
      <c r="E156" s="3200"/>
    </row>
    <row r="157" spans="1:5" s="1995" customFormat="1">
      <c r="A157" s="3200"/>
      <c r="C157" s="3201"/>
      <c r="E157" s="3200"/>
    </row>
    <row r="158" spans="1:5" s="1995" customFormat="1">
      <c r="A158" s="3200"/>
      <c r="C158" s="3201"/>
      <c r="E158" s="3200"/>
    </row>
    <row r="159" spans="1:5" s="1995" customFormat="1">
      <c r="A159" s="3200"/>
      <c r="C159" s="3201"/>
      <c r="E159" s="3200"/>
    </row>
    <row r="160" spans="1:5" s="1995" customFormat="1">
      <c r="A160" s="3200"/>
      <c r="C160" s="3201"/>
      <c r="E160" s="3200"/>
    </row>
    <row r="161" spans="1:5" s="1995" customFormat="1">
      <c r="A161" s="3200"/>
      <c r="C161" s="3201"/>
      <c r="E161" s="3200"/>
    </row>
    <row r="162" spans="1:5" s="1995" customFormat="1">
      <c r="A162" s="3200"/>
      <c r="C162" s="3201"/>
      <c r="E162" s="3200"/>
    </row>
    <row r="163" spans="1:5" s="1995" customFormat="1">
      <c r="A163" s="3200"/>
      <c r="C163" s="3201"/>
      <c r="E163" s="3200"/>
    </row>
    <row r="164" spans="1:5" s="1995" customFormat="1">
      <c r="A164" s="3200"/>
      <c r="C164" s="3201"/>
      <c r="E164" s="3200"/>
    </row>
    <row r="165" spans="1:5" s="1995" customFormat="1">
      <c r="A165" s="3200"/>
      <c r="C165" s="3201"/>
      <c r="E165" s="3200"/>
    </row>
    <row r="166" spans="1:5" s="1995" customFormat="1">
      <c r="A166" s="3200"/>
      <c r="C166" s="3201"/>
      <c r="E166" s="3200"/>
    </row>
    <row r="167" spans="1:5" s="1995" customFormat="1">
      <c r="A167" s="3200"/>
      <c r="C167" s="3201"/>
      <c r="E167" s="3200"/>
    </row>
    <row r="168" spans="1:5" s="1995" customFormat="1">
      <c r="A168" s="3200"/>
      <c r="C168" s="3201"/>
      <c r="E168" s="3200"/>
    </row>
    <row r="169" spans="1:5" s="1995" customFormat="1">
      <c r="A169" s="3200"/>
      <c r="C169" s="3201"/>
      <c r="E169" s="3200"/>
    </row>
    <row r="170" spans="1:5" s="1995" customFormat="1">
      <c r="A170" s="3200"/>
      <c r="C170" s="3201"/>
      <c r="E170" s="3200"/>
    </row>
    <row r="171" spans="1:5" s="1995" customFormat="1">
      <c r="A171" s="3200"/>
      <c r="C171" s="3201"/>
      <c r="E171" s="3200"/>
    </row>
    <row r="172" spans="1:5" s="1995" customFormat="1">
      <c r="A172" s="3200"/>
      <c r="C172" s="3201"/>
      <c r="E172" s="3200"/>
    </row>
    <row r="173" spans="1:5" s="1995" customFormat="1">
      <c r="A173" s="3200"/>
      <c r="C173" s="3201"/>
      <c r="E173" s="3200"/>
    </row>
    <row r="174" spans="1:5" s="1995" customFormat="1">
      <c r="A174" s="3200"/>
      <c r="C174" s="3201"/>
      <c r="E174" s="3200"/>
    </row>
    <row r="175" spans="1:5" s="1995" customFormat="1">
      <c r="A175" s="3200"/>
      <c r="C175" s="3201"/>
      <c r="E175" s="3200"/>
    </row>
    <row r="176" spans="1:5" s="1995" customFormat="1">
      <c r="A176" s="3200"/>
      <c r="C176" s="3201"/>
      <c r="E176" s="3200"/>
    </row>
    <row r="177" spans="1:5" s="1995" customFormat="1">
      <c r="A177" s="3200"/>
      <c r="C177" s="3201"/>
      <c r="E177" s="3200"/>
    </row>
    <row r="178" spans="1:5" s="1995" customFormat="1">
      <c r="A178" s="3200"/>
      <c r="C178" s="3201"/>
      <c r="E178" s="3200"/>
    </row>
    <row r="179" spans="1:5" s="1995" customFormat="1">
      <c r="A179" s="3200"/>
      <c r="C179" s="3201"/>
      <c r="E179" s="3200"/>
    </row>
    <row r="180" spans="1:5" s="1995" customFormat="1">
      <c r="A180" s="3200"/>
      <c r="C180" s="3201"/>
      <c r="E180" s="3200"/>
    </row>
    <row r="181" spans="1:5" s="1995" customFormat="1">
      <c r="A181" s="3200"/>
      <c r="C181" s="3201"/>
      <c r="E181" s="3200"/>
    </row>
    <row r="182" spans="1:5" s="1995" customFormat="1">
      <c r="A182" s="3200"/>
      <c r="C182" s="3201"/>
      <c r="E182" s="3200"/>
    </row>
    <row r="183" spans="1:5" s="1995" customFormat="1">
      <c r="A183" s="3200"/>
      <c r="C183" s="3201"/>
      <c r="E183" s="3200"/>
    </row>
    <row r="184" spans="1:5" s="1995" customFormat="1">
      <c r="A184" s="3200"/>
      <c r="C184" s="3201"/>
      <c r="E184" s="3200"/>
    </row>
    <row r="185" spans="1:5" s="1995" customFormat="1">
      <c r="A185" s="3200"/>
      <c r="C185" s="3201"/>
      <c r="E185" s="3200"/>
    </row>
    <row r="186" spans="1:5" s="1995" customFormat="1">
      <c r="A186" s="3200"/>
      <c r="C186" s="3201"/>
      <c r="E186" s="3200"/>
    </row>
    <row r="187" spans="1:5" s="1995" customFormat="1">
      <c r="A187" s="3200"/>
      <c r="C187" s="3201"/>
      <c r="E187" s="3200"/>
    </row>
    <row r="188" spans="1:5" s="1995" customFormat="1">
      <c r="A188" s="3200"/>
      <c r="C188" s="3201"/>
      <c r="E188" s="3200"/>
    </row>
    <row r="189" spans="1:5" s="1995" customFormat="1">
      <c r="A189" s="3200"/>
      <c r="C189" s="3201"/>
      <c r="E189" s="3200"/>
    </row>
    <row r="190" spans="1:5" s="1995" customFormat="1">
      <c r="A190" s="3200"/>
      <c r="C190" s="3201"/>
      <c r="E190" s="3200"/>
    </row>
    <row r="191" spans="1:5" s="1995" customFormat="1">
      <c r="A191" s="3200"/>
      <c r="C191" s="3201"/>
      <c r="E191" s="3200"/>
    </row>
    <row r="192" spans="1:5" s="1995" customFormat="1">
      <c r="A192" s="3200"/>
      <c r="C192" s="3201"/>
      <c r="E192" s="3200"/>
    </row>
    <row r="193" spans="1:5" s="1995" customFormat="1">
      <c r="A193" s="3200"/>
      <c r="C193" s="3201"/>
      <c r="E193" s="3200"/>
    </row>
    <row r="194" spans="1:5" s="1995" customFormat="1">
      <c r="A194" s="3200"/>
      <c r="C194" s="3201"/>
      <c r="E194" s="3200"/>
    </row>
    <row r="195" spans="1:5" s="1995" customFormat="1">
      <c r="A195" s="3200"/>
      <c r="C195" s="3201"/>
      <c r="E195" s="3200"/>
    </row>
    <row r="196" spans="1:5" s="1995" customFormat="1">
      <c r="A196" s="3200"/>
      <c r="C196" s="3201"/>
      <c r="E196" s="3200"/>
    </row>
    <row r="197" spans="1:5" s="1995" customFormat="1">
      <c r="A197" s="3200"/>
      <c r="C197" s="3201"/>
      <c r="E197" s="3200"/>
    </row>
    <row r="198" spans="1:5" s="1995" customFormat="1">
      <c r="A198" s="3200"/>
      <c r="C198" s="3201"/>
      <c r="E198" s="3200"/>
    </row>
    <row r="199" spans="1:5" s="1995" customFormat="1">
      <c r="A199" s="3200"/>
      <c r="C199" s="3201"/>
      <c r="E199" s="3200"/>
    </row>
    <row r="200" spans="1:5" s="1995" customFormat="1">
      <c r="A200" s="3200"/>
      <c r="C200" s="3201"/>
      <c r="E200" s="3200"/>
    </row>
    <row r="201" spans="1:5" s="1995" customFormat="1">
      <c r="A201" s="3200"/>
      <c r="C201" s="3201"/>
      <c r="E201" s="3200"/>
    </row>
    <row r="202" spans="1:5" s="1995" customFormat="1">
      <c r="A202" s="3200"/>
      <c r="C202" s="3201"/>
      <c r="E202" s="3200"/>
    </row>
    <row r="203" spans="1:5" s="1995" customFormat="1">
      <c r="A203" s="3200"/>
      <c r="C203" s="3201"/>
      <c r="E203" s="3200"/>
    </row>
    <row r="204" spans="1:5" s="1995" customFormat="1">
      <c r="A204" s="3200"/>
      <c r="C204" s="3201"/>
      <c r="E204" s="3200"/>
    </row>
    <row r="205" spans="1:5" s="1995" customFormat="1">
      <c r="A205" s="3200"/>
      <c r="C205" s="3201"/>
      <c r="E205" s="3200"/>
    </row>
    <row r="206" spans="1:5" s="1995" customFormat="1">
      <c r="A206" s="3200"/>
      <c r="C206" s="3201"/>
      <c r="E206" s="3200"/>
    </row>
    <row r="207" spans="1:5" s="1995" customFormat="1">
      <c r="A207" s="3200"/>
      <c r="C207" s="3201"/>
      <c r="E207" s="3200"/>
    </row>
    <row r="208" spans="1:5" s="1995" customFormat="1">
      <c r="A208" s="3200"/>
      <c r="C208" s="3201"/>
      <c r="E208" s="3200"/>
    </row>
    <row r="209" spans="1:5" s="1995" customFormat="1">
      <c r="A209" s="3200"/>
      <c r="C209" s="3201"/>
      <c r="E209" s="3200"/>
    </row>
    <row r="210" spans="1:5" s="1995" customFormat="1">
      <c r="A210" s="3200"/>
      <c r="C210" s="3201"/>
      <c r="E210" s="3200"/>
    </row>
    <row r="211" spans="1:5" s="1995" customFormat="1">
      <c r="A211" s="3200"/>
      <c r="C211" s="3201"/>
      <c r="E211" s="3200"/>
    </row>
    <row r="212" spans="1:5" s="1995" customFormat="1">
      <c r="A212" s="3200"/>
      <c r="C212" s="3201"/>
      <c r="E212" s="3200"/>
    </row>
    <row r="213" spans="1:5" s="1995" customFormat="1">
      <c r="A213" s="3200"/>
      <c r="C213" s="3201"/>
      <c r="E213" s="3200"/>
    </row>
    <row r="214" spans="1:5" s="1995" customFormat="1">
      <c r="A214" s="3200"/>
      <c r="C214" s="3201"/>
      <c r="E214" s="3200"/>
    </row>
    <row r="215" spans="1:5" s="1995" customFormat="1">
      <c r="A215" s="3200"/>
      <c r="C215" s="3201"/>
      <c r="E215" s="3200"/>
    </row>
    <row r="216" spans="1:5" s="1995" customFormat="1">
      <c r="A216" s="3200"/>
      <c r="C216" s="3201"/>
      <c r="E216" s="3200"/>
    </row>
    <row r="217" spans="1:5" s="1995" customFormat="1">
      <c r="A217" s="3200"/>
      <c r="C217" s="3201"/>
      <c r="E217" s="3200"/>
    </row>
    <row r="218" spans="1:5" s="1995" customFormat="1">
      <c r="A218" s="3200"/>
      <c r="C218" s="3201"/>
      <c r="E218" s="3200"/>
    </row>
    <row r="219" spans="1:5" s="1995" customFormat="1">
      <c r="A219" s="3200"/>
      <c r="C219" s="3201"/>
      <c r="E219" s="3200"/>
    </row>
    <row r="220" spans="1:5" s="1995" customFormat="1">
      <c r="A220" s="3200"/>
      <c r="C220" s="3201"/>
      <c r="E220" s="3200"/>
    </row>
    <row r="221" spans="1:5" s="1995" customFormat="1">
      <c r="A221" s="3200"/>
      <c r="C221" s="3201"/>
      <c r="E221" s="3200"/>
    </row>
    <row r="222" spans="1:5" s="1995" customFormat="1">
      <c r="A222" s="3200"/>
      <c r="C222" s="3201"/>
      <c r="E222" s="3200"/>
    </row>
    <row r="223" spans="1:5" s="1995" customFormat="1">
      <c r="A223" s="3200"/>
      <c r="C223" s="3201"/>
      <c r="E223" s="3200"/>
    </row>
    <row r="224" spans="1:5" s="1995" customFormat="1">
      <c r="A224" s="3200"/>
      <c r="C224" s="3201"/>
      <c r="E224" s="3200"/>
    </row>
    <row r="225" spans="1:5" s="1995" customFormat="1">
      <c r="A225" s="3200"/>
      <c r="C225" s="3201"/>
      <c r="E225" s="3200"/>
    </row>
    <row r="226" spans="1:5" s="1995" customFormat="1">
      <c r="A226" s="3200"/>
      <c r="C226" s="3201"/>
      <c r="E226" s="3200"/>
    </row>
    <row r="227" spans="1:5" s="1995" customFormat="1">
      <c r="A227" s="3200"/>
      <c r="C227" s="3201"/>
      <c r="E227" s="3200"/>
    </row>
    <row r="228" spans="1:5" s="1995" customFormat="1">
      <c r="A228" s="3200"/>
      <c r="C228" s="3201"/>
      <c r="E228" s="3200"/>
    </row>
    <row r="229" spans="1:5" s="1995" customFormat="1">
      <c r="A229" s="3200"/>
      <c r="C229" s="3201"/>
      <c r="E229" s="3200"/>
    </row>
    <row r="230" spans="1:5" s="1995" customFormat="1">
      <c r="A230" s="3200"/>
      <c r="C230" s="3201"/>
      <c r="E230" s="3200"/>
    </row>
    <row r="231" spans="1:5" s="1995" customFormat="1">
      <c r="A231" s="3200"/>
      <c r="C231" s="3201"/>
      <c r="E231" s="3200"/>
    </row>
    <row r="232" spans="1:5" s="1995" customFormat="1">
      <c r="A232" s="3200"/>
      <c r="C232" s="3201"/>
      <c r="E232" s="3200"/>
    </row>
    <row r="233" spans="1:5" s="1995" customFormat="1">
      <c r="A233" s="3200"/>
      <c r="C233" s="3201"/>
      <c r="E233" s="3200"/>
    </row>
    <row r="234" spans="1:5" s="1995" customFormat="1">
      <c r="A234" s="3200"/>
      <c r="C234" s="3201"/>
      <c r="E234" s="3200"/>
    </row>
    <row r="235" spans="1:5" s="1995" customFormat="1">
      <c r="A235" s="3200"/>
      <c r="C235" s="3201"/>
      <c r="E235" s="3200"/>
    </row>
    <row r="236" spans="1:5" s="1995" customFormat="1">
      <c r="A236" s="3200"/>
      <c r="C236" s="3201"/>
      <c r="E236" s="3200"/>
    </row>
    <row r="237" spans="1:5" s="1995" customFormat="1">
      <c r="A237" s="3200"/>
      <c r="C237" s="3201"/>
      <c r="E237" s="3200"/>
    </row>
    <row r="238" spans="1:5" s="1995" customFormat="1">
      <c r="A238" s="3200"/>
      <c r="C238" s="3201"/>
      <c r="E238" s="3200"/>
    </row>
    <row r="239" spans="1:5" s="1995" customFormat="1">
      <c r="A239" s="3200"/>
      <c r="C239" s="3201"/>
      <c r="E239" s="3200"/>
    </row>
    <row r="240" spans="1:5" s="1995" customFormat="1">
      <c r="A240" s="3200"/>
      <c r="C240" s="3201"/>
      <c r="E240" s="3200"/>
    </row>
    <row r="241" spans="1:5" s="1995" customFormat="1">
      <c r="A241" s="3200"/>
      <c r="C241" s="3201"/>
      <c r="E241" s="3200"/>
    </row>
    <row r="242" spans="1:5" s="1995" customFormat="1">
      <c r="A242" s="3200"/>
      <c r="C242" s="3201"/>
      <c r="E242" s="3200"/>
    </row>
    <row r="243" spans="1:5" s="1995" customFormat="1">
      <c r="A243" s="3200"/>
      <c r="C243" s="3201"/>
      <c r="E243" s="3200"/>
    </row>
    <row r="244" spans="1:5" s="1995" customFormat="1">
      <c r="A244" s="3200"/>
      <c r="C244" s="3201"/>
      <c r="E244" s="3200"/>
    </row>
    <row r="245" spans="1:5" s="1995" customFormat="1">
      <c r="A245" s="3200"/>
      <c r="C245" s="3201"/>
      <c r="E245" s="3200"/>
    </row>
    <row r="246" spans="1:5" s="1995" customFormat="1">
      <c r="A246" s="3200"/>
      <c r="C246" s="3201"/>
      <c r="E246" s="3200"/>
    </row>
    <row r="247" spans="1:5" s="1995" customFormat="1">
      <c r="A247" s="3200"/>
      <c r="C247" s="3201"/>
      <c r="E247" s="3200"/>
    </row>
    <row r="248" spans="1:5" s="1995" customFormat="1">
      <c r="A248" s="3200"/>
      <c r="C248" s="3201"/>
      <c r="E248" s="3200"/>
    </row>
    <row r="249" spans="1:5" s="1995" customFormat="1">
      <c r="A249" s="3200"/>
      <c r="C249" s="3201"/>
      <c r="E249" s="3200"/>
    </row>
    <row r="250" spans="1:5" s="1995" customFormat="1">
      <c r="A250" s="3200"/>
      <c r="C250" s="3201"/>
      <c r="E250" s="3200"/>
    </row>
    <row r="251" spans="1:5" s="1995" customFormat="1">
      <c r="A251" s="3200"/>
      <c r="C251" s="3201"/>
      <c r="E251" s="3200"/>
    </row>
    <row r="252" spans="1:5" s="1995" customFormat="1">
      <c r="A252" s="3200"/>
      <c r="C252" s="3201"/>
      <c r="E252" s="3200"/>
    </row>
    <row r="253" spans="1:5" s="1995" customFormat="1">
      <c r="A253" s="3200"/>
      <c r="C253" s="3201"/>
      <c r="E253" s="3200"/>
    </row>
    <row r="254" spans="1:5" s="1995" customFormat="1">
      <c r="A254" s="3200"/>
      <c r="C254" s="3201"/>
      <c r="E254" s="3200"/>
    </row>
    <row r="255" spans="1:5" s="1995" customFormat="1">
      <c r="A255" s="3200"/>
      <c r="C255" s="3201"/>
      <c r="E255" s="3200"/>
    </row>
    <row r="256" spans="1:5" s="1995" customFormat="1">
      <c r="A256" s="3200"/>
      <c r="C256" s="3201"/>
      <c r="E256" s="3200"/>
    </row>
    <row r="257" spans="1:5" s="1995" customFormat="1">
      <c r="A257" s="3200"/>
      <c r="C257" s="3201"/>
      <c r="E257" s="3200"/>
    </row>
    <row r="258" spans="1:5" s="1995" customFormat="1">
      <c r="A258" s="3200"/>
      <c r="C258" s="3201"/>
      <c r="E258" s="3200"/>
    </row>
    <row r="259" spans="1:5" s="1995" customFormat="1">
      <c r="A259" s="3200"/>
      <c r="C259" s="3201"/>
      <c r="E259" s="3200"/>
    </row>
    <row r="260" spans="1:5" s="1995" customFormat="1">
      <c r="A260" s="3200"/>
      <c r="C260" s="3201"/>
      <c r="E260" s="3200"/>
    </row>
    <row r="261" spans="1:5" s="1995" customFormat="1">
      <c r="A261" s="3200"/>
      <c r="C261" s="3201"/>
      <c r="E261" s="3200"/>
    </row>
    <row r="262" spans="1:5" s="1995" customFormat="1">
      <c r="A262" s="3200"/>
      <c r="C262" s="3201"/>
      <c r="E262" s="3200"/>
    </row>
    <row r="263" spans="1:5" s="1995" customFormat="1">
      <c r="A263" s="3200"/>
      <c r="C263" s="3201"/>
      <c r="E263" s="3200"/>
    </row>
    <row r="264" spans="1:5" s="1995" customFormat="1">
      <c r="A264" s="3200"/>
      <c r="C264" s="3201"/>
      <c r="E264" s="3200"/>
    </row>
    <row r="265" spans="1:5" s="1995" customFormat="1">
      <c r="A265" s="3200"/>
      <c r="C265" s="3201"/>
      <c r="E265" s="3200"/>
    </row>
    <row r="266" spans="1:5" s="1995" customFormat="1">
      <c r="A266" s="3200"/>
      <c r="C266" s="3201"/>
      <c r="E266" s="3200"/>
    </row>
    <row r="267" spans="1:5" s="1995" customFormat="1">
      <c r="A267" s="3200"/>
      <c r="C267" s="3201"/>
      <c r="E267" s="3200"/>
    </row>
    <row r="268" spans="1:5" s="1995" customFormat="1">
      <c r="A268" s="3200"/>
      <c r="C268" s="3201"/>
      <c r="E268" s="3200"/>
    </row>
    <row r="269" spans="1:5" s="1995" customFormat="1">
      <c r="A269" s="3200"/>
      <c r="C269" s="3201"/>
      <c r="E269" s="3200"/>
    </row>
    <row r="270" spans="1:5" s="1995" customFormat="1">
      <c r="A270" s="3200"/>
      <c r="C270" s="3201"/>
      <c r="E270" s="3200"/>
    </row>
    <row r="271" spans="1:5" s="1995" customFormat="1">
      <c r="A271" s="3200"/>
      <c r="C271" s="3201"/>
      <c r="E271" s="3200"/>
    </row>
    <row r="272" spans="1:5" s="1995" customFormat="1">
      <c r="A272" s="3200"/>
      <c r="C272" s="3201"/>
      <c r="E272" s="3200"/>
    </row>
    <row r="273" spans="1:5" s="1995" customFormat="1">
      <c r="A273" s="3200"/>
      <c r="C273" s="3201"/>
      <c r="E273" s="3200"/>
    </row>
    <row r="274" spans="1:5" s="1995" customFormat="1">
      <c r="A274" s="3200"/>
      <c r="C274" s="3201"/>
      <c r="E274" s="3200"/>
    </row>
    <row r="275" spans="1:5" s="1995" customFormat="1">
      <c r="A275" s="3200"/>
      <c r="C275" s="3201"/>
      <c r="E275" s="3200"/>
    </row>
    <row r="276" spans="1:5" s="1995" customFormat="1">
      <c r="A276" s="3200"/>
      <c r="C276" s="3201"/>
      <c r="E276" s="3200"/>
    </row>
    <row r="277" spans="1:5" s="1995" customFormat="1">
      <c r="A277" s="3200"/>
      <c r="C277" s="3201"/>
      <c r="E277" s="3200"/>
    </row>
    <row r="278" spans="1:5" s="1995" customFormat="1">
      <c r="A278" s="3200"/>
      <c r="C278" s="3201"/>
      <c r="E278" s="3200"/>
    </row>
    <row r="279" spans="1:5" s="1995" customFormat="1">
      <c r="A279" s="3200"/>
      <c r="C279" s="3201"/>
      <c r="E279" s="3200"/>
    </row>
    <row r="280" spans="1:5" s="1995" customFormat="1">
      <c r="A280" s="3200"/>
      <c r="C280" s="3201"/>
      <c r="E280" s="3200"/>
    </row>
    <row r="281" spans="1:5" s="1995" customFormat="1">
      <c r="A281" s="3200"/>
      <c r="C281" s="3201"/>
      <c r="E281" s="3200"/>
    </row>
    <row r="282" spans="1:5" s="1995" customFormat="1">
      <c r="A282" s="3200"/>
      <c r="C282" s="3201"/>
      <c r="E282" s="3200"/>
    </row>
    <row r="283" spans="1:5" s="1995" customFormat="1">
      <c r="A283" s="3200"/>
      <c r="C283" s="3201"/>
      <c r="E283" s="3200"/>
    </row>
    <row r="284" spans="1:5" s="1995" customFormat="1">
      <c r="A284" s="3200"/>
      <c r="C284" s="3201"/>
      <c r="E284" s="3200"/>
    </row>
    <row r="285" spans="1:5" s="1995" customFormat="1">
      <c r="A285" s="3200"/>
      <c r="C285" s="3201"/>
      <c r="E285" s="3200"/>
    </row>
    <row r="286" spans="1:5" s="1995" customFormat="1">
      <c r="A286" s="3200"/>
      <c r="C286" s="3201"/>
      <c r="E286" s="3200"/>
    </row>
    <row r="287" spans="1:5" s="1995" customFormat="1">
      <c r="A287" s="3200"/>
      <c r="C287" s="3201"/>
      <c r="E287" s="3200"/>
    </row>
    <row r="288" spans="1:5" s="1995" customFormat="1">
      <c r="A288" s="3200"/>
      <c r="C288" s="3201"/>
      <c r="E288" s="3200"/>
    </row>
    <row r="289" spans="1:5" s="1995" customFormat="1">
      <c r="A289" s="3200"/>
      <c r="C289" s="3201"/>
      <c r="E289" s="3200"/>
    </row>
    <row r="290" spans="1:5" s="1995" customFormat="1">
      <c r="A290" s="3200"/>
      <c r="C290" s="3201"/>
      <c r="E290" s="3200"/>
    </row>
    <row r="291" spans="1:5" s="1995" customFormat="1">
      <c r="A291" s="3200"/>
      <c r="C291" s="3201"/>
      <c r="E291" s="3200"/>
    </row>
    <row r="292" spans="1:5" s="1995" customFormat="1">
      <c r="A292" s="3200"/>
      <c r="C292" s="3201"/>
      <c r="E292" s="3200"/>
    </row>
    <row r="293" spans="1:5" s="1995" customFormat="1">
      <c r="A293" s="3200"/>
      <c r="C293" s="3201"/>
      <c r="E293" s="3200"/>
    </row>
    <row r="294" spans="1:5" s="1995" customFormat="1">
      <c r="A294" s="3200"/>
      <c r="C294" s="3201"/>
      <c r="E294" s="3200"/>
    </row>
    <row r="295" spans="1:5" s="1995" customFormat="1">
      <c r="A295" s="3200"/>
      <c r="C295" s="3201"/>
      <c r="E295" s="3200"/>
    </row>
    <row r="296" spans="1:5" s="1995" customFormat="1">
      <c r="A296" s="3200"/>
      <c r="C296" s="3201"/>
      <c r="E296" s="3200"/>
    </row>
    <row r="297" spans="1:5" s="1995" customFormat="1">
      <c r="A297" s="3200"/>
      <c r="C297" s="3201"/>
      <c r="E297" s="3200"/>
    </row>
    <row r="298" spans="1:5" s="1995" customFormat="1">
      <c r="A298" s="3200"/>
      <c r="C298" s="3201"/>
      <c r="E298" s="3200"/>
    </row>
    <row r="299" spans="1:5" s="1995" customFormat="1">
      <c r="A299" s="3200"/>
      <c r="C299" s="3201"/>
      <c r="E299" s="3200"/>
    </row>
    <row r="300" spans="1:5" s="1995" customFormat="1">
      <c r="A300" s="3200"/>
      <c r="C300" s="3201"/>
      <c r="E300" s="3200"/>
    </row>
    <row r="301" spans="1:5" s="1995" customFormat="1">
      <c r="A301" s="3200"/>
      <c r="C301" s="3201"/>
      <c r="E301" s="3200"/>
    </row>
    <row r="302" spans="1:5" s="1995" customFormat="1">
      <c r="A302" s="3200"/>
      <c r="C302" s="3201"/>
      <c r="E302" s="3200"/>
    </row>
    <row r="303" spans="1:5" s="1995" customFormat="1">
      <c r="A303" s="3200"/>
      <c r="C303" s="3201"/>
      <c r="E303" s="3200"/>
    </row>
    <row r="304" spans="1:5" s="1995" customFormat="1">
      <c r="A304" s="3200"/>
      <c r="C304" s="3201"/>
      <c r="E304" s="3200"/>
    </row>
    <row r="305" spans="1:5" s="1995" customFormat="1">
      <c r="A305" s="3200"/>
      <c r="C305" s="3201"/>
      <c r="E305" s="3200"/>
    </row>
    <row r="306" spans="1:5" s="1995" customFormat="1">
      <c r="A306" s="3200"/>
      <c r="C306" s="3201"/>
      <c r="E306" s="3200"/>
    </row>
    <row r="307" spans="1:5" s="1995" customFormat="1">
      <c r="A307" s="3200"/>
      <c r="C307" s="3201"/>
      <c r="E307" s="3200"/>
    </row>
    <row r="308" spans="1:5" s="1995" customFormat="1">
      <c r="A308" s="3200"/>
      <c r="C308" s="3201"/>
      <c r="E308" s="3200"/>
    </row>
    <row r="309" spans="1:5" s="1995" customFormat="1">
      <c r="A309" s="3200"/>
      <c r="C309" s="3201"/>
      <c r="E309" s="3200"/>
    </row>
    <row r="310" spans="1:5" s="1995" customFormat="1">
      <c r="A310" s="3200"/>
      <c r="C310" s="3201"/>
      <c r="E310" s="3200"/>
    </row>
    <row r="311" spans="1:5" s="1995" customFormat="1">
      <c r="A311" s="3200"/>
      <c r="C311" s="3201"/>
      <c r="E311" s="3200"/>
    </row>
    <row r="312" spans="1:5" s="1995" customFormat="1">
      <c r="A312" s="3200"/>
      <c r="C312" s="3201"/>
      <c r="E312" s="3200"/>
    </row>
    <row r="313" spans="1:5" s="1995" customFormat="1">
      <c r="A313" s="3200"/>
      <c r="C313" s="3201"/>
      <c r="E313" s="3200"/>
    </row>
    <row r="314" spans="1:5" s="1995" customFormat="1">
      <c r="A314" s="3200"/>
      <c r="C314" s="3201"/>
      <c r="E314" s="3200"/>
    </row>
    <row r="315" spans="1:5" s="1995" customFormat="1">
      <c r="A315" s="3200"/>
      <c r="C315" s="3201"/>
      <c r="E315" s="3200"/>
    </row>
    <row r="316" spans="1:5" s="1995" customFormat="1">
      <c r="A316" s="3200"/>
      <c r="C316" s="3201"/>
      <c r="E316" s="3200"/>
    </row>
    <row r="317" spans="1:5" s="1995" customFormat="1">
      <c r="A317" s="3200"/>
      <c r="C317" s="3201"/>
      <c r="E317" s="3200"/>
    </row>
    <row r="318" spans="1:5" s="1995" customFormat="1">
      <c r="A318" s="3200"/>
      <c r="C318" s="3201"/>
      <c r="E318" s="3200"/>
    </row>
    <row r="319" spans="1:5" s="1995" customFormat="1">
      <c r="A319" s="3200"/>
      <c r="C319" s="3201"/>
      <c r="E319" s="3200"/>
    </row>
    <row r="320" spans="1:5" s="1995" customFormat="1">
      <c r="A320" s="3200"/>
      <c r="C320" s="3201"/>
      <c r="E320" s="3200"/>
    </row>
    <row r="321" spans="1:5" s="1995" customFormat="1">
      <c r="A321" s="3200"/>
      <c r="C321" s="3201"/>
      <c r="E321" s="3200"/>
    </row>
    <row r="322" spans="1:5" s="1995" customFormat="1">
      <c r="A322" s="3200"/>
      <c r="C322" s="3201"/>
      <c r="E322" s="3200"/>
    </row>
    <row r="323" spans="1:5" s="1995" customFormat="1">
      <c r="A323" s="3200"/>
      <c r="C323" s="3201"/>
      <c r="E323" s="3200"/>
    </row>
    <row r="324" spans="1:5" s="1995" customFormat="1">
      <c r="A324" s="3200"/>
      <c r="C324" s="3201"/>
      <c r="E324" s="3200"/>
    </row>
    <row r="325" spans="1:5" s="1995" customFormat="1">
      <c r="A325" s="3200"/>
      <c r="C325" s="3201"/>
      <c r="E325" s="3200"/>
    </row>
    <row r="326" spans="1:5" s="1995" customFormat="1">
      <c r="A326" s="3200"/>
      <c r="C326" s="3201"/>
      <c r="E326" s="3200"/>
    </row>
    <row r="327" spans="1:5" s="1995" customFormat="1">
      <c r="A327" s="3200"/>
      <c r="C327" s="3201"/>
      <c r="E327" s="3200"/>
    </row>
    <row r="328" spans="1:5" s="1995" customFormat="1">
      <c r="A328" s="3200"/>
      <c r="C328" s="3201"/>
      <c r="E328" s="3200"/>
    </row>
    <row r="329" spans="1:5" s="1995" customFormat="1">
      <c r="A329" s="3200"/>
      <c r="C329" s="3201"/>
      <c r="E329" s="3200"/>
    </row>
    <row r="330" spans="1:5" s="1995" customFormat="1">
      <c r="A330" s="3200"/>
      <c r="C330" s="3201"/>
      <c r="E330" s="3200"/>
    </row>
    <row r="331" spans="1:5" s="1995" customFormat="1">
      <c r="A331" s="3200"/>
      <c r="C331" s="3201"/>
      <c r="E331" s="3200"/>
    </row>
    <row r="332" spans="1:5" s="1995" customFormat="1">
      <c r="A332" s="3200"/>
      <c r="C332" s="3201"/>
      <c r="E332" s="3200"/>
    </row>
    <row r="333" spans="1:5" s="1995" customFormat="1">
      <c r="A333" s="3200"/>
      <c r="C333" s="3201"/>
      <c r="E333" s="3200"/>
    </row>
    <row r="334" spans="1:5" s="1995" customFormat="1">
      <c r="A334" s="3200"/>
      <c r="C334" s="3201"/>
      <c r="E334" s="3200"/>
    </row>
    <row r="335" spans="1:5" s="1995" customFormat="1">
      <c r="A335" s="3200"/>
      <c r="C335" s="3201"/>
      <c r="E335" s="3200"/>
    </row>
    <row r="336" spans="1:5" s="1995" customFormat="1">
      <c r="A336" s="3200"/>
      <c r="C336" s="3201"/>
      <c r="E336" s="3200"/>
    </row>
    <row r="337" spans="1:5" s="1995" customFormat="1">
      <c r="A337" s="3200"/>
      <c r="C337" s="3201"/>
      <c r="E337" s="3200"/>
    </row>
    <row r="338" spans="1:5" s="1995" customFormat="1">
      <c r="A338" s="3200"/>
      <c r="C338" s="3201"/>
      <c r="E338" s="3200"/>
    </row>
    <row r="339" spans="1:5" s="1995" customFormat="1">
      <c r="A339" s="3200"/>
      <c r="C339" s="3201"/>
      <c r="E339" s="3200"/>
    </row>
    <row r="340" spans="1:5" s="1995" customFormat="1">
      <c r="A340" s="3200"/>
      <c r="C340" s="3201"/>
      <c r="E340" s="3200"/>
    </row>
    <row r="341" spans="1:5" s="1995" customFormat="1">
      <c r="A341" s="3200"/>
      <c r="C341" s="3201"/>
      <c r="E341" s="3200"/>
    </row>
    <row r="342" spans="1:5" s="1995" customFormat="1">
      <c r="A342" s="3200"/>
      <c r="C342" s="3201"/>
      <c r="E342" s="3200"/>
    </row>
    <row r="343" spans="1:5" s="1995" customFormat="1">
      <c r="A343" s="3200"/>
      <c r="C343" s="3201"/>
      <c r="E343" s="3200"/>
    </row>
    <row r="344" spans="1:5" s="1995" customFormat="1">
      <c r="A344" s="3200"/>
      <c r="C344" s="3201"/>
      <c r="E344" s="3200"/>
    </row>
    <row r="345" spans="1:5" s="1995" customFormat="1">
      <c r="A345" s="3200"/>
      <c r="C345" s="3201"/>
      <c r="E345" s="3200"/>
    </row>
    <row r="346" spans="1:5" s="1995" customFormat="1">
      <c r="A346" s="3200"/>
      <c r="C346" s="3201"/>
      <c r="E346" s="3200"/>
    </row>
    <row r="347" spans="1:5" s="1995" customFormat="1">
      <c r="A347" s="3200"/>
      <c r="C347" s="3201"/>
      <c r="E347" s="3200"/>
    </row>
    <row r="348" spans="1:5" s="1995" customFormat="1">
      <c r="A348" s="3200"/>
      <c r="C348" s="3201"/>
      <c r="E348" s="3200"/>
    </row>
    <row r="349" spans="1:5" s="1995" customFormat="1">
      <c r="A349" s="3200"/>
      <c r="C349" s="3201"/>
      <c r="E349" s="3200"/>
    </row>
    <row r="350" spans="1:5" s="1995" customFormat="1">
      <c r="A350" s="3200"/>
      <c r="C350" s="3201"/>
      <c r="E350" s="3200"/>
    </row>
    <row r="351" spans="1:5" s="1995" customFormat="1">
      <c r="A351" s="3200"/>
      <c r="C351" s="3201"/>
      <c r="E351" s="3200"/>
    </row>
    <row r="352" spans="1:5" s="1995" customFormat="1">
      <c r="A352" s="3200"/>
      <c r="C352" s="3201"/>
      <c r="E352" s="3200"/>
    </row>
    <row r="353" spans="1:5" s="1995" customFormat="1">
      <c r="A353" s="3200"/>
      <c r="C353" s="3201"/>
      <c r="E353" s="3200"/>
    </row>
    <row r="354" spans="1:5" s="1995" customFormat="1">
      <c r="A354" s="3200"/>
      <c r="C354" s="3201"/>
      <c r="E354" s="3200"/>
    </row>
    <row r="355" spans="1:5" s="1995" customFormat="1">
      <c r="A355" s="3200"/>
      <c r="C355" s="3201"/>
      <c r="E355" s="3200"/>
    </row>
    <row r="356" spans="1:5" s="1995" customFormat="1">
      <c r="A356" s="3200"/>
      <c r="C356" s="3201"/>
      <c r="E356" s="3200"/>
    </row>
    <row r="357" spans="1:5" s="1995" customFormat="1">
      <c r="A357" s="3200"/>
      <c r="C357" s="3201"/>
      <c r="E357" s="3200"/>
    </row>
    <row r="358" spans="1:5" s="1995" customFormat="1">
      <c r="A358" s="3200"/>
      <c r="C358" s="3201"/>
      <c r="E358" s="3200"/>
    </row>
    <row r="359" spans="1:5" s="1995" customFormat="1">
      <c r="A359" s="3200"/>
      <c r="C359" s="3201"/>
      <c r="E359" s="3200"/>
    </row>
    <row r="360" spans="1:5" s="1995" customFormat="1">
      <c r="A360" s="3200"/>
      <c r="C360" s="3201"/>
      <c r="E360" s="3200"/>
    </row>
    <row r="361" spans="1:5" s="1995" customFormat="1">
      <c r="A361" s="3200"/>
      <c r="C361" s="3201"/>
      <c r="E361" s="3200"/>
    </row>
    <row r="362" spans="1:5" s="1995" customFormat="1">
      <c r="A362" s="3200"/>
      <c r="C362" s="3201"/>
      <c r="E362" s="3200"/>
    </row>
    <row r="363" spans="1:5" s="1995" customFormat="1">
      <c r="A363" s="3200"/>
      <c r="C363" s="3201"/>
      <c r="E363" s="3200"/>
    </row>
    <row r="364" spans="1:5" s="1995" customFormat="1">
      <c r="A364" s="3200"/>
      <c r="C364" s="3201"/>
      <c r="E364" s="3200"/>
    </row>
    <row r="365" spans="1:5" s="1995" customFormat="1">
      <c r="A365" s="3200"/>
      <c r="C365" s="3201"/>
      <c r="E365" s="3200"/>
    </row>
    <row r="366" spans="1:5" s="1995" customFormat="1">
      <c r="A366" s="3200"/>
      <c r="C366" s="3201"/>
      <c r="E366" s="3200"/>
    </row>
    <row r="367" spans="1:5" s="1995" customFormat="1">
      <c r="A367" s="3200"/>
      <c r="C367" s="3201"/>
      <c r="E367" s="3200"/>
    </row>
    <row r="368" spans="1:5" s="1995" customFormat="1">
      <c r="A368" s="3200"/>
      <c r="C368" s="3201"/>
      <c r="E368" s="3200"/>
    </row>
    <row r="369" spans="1:5" s="1995" customFormat="1">
      <c r="A369" s="3200"/>
      <c r="C369" s="3201"/>
      <c r="E369" s="3200"/>
    </row>
    <row r="370" spans="1:5" s="1995" customFormat="1">
      <c r="A370" s="3200"/>
      <c r="C370" s="3201"/>
      <c r="E370" s="3200"/>
    </row>
    <row r="371" spans="1:5" s="1995" customFormat="1">
      <c r="A371" s="3200"/>
      <c r="C371" s="3201"/>
      <c r="E371" s="3200"/>
    </row>
    <row r="372" spans="1:5" s="1995" customFormat="1">
      <c r="A372" s="3200"/>
      <c r="C372" s="3201"/>
      <c r="E372" s="3200"/>
    </row>
    <row r="373" spans="1:5" s="1995" customFormat="1">
      <c r="A373" s="3200"/>
      <c r="C373" s="3201"/>
      <c r="E373" s="3200"/>
    </row>
    <row r="374" spans="1:5" s="1995" customFormat="1">
      <c r="A374" s="3200"/>
      <c r="C374" s="3201"/>
      <c r="E374" s="3200"/>
    </row>
    <row r="375" spans="1:5" s="1995" customFormat="1">
      <c r="A375" s="3200"/>
      <c r="C375" s="3201"/>
      <c r="E375" s="3200"/>
    </row>
    <row r="376" spans="1:5" s="1995" customFormat="1">
      <c r="A376" s="3200"/>
      <c r="C376" s="3201"/>
      <c r="E376" s="3200"/>
    </row>
    <row r="377" spans="1:5" s="1995" customFormat="1">
      <c r="A377" s="3200"/>
      <c r="C377" s="3201"/>
      <c r="E377" s="3200"/>
    </row>
    <row r="378" spans="1:5" s="1995" customFormat="1">
      <c r="A378" s="3200"/>
      <c r="C378" s="3201"/>
      <c r="E378" s="3200"/>
    </row>
    <row r="379" spans="1:5" s="1995" customFormat="1">
      <c r="A379" s="3200"/>
      <c r="C379" s="3201"/>
      <c r="E379" s="3200"/>
    </row>
    <row r="380" spans="1:5" s="1995" customFormat="1">
      <c r="A380" s="3200"/>
      <c r="C380" s="3201"/>
      <c r="E380" s="3200"/>
    </row>
    <row r="381" spans="1:5" s="1995" customFormat="1">
      <c r="A381" s="3200"/>
      <c r="C381" s="3201"/>
      <c r="E381" s="3200"/>
    </row>
    <row r="382" spans="1:5" s="1995" customFormat="1">
      <c r="A382" s="3200"/>
      <c r="C382" s="3201"/>
      <c r="E382" s="3200"/>
    </row>
    <row r="383" spans="1:5" s="1995" customFormat="1">
      <c r="A383" s="3200"/>
      <c r="C383" s="3201"/>
      <c r="E383" s="3200"/>
    </row>
    <row r="384" spans="1:5" s="1995" customFormat="1">
      <c r="A384" s="3200"/>
      <c r="C384" s="3201"/>
      <c r="E384" s="3200"/>
    </row>
    <row r="385" spans="1:5" s="1995" customFormat="1">
      <c r="A385" s="3200"/>
      <c r="C385" s="3201"/>
      <c r="E385" s="3200"/>
    </row>
    <row r="386" spans="1:5" s="1995" customFormat="1">
      <c r="A386" s="3200"/>
      <c r="C386" s="3201"/>
      <c r="E386" s="3200"/>
    </row>
    <row r="387" spans="1:5" s="1995" customFormat="1">
      <c r="A387" s="3200"/>
      <c r="C387" s="3201"/>
      <c r="E387" s="3200"/>
    </row>
    <row r="388" spans="1:5" s="1995" customFormat="1">
      <c r="A388" s="3200"/>
      <c r="C388" s="3201"/>
      <c r="E388" s="3200"/>
    </row>
    <row r="389" spans="1:5" s="1995" customFormat="1">
      <c r="A389" s="3200"/>
      <c r="C389" s="3201"/>
      <c r="E389" s="3200"/>
    </row>
    <row r="390" spans="1:5" s="1995" customFormat="1">
      <c r="A390" s="3200"/>
      <c r="C390" s="3201"/>
      <c r="E390" s="3200"/>
    </row>
    <row r="391" spans="1:5" s="1995" customFormat="1">
      <c r="A391" s="3200"/>
      <c r="C391" s="3201"/>
      <c r="E391" s="3200"/>
    </row>
    <row r="392" spans="1:5" s="1995" customFormat="1">
      <c r="A392" s="3200"/>
      <c r="C392" s="3201"/>
      <c r="E392" s="3200"/>
    </row>
    <row r="393" spans="1:5" s="1995" customFormat="1">
      <c r="A393" s="3200"/>
      <c r="C393" s="3201"/>
      <c r="E393" s="3200"/>
    </row>
    <row r="394" spans="1:5" s="1995" customFormat="1">
      <c r="A394" s="3200"/>
      <c r="C394" s="3201"/>
      <c r="E394" s="3200"/>
    </row>
    <row r="395" spans="1:5" s="1995" customFormat="1">
      <c r="A395" s="3200"/>
      <c r="C395" s="3201"/>
      <c r="E395" s="3200"/>
    </row>
    <row r="396" spans="1:5" s="1995" customFormat="1">
      <c r="A396" s="3200"/>
      <c r="C396" s="3201"/>
      <c r="E396" s="3200"/>
    </row>
    <row r="397" spans="1:5" s="1995" customFormat="1">
      <c r="A397" s="3200"/>
      <c r="C397" s="3201"/>
      <c r="E397" s="3200"/>
    </row>
    <row r="398" spans="1:5" s="1995" customFormat="1">
      <c r="A398" s="3200"/>
      <c r="C398" s="3201"/>
      <c r="E398" s="3200"/>
    </row>
    <row r="399" spans="1:5" s="1995" customFormat="1">
      <c r="A399" s="3200"/>
      <c r="C399" s="3201"/>
      <c r="E399" s="3200"/>
    </row>
    <row r="400" spans="1:5" s="1995" customFormat="1">
      <c r="A400" s="3200"/>
      <c r="C400" s="3201"/>
      <c r="E400" s="3200"/>
    </row>
    <row r="401" spans="1:5" s="1995" customFormat="1">
      <c r="A401" s="3200"/>
      <c r="C401" s="3201"/>
      <c r="E401" s="3200"/>
    </row>
    <row r="402" spans="1:5" s="1995" customFormat="1">
      <c r="A402" s="3200"/>
      <c r="C402" s="3201"/>
      <c r="E402" s="3200"/>
    </row>
    <row r="403" spans="1:5" s="1995" customFormat="1">
      <c r="A403" s="3200"/>
      <c r="C403" s="3201"/>
      <c r="E403" s="3200"/>
    </row>
    <row r="404" spans="1:5" s="1995" customFormat="1">
      <c r="A404" s="3200"/>
      <c r="C404" s="3201"/>
      <c r="E404" s="3200"/>
    </row>
    <row r="405" spans="1:5" s="1995" customFormat="1">
      <c r="A405" s="3200"/>
      <c r="C405" s="3201"/>
      <c r="E405" s="3200"/>
    </row>
    <row r="406" spans="1:5" s="1995" customFormat="1">
      <c r="A406" s="3200"/>
      <c r="C406" s="3201"/>
      <c r="E406" s="3200"/>
    </row>
    <row r="407" spans="1:5" s="1995" customFormat="1">
      <c r="A407" s="3200"/>
      <c r="C407" s="3201"/>
      <c r="E407" s="3200"/>
    </row>
    <row r="408" spans="1:5" s="1995" customFormat="1">
      <c r="A408" s="3200"/>
      <c r="C408" s="3201"/>
      <c r="E408" s="3200"/>
    </row>
    <row r="409" spans="1:5" s="1995" customFormat="1">
      <c r="A409" s="3200"/>
      <c r="C409" s="3201"/>
      <c r="E409" s="3200"/>
    </row>
    <row r="410" spans="1:5" s="1995" customFormat="1">
      <c r="A410" s="3200"/>
      <c r="C410" s="3201"/>
      <c r="E410" s="3200"/>
    </row>
    <row r="411" spans="1:5" s="1995" customFormat="1">
      <c r="A411" s="3200"/>
      <c r="C411" s="3201"/>
      <c r="E411" s="3200"/>
    </row>
    <row r="412" spans="1:5" s="1995" customFormat="1">
      <c r="A412" s="3200"/>
      <c r="C412" s="3201"/>
      <c r="E412" s="3200"/>
    </row>
    <row r="413" spans="1:5" s="1995" customFormat="1">
      <c r="A413" s="3200"/>
      <c r="C413" s="3201"/>
      <c r="E413" s="3200"/>
    </row>
    <row r="414" spans="1:5" s="1995" customFormat="1">
      <c r="A414" s="3200"/>
      <c r="C414" s="3201"/>
      <c r="E414" s="3200"/>
    </row>
    <row r="415" spans="1:5" s="1995" customFormat="1">
      <c r="A415" s="3200"/>
      <c r="C415" s="3201"/>
      <c r="E415" s="3200"/>
    </row>
    <row r="416" spans="1:5" s="1995" customFormat="1">
      <c r="A416" s="3200"/>
      <c r="C416" s="3201"/>
      <c r="E416" s="3200"/>
    </row>
    <row r="417" spans="1:5" s="1995" customFormat="1">
      <c r="A417" s="3200"/>
      <c r="C417" s="3201"/>
      <c r="E417" s="3200"/>
    </row>
    <row r="418" spans="1:5" s="1995" customFormat="1">
      <c r="A418" s="3200"/>
      <c r="C418" s="3201"/>
      <c r="E418" s="3200"/>
    </row>
    <row r="419" spans="1:5" s="1995" customFormat="1">
      <c r="A419" s="3200"/>
      <c r="C419" s="3201"/>
      <c r="E419" s="3200"/>
    </row>
    <row r="420" spans="1:5" s="1995" customFormat="1">
      <c r="A420" s="3200"/>
      <c r="C420" s="3201"/>
      <c r="E420" s="3200"/>
    </row>
    <row r="421" spans="1:5" s="1995" customFormat="1">
      <c r="A421" s="3200"/>
      <c r="C421" s="3201"/>
      <c r="E421" s="3200"/>
    </row>
    <row r="422" spans="1:5" s="1995" customFormat="1">
      <c r="A422" s="3200"/>
      <c r="C422" s="3201"/>
      <c r="E422" s="3200"/>
    </row>
    <row r="423" spans="1:5" s="1995" customFormat="1">
      <c r="A423" s="3200"/>
      <c r="C423" s="3201"/>
      <c r="E423" s="3200"/>
    </row>
    <row r="424" spans="1:5" s="1995" customFormat="1">
      <c r="A424" s="3200"/>
      <c r="C424" s="3201"/>
      <c r="E424" s="3200"/>
    </row>
    <row r="425" spans="1:5" s="1995" customFormat="1">
      <c r="A425" s="3200"/>
      <c r="C425" s="3201"/>
      <c r="E425" s="3200"/>
    </row>
    <row r="426" spans="1:5" s="1995" customFormat="1">
      <c r="A426" s="3200"/>
      <c r="C426" s="3201"/>
      <c r="E426" s="3200"/>
    </row>
    <row r="427" spans="1:5" s="1995" customFormat="1">
      <c r="A427" s="3200"/>
      <c r="C427" s="3201"/>
      <c r="E427" s="3200"/>
    </row>
    <row r="428" spans="1:5" s="1995" customFormat="1">
      <c r="A428" s="3200"/>
      <c r="C428" s="3201"/>
      <c r="E428" s="3200"/>
    </row>
    <row r="429" spans="1:5" s="1995" customFormat="1">
      <c r="A429" s="3200"/>
      <c r="C429" s="3201"/>
      <c r="E429" s="3200"/>
    </row>
    <row r="430" spans="1:5" s="1995" customFormat="1">
      <c r="A430" s="3200"/>
      <c r="C430" s="3201"/>
      <c r="E430" s="3200"/>
    </row>
    <row r="431" spans="1:5" s="1995" customFormat="1">
      <c r="A431" s="3200"/>
      <c r="C431" s="3201"/>
      <c r="E431" s="3200"/>
    </row>
    <row r="432" spans="1:5" s="1995" customFormat="1">
      <c r="A432" s="3200"/>
      <c r="C432" s="3201"/>
      <c r="E432" s="3200"/>
    </row>
    <row r="433" spans="1:5" s="1995" customFormat="1">
      <c r="A433" s="3200"/>
      <c r="C433" s="3201"/>
      <c r="E433" s="3200"/>
    </row>
    <row r="434" spans="1:5" s="1995" customFormat="1">
      <c r="A434" s="3200"/>
      <c r="C434" s="3201"/>
      <c r="E434" s="3200"/>
    </row>
    <row r="435" spans="1:5" s="1995" customFormat="1">
      <c r="A435" s="3200"/>
      <c r="C435" s="3201"/>
      <c r="E435" s="3200"/>
    </row>
    <row r="436" spans="1:5" s="1995" customFormat="1">
      <c r="A436" s="3200"/>
      <c r="C436" s="3201"/>
      <c r="E436" s="3200"/>
    </row>
    <row r="437" spans="1:5" s="1995" customFormat="1">
      <c r="A437" s="3200"/>
      <c r="C437" s="3201"/>
      <c r="E437" s="3200"/>
    </row>
    <row r="438" spans="1:5" s="1995" customFormat="1">
      <c r="A438" s="3200"/>
      <c r="C438" s="3201"/>
      <c r="E438" s="3200"/>
    </row>
    <row r="439" spans="1:5" s="1995" customFormat="1">
      <c r="A439" s="3200"/>
      <c r="C439" s="3201"/>
      <c r="E439" s="3200"/>
    </row>
    <row r="440" spans="1:5" s="1995" customFormat="1">
      <c r="A440" s="3200"/>
      <c r="C440" s="3201"/>
      <c r="E440" s="3200"/>
    </row>
    <row r="441" spans="1:5" s="1995" customFormat="1">
      <c r="A441" s="3200"/>
      <c r="C441" s="3201"/>
      <c r="E441" s="3200"/>
    </row>
    <row r="442" spans="1:5" s="1995" customFormat="1">
      <c r="A442" s="3200"/>
      <c r="C442" s="3201"/>
      <c r="E442" s="3200"/>
    </row>
    <row r="443" spans="1:5" s="1995" customFormat="1">
      <c r="A443" s="3200"/>
      <c r="C443" s="3201"/>
      <c r="E443" s="3200"/>
    </row>
    <row r="444" spans="1:5" s="1995" customFormat="1">
      <c r="A444" s="3200"/>
      <c r="C444" s="3201"/>
      <c r="E444" s="3200"/>
    </row>
    <row r="445" spans="1:5" s="1995" customFormat="1">
      <c r="A445" s="3200"/>
      <c r="C445" s="3201"/>
      <c r="E445" s="3200"/>
    </row>
    <row r="446" spans="1:5" s="1995" customFormat="1">
      <c r="A446" s="3200"/>
      <c r="C446" s="3201"/>
      <c r="E446" s="3200"/>
    </row>
    <row r="447" spans="1:5" s="1995" customFormat="1">
      <c r="A447" s="3200"/>
      <c r="C447" s="3201"/>
      <c r="E447" s="3200"/>
    </row>
    <row r="448" spans="1:5" s="1995" customFormat="1">
      <c r="A448" s="3200"/>
      <c r="C448" s="3201"/>
      <c r="E448" s="3200"/>
    </row>
    <row r="449" spans="1:5" s="1995" customFormat="1">
      <c r="A449" s="3200"/>
      <c r="C449" s="3201"/>
      <c r="E449" s="3200"/>
    </row>
    <row r="450" spans="1:5" s="1995" customFormat="1">
      <c r="A450" s="3200"/>
      <c r="C450" s="3201"/>
      <c r="E450" s="3200"/>
    </row>
    <row r="451" spans="1:5" s="1995" customFormat="1">
      <c r="A451" s="3200"/>
      <c r="C451" s="3201"/>
      <c r="E451" s="3200"/>
    </row>
    <row r="452" spans="1:5" s="1995" customFormat="1">
      <c r="A452" s="3200"/>
      <c r="C452" s="3201"/>
      <c r="E452" s="3200"/>
    </row>
    <row r="453" spans="1:5" s="1995" customFormat="1">
      <c r="A453" s="3200"/>
      <c r="C453" s="3201"/>
      <c r="E453" s="3200"/>
    </row>
    <row r="454" spans="1:5" s="1995" customFormat="1">
      <c r="A454" s="3200"/>
      <c r="C454" s="3201"/>
      <c r="E454" s="3200"/>
    </row>
    <row r="455" spans="1:5" s="1995" customFormat="1">
      <c r="A455" s="3200"/>
      <c r="C455" s="3201"/>
      <c r="E455" s="3200"/>
    </row>
    <row r="456" spans="1:5" s="1995" customFormat="1">
      <c r="A456" s="3200"/>
      <c r="C456" s="3201"/>
      <c r="E456" s="3200"/>
    </row>
    <row r="457" spans="1:5" s="1995" customFormat="1">
      <c r="A457" s="3200"/>
      <c r="C457" s="3201"/>
      <c r="E457" s="3200"/>
    </row>
    <row r="458" spans="1:5" s="1995" customFormat="1">
      <c r="A458" s="3200"/>
      <c r="C458" s="3201"/>
      <c r="E458" s="3200"/>
    </row>
    <row r="459" spans="1:5" s="1995" customFormat="1">
      <c r="A459" s="3200"/>
      <c r="C459" s="3201"/>
      <c r="E459" s="3200"/>
    </row>
    <row r="460" spans="1:5" s="1995" customFormat="1">
      <c r="A460" s="3200"/>
      <c r="C460" s="3201"/>
      <c r="E460" s="3200"/>
    </row>
    <row r="461" spans="1:5" s="1995" customFormat="1">
      <c r="A461" s="3200"/>
      <c r="C461" s="3201"/>
      <c r="E461" s="3200"/>
    </row>
    <row r="462" spans="1:5" s="1995" customFormat="1">
      <c r="A462" s="3200"/>
      <c r="C462" s="3201"/>
      <c r="E462" s="3200"/>
    </row>
    <row r="463" spans="1:5" s="1995" customFormat="1">
      <c r="A463" s="3200"/>
      <c r="C463" s="3201"/>
      <c r="E463" s="3200"/>
    </row>
    <row r="464" spans="1:5" s="1995" customFormat="1">
      <c r="A464" s="3200"/>
      <c r="C464" s="3201"/>
      <c r="E464" s="3200"/>
    </row>
    <row r="465" spans="1:5" s="1995" customFormat="1">
      <c r="A465" s="3200"/>
      <c r="C465" s="3201"/>
      <c r="E465" s="3200"/>
    </row>
    <row r="466" spans="1:5" s="1995" customFormat="1">
      <c r="A466" s="3200"/>
      <c r="C466" s="3201"/>
      <c r="E466" s="3200"/>
    </row>
    <row r="467" spans="1:5" s="1995" customFormat="1">
      <c r="A467" s="3200"/>
      <c r="C467" s="3201"/>
      <c r="E467" s="3200"/>
    </row>
    <row r="468" spans="1:5" s="1995" customFormat="1">
      <c r="A468" s="3200"/>
      <c r="C468" s="3201"/>
      <c r="E468" s="3200"/>
    </row>
    <row r="469" spans="1:5" s="1995" customFormat="1">
      <c r="A469" s="3200"/>
      <c r="C469" s="3201"/>
      <c r="E469" s="3200"/>
    </row>
    <row r="470" spans="1:5" s="1995" customFormat="1">
      <c r="A470" s="3200"/>
      <c r="C470" s="3201"/>
      <c r="E470" s="3200"/>
    </row>
    <row r="471" spans="1:5" s="1995" customFormat="1">
      <c r="A471" s="3200"/>
      <c r="C471" s="3201"/>
      <c r="E471" s="3200"/>
    </row>
    <row r="472" spans="1:5" s="1995" customFormat="1">
      <c r="A472" s="3200"/>
      <c r="C472" s="3201"/>
      <c r="E472" s="3200"/>
    </row>
    <row r="473" spans="1:5" s="1995" customFormat="1">
      <c r="A473" s="3200"/>
      <c r="C473" s="3201"/>
      <c r="E473" s="3200"/>
    </row>
    <row r="474" spans="1:5" s="1995" customFormat="1">
      <c r="A474" s="3200"/>
      <c r="C474" s="3201"/>
      <c r="E474" s="3200"/>
    </row>
    <row r="475" spans="1:5" s="1995" customFormat="1">
      <c r="A475" s="3200"/>
      <c r="C475" s="3201"/>
      <c r="E475" s="3200"/>
    </row>
    <row r="476" spans="1:5" s="1995" customFormat="1">
      <c r="A476" s="3200"/>
      <c r="C476" s="3201"/>
      <c r="E476" s="3200"/>
    </row>
    <row r="477" spans="1:5" s="1995" customFormat="1">
      <c r="A477" s="3200"/>
      <c r="C477" s="3201"/>
      <c r="E477" s="3200"/>
    </row>
    <row r="478" spans="1:5" s="1995" customFormat="1">
      <c r="A478" s="3200"/>
      <c r="C478" s="3201"/>
      <c r="E478" s="3200"/>
    </row>
    <row r="479" spans="1:5" s="1995" customFormat="1">
      <c r="A479" s="3200"/>
      <c r="C479" s="3201"/>
      <c r="E479" s="3200"/>
    </row>
    <row r="480" spans="1:5" s="1995" customFormat="1">
      <c r="A480" s="3200"/>
      <c r="C480" s="3201"/>
      <c r="E480" s="3200"/>
    </row>
    <row r="481" spans="1:5" s="1995" customFormat="1">
      <c r="A481" s="3200"/>
      <c r="C481" s="3201"/>
      <c r="E481" s="3200"/>
    </row>
    <row r="482" spans="1:5" s="1995" customFormat="1">
      <c r="A482" s="3200"/>
      <c r="C482" s="3201"/>
      <c r="E482" s="3200"/>
    </row>
    <row r="483" spans="1:5" s="1995" customFormat="1">
      <c r="A483" s="3200"/>
      <c r="C483" s="3201"/>
      <c r="E483" s="3200"/>
    </row>
    <row r="484" spans="1:5" s="1995" customFormat="1">
      <c r="A484" s="3200"/>
      <c r="C484" s="3201"/>
      <c r="E484" s="3200"/>
    </row>
    <row r="485" spans="1:5" s="1995" customFormat="1">
      <c r="A485" s="3200"/>
      <c r="C485" s="3201"/>
      <c r="E485" s="3200"/>
    </row>
    <row r="486" spans="1:5" s="1995" customFormat="1">
      <c r="A486" s="3200"/>
      <c r="C486" s="3201"/>
      <c r="E486" s="3200"/>
    </row>
    <row r="487" spans="1:5" s="1995" customFormat="1">
      <c r="A487" s="3200"/>
      <c r="C487" s="3201"/>
      <c r="E487" s="3200"/>
    </row>
    <row r="488" spans="1:5" s="1995" customFormat="1">
      <c r="A488" s="3200"/>
      <c r="C488" s="3201"/>
      <c r="E488" s="3200"/>
    </row>
    <row r="489" spans="1:5" s="1995" customFormat="1">
      <c r="A489" s="3200"/>
      <c r="C489" s="3201"/>
      <c r="E489" s="3200"/>
    </row>
    <row r="490" spans="1:5" s="1995" customFormat="1">
      <c r="A490" s="3200"/>
      <c r="C490" s="3201"/>
      <c r="E490" s="3200"/>
    </row>
  </sheetData>
  <sheetProtection password="CEE9"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F6" sqref="F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3519</v>
      </c>
      <c r="D1" s="2795" t="s">
        <v>943</v>
      </c>
      <c r="E1" s="2240" t="s">
        <v>862</v>
      </c>
      <c r="F1" s="2241">
        <f ca="1">J53</f>
        <v>40</v>
      </c>
      <c r="G1" s="3254">
        <f>MATCH(C1,'数据-取费表'!A6:A16,0)+5</f>
        <v>12</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623</v>
      </c>
      <c r="B2" s="764">
        <f ca="1">C40+J29+L46</f>
        <v>69</v>
      </c>
      <c r="C2" s="3259"/>
      <c r="D2" s="3260"/>
      <c r="E2" s="3261"/>
      <c r="F2" s="3261"/>
      <c r="G2" s="3255"/>
      <c r="H2" s="1938"/>
      <c r="I2" s="1938"/>
      <c r="J2" s="1938"/>
      <c r="K2" s="1939"/>
      <c r="L2" s="1938"/>
      <c r="M2" s="1938"/>
    </row>
    <row r="3" spans="1:33" ht="18" customHeight="1" thickBot="1">
      <c r="A3" s="821" t="s">
        <v>513</v>
      </c>
      <c r="B3" s="822">
        <f ca="1">IF(ISERROR(B2*10000/F43),0,ROUND(B2*10000/F43,0))</f>
        <v>0</v>
      </c>
      <c r="C3" s="3259"/>
      <c r="D3" s="3260"/>
      <c r="E3" s="3261"/>
      <c r="F3" s="3261"/>
      <c r="G3" s="3255"/>
      <c r="H3" s="765" t="s">
        <v>689</v>
      </c>
      <c r="I3" s="1314"/>
      <c r="J3" s="1314"/>
      <c r="K3" s="1524"/>
      <c r="L3" s="1314"/>
      <c r="M3" s="1314"/>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2439</v>
      </c>
      <c r="C5" s="55">
        <f ca="1">C6+C10+C12</f>
        <v>4</v>
      </c>
      <c r="D5" s="2347" t="s">
        <v>2442</v>
      </c>
      <c r="E5" s="2341"/>
      <c r="F5" s="2342"/>
      <c r="G5" s="1943"/>
      <c r="H5" s="770">
        <v>1</v>
      </c>
      <c r="I5" s="771" t="s">
        <v>2439</v>
      </c>
      <c r="J5" s="55">
        <f ca="1">J6+J10+J12</f>
        <v>0</v>
      </c>
      <c r="K5" s="2347" t="s">
        <v>2442</v>
      </c>
      <c r="L5" s="2341"/>
      <c r="M5" s="2342"/>
    </row>
    <row r="6" spans="1:33" ht="18" customHeight="1">
      <c r="A6" s="1743" t="s">
        <v>1814</v>
      </c>
      <c r="B6" s="3713" t="s">
        <v>2444</v>
      </c>
      <c r="C6" s="772">
        <f ca="1">ROUND(F6*F8*F7*(1-F9)/10000,0)</f>
        <v>4</v>
      </c>
      <c r="D6" s="2348" t="s">
        <v>2443</v>
      </c>
      <c r="E6" s="773" t="s">
        <v>631</v>
      </c>
      <c r="F6" s="774">
        <f ca="1">INDIRECT("'数据-取费表'!u"&amp;$G$1)</f>
        <v>300</v>
      </c>
      <c r="G6" s="1943"/>
      <c r="H6" s="2355" t="s">
        <v>1814</v>
      </c>
      <c r="I6" s="3713" t="s">
        <v>2444</v>
      </c>
      <c r="J6" s="772">
        <f ca="1">ROUND(M6*M8*M7*(1-M9)/10000,0)</f>
        <v>0</v>
      </c>
      <c r="K6" s="338" t="s">
        <v>630</v>
      </c>
      <c r="L6" s="773" t="s">
        <v>631</v>
      </c>
      <c r="M6" s="774">
        <f ca="1">INDIRECT("'数据-取费表'!z"&amp;$G$1)</f>
        <v>0</v>
      </c>
    </row>
    <row r="7" spans="1:33" ht="18" customHeight="1">
      <c r="A7" s="2351"/>
      <c r="B7" s="3714"/>
      <c r="C7" s="777"/>
      <c r="D7" s="778"/>
      <c r="E7" s="773" t="s">
        <v>632</v>
      </c>
      <c r="F7" s="774">
        <f ca="1">IF(INDIRECT("'数据-取费表'!ah"&amp;$G$1)="",INDIRECT("'数据-取费表'!k"&amp;$G$1),INDIRECT("'数据-取费表'!ah"&amp;$G$1))</f>
        <v>12</v>
      </c>
      <c r="G7" s="1943"/>
      <c r="H7" s="2340"/>
      <c r="I7" s="3714"/>
      <c r="J7" s="777"/>
      <c r="K7" s="778"/>
      <c r="L7" s="773" t="s">
        <v>632</v>
      </c>
      <c r="M7" s="774">
        <f ca="1">F7</f>
        <v>12</v>
      </c>
    </row>
    <row r="8" spans="1:33" ht="18" customHeight="1">
      <c r="A8" s="2344"/>
      <c r="B8" s="3715"/>
      <c r="C8" s="777"/>
      <c r="D8" s="778"/>
      <c r="E8" s="773" t="s">
        <v>633</v>
      </c>
      <c r="F8" s="774">
        <f ca="1">INDIRECT("'数据-取费表'!ai"&amp;$G$1)</f>
        <v>12</v>
      </c>
      <c r="G8" s="1943"/>
      <c r="H8" s="2340"/>
      <c r="I8" s="3715"/>
      <c r="J8" s="777"/>
      <c r="K8" s="778"/>
      <c r="L8" s="773" t="s">
        <v>633</v>
      </c>
      <c r="M8" s="774">
        <f ca="1">INDIRECT("'数据-取费表'!ai"&amp;$G$1)</f>
        <v>12</v>
      </c>
    </row>
    <row r="9" spans="1:33" ht="18" customHeight="1">
      <c r="A9" s="775"/>
      <c r="B9" s="3716"/>
      <c r="C9" s="777"/>
      <c r="D9" s="778"/>
      <c r="E9" s="773" t="s">
        <v>634</v>
      </c>
      <c r="F9" s="783">
        <f ca="1">INDIRECT("'数据-取费表'!w"&amp;$G$1)</f>
        <v>0.15</v>
      </c>
      <c r="G9" s="1943"/>
      <c r="H9" s="2356"/>
      <c r="I9" s="3715"/>
      <c r="J9" s="777"/>
      <c r="K9" s="778"/>
      <c r="L9" s="784" t="s">
        <v>634</v>
      </c>
      <c r="M9" s="785">
        <f ca="1">INDIRECT("'数据-取费表'!ab"&amp;$G$1)</f>
        <v>0</v>
      </c>
    </row>
    <row r="10" spans="1:33" ht="18" customHeight="1">
      <c r="A10" s="1743" t="s">
        <v>1815</v>
      </c>
      <c r="B10" s="2345" t="s">
        <v>2440</v>
      </c>
      <c r="C10" s="788">
        <f ca="1">ROUND(IF(F10="押一",C6/12*F11,IF(F10="押二",C6/12*2*F11,IF(F10="押三",C6/12*3*F11,C11*F11))),0)</f>
        <v>0</v>
      </c>
      <c r="D10" s="2352" t="s">
        <v>2927</v>
      </c>
      <c r="E10" s="2349" t="s">
        <v>2445</v>
      </c>
      <c r="F10" s="2462" t="s">
        <v>3350</v>
      </c>
      <c r="G10" s="1943"/>
      <c r="H10" s="2411" t="s">
        <v>1815</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2448</v>
      </c>
      <c r="I12" s="2414" t="s">
        <v>2441</v>
      </c>
      <c r="J12" s="2415"/>
      <c r="K12" s="2390"/>
      <c r="L12" s="2391"/>
      <c r="M12" s="2404"/>
    </row>
    <row r="13" spans="1:33" ht="18" customHeight="1" thickTop="1">
      <c r="A13" s="1742">
        <v>2</v>
      </c>
      <c r="B13" s="1740" t="s">
        <v>638</v>
      </c>
      <c r="C13" s="781">
        <f ca="1">ROUND(C29*F13,0)</f>
        <v>0</v>
      </c>
      <c r="D13" s="1747" t="s">
        <v>2284</v>
      </c>
      <c r="E13" s="1747" t="s">
        <v>637</v>
      </c>
      <c r="F13" s="2386">
        <f ca="1">INDIRECT("'数据-取费表'!y"&amp;$G$1)</f>
        <v>1</v>
      </c>
      <c r="G13" s="1943"/>
      <c r="H13" s="1742">
        <v>2</v>
      </c>
      <c r="I13" s="1740" t="s">
        <v>638</v>
      </c>
      <c r="J13" s="1732">
        <f ca="1">ROUND(J14*J15,0)</f>
        <v>0</v>
      </c>
      <c r="K13" s="1734" t="s">
        <v>636</v>
      </c>
      <c r="L13" s="2402"/>
      <c r="M13" s="2403"/>
    </row>
    <row r="14" spans="1:33" ht="18" customHeight="1">
      <c r="A14" s="1575" t="s">
        <v>1821</v>
      </c>
      <c r="B14" s="773" t="s">
        <v>639</v>
      </c>
      <c r="C14" s="793">
        <f ca="1">INDIRECT("'数据-取费表'!m"&amp;$G$1)+INDIRECT("'数据-取费表'!t"&amp;$G$1)</f>
        <v>0</v>
      </c>
      <c r="D14" s="3401" t="s">
        <v>640</v>
      </c>
      <c r="E14" s="3400"/>
      <c r="F14" s="794"/>
      <c r="G14" s="1943"/>
      <c r="H14" s="1576" t="s">
        <v>1814</v>
      </c>
      <c r="I14" s="2109" t="s">
        <v>2797</v>
      </c>
      <c r="J14" s="53">
        <f ca="1">C29</f>
        <v>0</v>
      </c>
      <c r="K14" s="26"/>
      <c r="L14" s="790"/>
      <c r="M14" s="791"/>
    </row>
    <row r="15" spans="1:33" s="1945" customFormat="1" ht="18" customHeight="1" thickBot="1">
      <c r="A15" s="1575" t="s">
        <v>1822</v>
      </c>
      <c r="B15" s="773" t="s">
        <v>641</v>
      </c>
      <c r="C15" s="53">
        <f ca="1">ROUND(C14*F15,0)</f>
        <v>0</v>
      </c>
      <c r="D15" s="795" t="s">
        <v>642</v>
      </c>
      <c r="E15" s="795" t="s">
        <v>643</v>
      </c>
      <c r="F15" s="796">
        <f>'数据-取费表'!B33</f>
        <v>0.05</v>
      </c>
      <c r="G15" s="3256"/>
      <c r="H15" s="2401" t="s">
        <v>1879</v>
      </c>
      <c r="I15" s="2396" t="s">
        <v>637</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1823</v>
      </c>
      <c r="B16" s="773" t="s">
        <v>644</v>
      </c>
      <c r="C16" s="53">
        <f ca="1">ROUND(INDIRECT("'数据-取费表'!m"&amp;$G$1)*F16,0)</f>
        <v>0</v>
      </c>
      <c r="D16" s="773" t="s">
        <v>642</v>
      </c>
      <c r="E16" s="773" t="s">
        <v>643</v>
      </c>
      <c r="F16" s="798">
        <f ca="1">IF(INDIRECT("'数据-取费表'!c"&amp;$G$1)="住宅",'数据-取费表'!B34,0)</f>
        <v>0</v>
      </c>
      <c r="G16" s="1943"/>
      <c r="H16" s="1742" t="s">
        <v>7</v>
      </c>
      <c r="I16" s="1740" t="s">
        <v>645</v>
      </c>
      <c r="J16" s="781">
        <f ca="1">ROUND(J17+J22+J23+J24,0)</f>
        <v>0</v>
      </c>
      <c r="K16" s="1734" t="s">
        <v>646</v>
      </c>
      <c r="L16" s="3403"/>
      <c r="M16" s="2342"/>
    </row>
    <row r="17" spans="1:33" s="1945" customFormat="1" ht="18" customHeight="1">
      <c r="A17" s="1575" t="s">
        <v>1877</v>
      </c>
      <c r="B17" s="773" t="s">
        <v>647</v>
      </c>
      <c r="C17" s="53">
        <f ca="1">ROUND(F17*(F43+INDIRECT("'数据-取费表'!S"&amp;$G$1))/10000,0)</f>
        <v>0</v>
      </c>
      <c r="D17" s="773" t="s">
        <v>648</v>
      </c>
      <c r="E17" s="773" t="s">
        <v>649</v>
      </c>
      <c r="F17" s="56">
        <f>'数据-取费表'!B35</f>
        <v>350</v>
      </c>
      <c r="G17" s="3256"/>
      <c r="H17" s="1576" t="s">
        <v>1814</v>
      </c>
      <c r="I17" s="773" t="s">
        <v>650</v>
      </c>
      <c r="J17" s="3016">
        <f ca="1">ROUND(IF(AND(项目基本情况!B11="自然人",项目基本情况!B10="北京市"),J6*M17/(1+'数据-取费表'!C42),J18+J19+J20),0)</f>
        <v>0</v>
      </c>
      <c r="K17" s="3401" t="s">
        <v>651</v>
      </c>
      <c r="L17" s="3402" t="s">
        <v>652</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642</v>
      </c>
      <c r="E18" s="773" t="s">
        <v>643</v>
      </c>
      <c r="F18" s="798">
        <f>'数据-取费表'!B36</f>
        <v>1.4999999999999999E-2</v>
      </c>
      <c r="G18" s="3256"/>
      <c r="H18" s="1575" t="s">
        <v>1821</v>
      </c>
      <c r="I18" s="773" t="s">
        <v>654</v>
      </c>
      <c r="J18" s="53">
        <f ca="1">ROUND(J6*M18/(1+'数据-取费表'!C42),1)</f>
        <v>0</v>
      </c>
      <c r="K18" s="3402" t="s">
        <v>655</v>
      </c>
      <c r="L18" s="773" t="s">
        <v>643</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1814</v>
      </c>
      <c r="B19" s="773" t="s">
        <v>656</v>
      </c>
      <c r="C19" s="53">
        <f ca="1">SUM(C14:C18)</f>
        <v>0</v>
      </c>
      <c r="D19" s="258" t="s">
        <v>657</v>
      </c>
      <c r="E19" s="3398"/>
      <c r="F19" s="56"/>
      <c r="G19" s="1943"/>
      <c r="H19" s="1575" t="s">
        <v>1822</v>
      </c>
      <c r="I19" s="773" t="s">
        <v>658</v>
      </c>
      <c r="J19" s="53">
        <f ca="1">IF(K19="按租金收入计税",ROUND(J6*M19/(1+'数据-取费表'!C42),1),ROUND(C29*F33*0.7,1))</f>
        <v>0</v>
      </c>
      <c r="K19" s="799" t="s">
        <v>659</v>
      </c>
      <c r="L19" s="773" t="s">
        <v>643</v>
      </c>
      <c r="M19" s="798">
        <f>IF(K19="按租金收入计税",'数据-取费表'!B51,'数据-取费表'!B50)</f>
        <v>1.2E-2</v>
      </c>
    </row>
    <row r="20" spans="1:33" s="1945" customFormat="1" ht="18" customHeight="1">
      <c r="A20" s="1576" t="s">
        <v>1879</v>
      </c>
      <c r="B20" s="773" t="s">
        <v>660</v>
      </c>
      <c r="C20" s="53">
        <f ca="1">ROUND(C19*F20,0)</f>
        <v>0</v>
      </c>
      <c r="D20" s="800" t="s">
        <v>661</v>
      </c>
      <c r="E20" s="773" t="s">
        <v>643</v>
      </c>
      <c r="F20" s="798">
        <f>'数据-取费表'!B37</f>
        <v>0.01</v>
      </c>
      <c r="G20" s="3256"/>
      <c r="H20" s="1578" t="s">
        <v>1823</v>
      </c>
      <c r="I20" s="338" t="s">
        <v>662</v>
      </c>
      <c r="J20" s="54">
        <f ca="1">ROUND(M20*M21/10000,0)</f>
        <v>0</v>
      </c>
      <c r="K20" s="802" t="s">
        <v>663</v>
      </c>
      <c r="L20" s="773" t="s">
        <v>664</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665</v>
      </c>
      <c r="C21" s="53" t="s">
        <v>1</v>
      </c>
      <c r="D21" s="800" t="s">
        <v>2285</v>
      </c>
      <c r="E21" s="773" t="s">
        <v>667</v>
      </c>
      <c r="F21" s="798">
        <f>'数据-取费表'!B38</f>
        <v>0.01</v>
      </c>
      <c r="G21" s="3256"/>
      <c r="H21" s="2357"/>
      <c r="I21" s="782"/>
      <c r="J21" s="69"/>
      <c r="K21" s="804"/>
      <c r="L21" s="773" t="s">
        <v>668</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669</v>
      </c>
      <c r="C22" s="53"/>
      <c r="D22" s="2421" t="str">
        <f>IF(F23&lt;=1,"单利计息。","复利计息。")&amp;"建造成本、管理费用、销售费用产生的利息。"</f>
        <v>复利计息。建造成本、管理费用、销售费用产生的利息。</v>
      </c>
      <c r="E22" s="3398"/>
      <c r="F22" s="56"/>
      <c r="G22" s="1943"/>
      <c r="H22" s="1576" t="s">
        <v>1879</v>
      </c>
      <c r="I22" s="773" t="s">
        <v>670</v>
      </c>
      <c r="J22" s="53">
        <f ca="1">ROUND(J14*M22,0)</f>
        <v>0</v>
      </c>
      <c r="K22" s="3402" t="s">
        <v>671</v>
      </c>
      <c r="L22" s="773" t="s">
        <v>643</v>
      </c>
      <c r="M22" s="805">
        <f ca="1">INDIRECT("'数据-取费表'!Ak"&amp;$G$1)</f>
        <v>0.01</v>
      </c>
    </row>
    <row r="23" spans="1:33" s="1945" customFormat="1" ht="18" customHeight="1">
      <c r="A23" s="1575" t="s">
        <v>1821</v>
      </c>
      <c r="B23" s="773" t="s">
        <v>2420</v>
      </c>
      <c r="C23" s="53">
        <f ca="1">ROUND(IF('数据-取费表'!B22&lt;=1,(C19+C20)*F24*F23/2,(C19+C20)*(POWER((1+F24),F23/2)-1)),0)</f>
        <v>0</v>
      </c>
      <c r="D23" s="2420" t="str">
        <f>IF(F23&lt;=1,"(建造成本+管理费用)×利率×(建设周期÷2)","(建造成本+管理费用)×((1+利率)^(建设周期÷2)-1)")</f>
        <v>(建造成本+管理费用)×((1+利率)^(建设周期÷2)-1)</v>
      </c>
      <c r="E23" s="773" t="s">
        <v>672</v>
      </c>
      <c r="F23" s="631">
        <f>'数据-取费表'!B20</f>
        <v>1.5</v>
      </c>
      <c r="G23" s="3256"/>
      <c r="H23" s="1576" t="s">
        <v>1880</v>
      </c>
      <c r="I23" s="773" t="s">
        <v>673</v>
      </c>
      <c r="J23" s="53">
        <f ca="1">ROUND(J13*M23,0)</f>
        <v>0</v>
      </c>
      <c r="K23" s="3402" t="s">
        <v>674</v>
      </c>
      <c r="L23" s="773" t="s">
        <v>643</v>
      </c>
      <c r="M23" s="806">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675</v>
      </c>
      <c r="C24" s="53">
        <f ca="1">ROUND(IF('数据-取费表'!B22&lt;=1,F21*F24*F23/2,F21*(POWER((1+F24),F23/2)-1)),4)</f>
        <v>4.0000000000000002E-4</v>
      </c>
      <c r="D24" s="2420" t="str">
        <f>IF(F23&lt;=1,"销售费用×利率×(建设周期÷2)","销售费用×((1+利率)^(建设周期÷2)-1)")</f>
        <v>销售费用×((1+利率)^(建设周期÷2)-1)</v>
      </c>
      <c r="E24" s="773" t="s">
        <v>676</v>
      </c>
      <c r="F24" s="807">
        <f ca="1">'数据-取费表'!B40</f>
        <v>4.7500000000000001E-2</v>
      </c>
      <c r="G24" s="3256"/>
      <c r="H24" s="2401" t="s">
        <v>1881</v>
      </c>
      <c r="I24" s="2396" t="s">
        <v>660</v>
      </c>
      <c r="J24" s="2394">
        <f ca="1">ROUND(J5*M24,0)</f>
        <v>0</v>
      </c>
      <c r="K24" s="2395" t="s">
        <v>677</v>
      </c>
      <c r="L24" s="2396" t="s">
        <v>643</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679</v>
      </c>
      <c r="E25" s="3398"/>
      <c r="F25" s="56"/>
      <c r="G25" s="1943"/>
      <c r="H25" s="1742" t="s">
        <v>1766</v>
      </c>
      <c r="I25" s="2720" t="s">
        <v>2794</v>
      </c>
      <c r="J25" s="781">
        <f ca="1">J5-J16</f>
        <v>0</v>
      </c>
      <c r="K25" s="2398" t="s">
        <v>694</v>
      </c>
      <c r="L25" s="2399"/>
      <c r="M25" s="2400"/>
    </row>
    <row r="26" spans="1:33" ht="18" customHeight="1">
      <c r="A26" s="1575" t="s">
        <v>1821</v>
      </c>
      <c r="B26" s="773" t="s">
        <v>2421</v>
      </c>
      <c r="C26" s="53">
        <f ca="1">ROUND((C19+C20)*F26,0)</f>
        <v>0</v>
      </c>
      <c r="D26" s="800" t="s">
        <v>695</v>
      </c>
      <c r="E26" s="784" t="s">
        <v>696</v>
      </c>
      <c r="F26" s="783">
        <f ca="1">INDIRECT("'数据-取费表'!q"&amp;$G$1)</f>
        <v>0.1</v>
      </c>
      <c r="G26" s="1943"/>
      <c r="H26" s="2353" t="s">
        <v>1770</v>
      </c>
      <c r="I26" s="2110" t="s">
        <v>2799</v>
      </c>
      <c r="J26" s="772">
        <f ca="1">IF(J5&lt;&gt;0,ROUND(J25*(1-((1+M28)/(1+M26))^M27)/(M26-M28),0),0)</f>
        <v>0</v>
      </c>
      <c r="K26" s="802" t="s">
        <v>698</v>
      </c>
      <c r="L26" s="773" t="s">
        <v>2403</v>
      </c>
      <c r="M26" s="783">
        <f ca="1">INDIRECT("'数据-取费表'!I"&amp;$G$1)</f>
        <v>0.05</v>
      </c>
    </row>
    <row r="27" spans="1:33" ht="18" customHeight="1">
      <c r="A27" s="1575" t="s">
        <v>1822</v>
      </c>
      <c r="B27" s="773" t="s">
        <v>680</v>
      </c>
      <c r="C27" s="53">
        <f ca="1">ROUND(F21*F26,4)</f>
        <v>1E-3</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1831</v>
      </c>
      <c r="B28" s="773" t="s">
        <v>681</v>
      </c>
      <c r="C28" s="53">
        <f>ROUND(F28/(1+'数据-取费表'!C42),4)</f>
        <v>5.2400000000000002E-2</v>
      </c>
      <c r="D28" s="800" t="s">
        <v>2286</v>
      </c>
      <c r="E28" s="773" t="s">
        <v>643</v>
      </c>
      <c r="F28" s="798">
        <f>'数据-取费表'!B41</f>
        <v>5.5000000000000007E-2</v>
      </c>
      <c r="G28" s="3256"/>
      <c r="H28" s="1742"/>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682</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7</v>
      </c>
      <c r="B30" s="1740" t="s">
        <v>645</v>
      </c>
      <c r="C30" s="781">
        <f ca="1">ROUND(C31+C36+C37+C38,0)</f>
        <v>0</v>
      </c>
      <c r="D30" s="1734" t="s">
        <v>646</v>
      </c>
      <c r="E30" s="3403"/>
      <c r="F30" s="2342"/>
      <c r="G30" s="1943"/>
      <c r="H30" s="1946"/>
      <c r="I30" s="1947"/>
      <c r="J30" s="1948"/>
      <c r="K30" s="1949"/>
      <c r="L30" s="1950"/>
      <c r="M30" s="1951"/>
    </row>
    <row r="31" spans="1:33" ht="18" customHeight="1">
      <c r="A31" s="1576" t="s">
        <v>1814</v>
      </c>
      <c r="B31" s="773" t="s">
        <v>650</v>
      </c>
      <c r="C31" s="3016">
        <f ca="1">ROUND(IF(AND(项目基本情况!B11="自然人",项目基本情况!B10="北京市"),C6*F31/(1+'数据-取费表'!C42),C32+C33+C34),0)</f>
        <v>0</v>
      </c>
      <c r="D31" s="3401" t="s">
        <v>651</v>
      </c>
      <c r="E31" s="3402" t="s">
        <v>684</v>
      </c>
      <c r="F31" s="3015" t="str">
        <f>IF(项目基本情况!B11="企业","——",IF('数据-取费表'!B10="住宅",IF(F6*F7*F8/12/(1+'数据-取费表'!F30)&gt;100000,4%,2.5%),IF(F6*F7*F8/12/(1+'数据-取费表'!F30)&gt;100000,12%,7%)))</f>
        <v>——</v>
      </c>
      <c r="G31" s="1943"/>
      <c r="H31" s="3253" t="s">
        <v>2981</v>
      </c>
      <c r="I31" s="1947"/>
      <c r="J31" s="1948"/>
      <c r="K31" s="1949"/>
      <c r="L31" s="1950"/>
      <c r="M31" s="1951"/>
    </row>
    <row r="32" spans="1:33" ht="18" customHeight="1">
      <c r="A32" s="1575" t="s">
        <v>1821</v>
      </c>
      <c r="B32" s="773" t="s">
        <v>654</v>
      </c>
      <c r="C32" s="53">
        <v>0</v>
      </c>
      <c r="D32" s="3402" t="s">
        <v>655</v>
      </c>
      <c r="E32" s="773" t="s">
        <v>643</v>
      </c>
      <c r="F32" s="798">
        <f>'数据-取费表'!B41</f>
        <v>5.5000000000000007E-2</v>
      </c>
      <c r="G32" s="1943"/>
      <c r="H32" s="1952"/>
      <c r="I32" s="1953"/>
      <c r="J32" s="1954"/>
      <c r="K32" s="1955"/>
      <c r="L32" s="1956"/>
      <c r="M32" s="1957"/>
    </row>
    <row r="33" spans="1:18" ht="18" customHeight="1">
      <c r="A33" s="1575" t="s">
        <v>1822</v>
      </c>
      <c r="B33" s="773" t="s">
        <v>658</v>
      </c>
      <c r="C33" s="53">
        <f ca="1">IF(D33="按租金收入计税",ROUND(C6*F33/(1+'数据-取费表'!C42),1),IF(D33="按房产原值计税",ROUND(C29*F33*0.7,1),INDIRECT("'数据-取费表'!Aj"&amp;$G$1)))</f>
        <v>0</v>
      </c>
      <c r="D33" s="799" t="s">
        <v>3349</v>
      </c>
      <c r="E33" s="773" t="s">
        <v>643</v>
      </c>
      <c r="F33" s="798">
        <f>IF(D33="按租金收入计税",'数据-取费表'!B51,'数据-取费表'!B50)</f>
        <v>1.2E-2</v>
      </c>
      <c r="G33" s="1943"/>
      <c r="H33" s="1958"/>
      <c r="I33" s="1958"/>
      <c r="J33" s="1958"/>
      <c r="K33" s="1959"/>
      <c r="L33" s="1958"/>
      <c r="M33" s="1958"/>
    </row>
    <row r="34" spans="1:18" ht="18" customHeight="1">
      <c r="A34" s="1578" t="s">
        <v>1823</v>
      </c>
      <c r="B34" s="338" t="s">
        <v>662</v>
      </c>
      <c r="C34" s="54">
        <f ca="1">ROUND(F34*F35/10000,1)</f>
        <v>0</v>
      </c>
      <c r="D34" s="802" t="s">
        <v>663</v>
      </c>
      <c r="E34" s="773" t="s">
        <v>664</v>
      </c>
      <c r="F34" s="631">
        <f>'数据-取费表'!B52</f>
        <v>3</v>
      </c>
      <c r="G34" s="1943"/>
      <c r="H34" s="1946"/>
      <c r="I34" s="823" t="s">
        <v>1803</v>
      </c>
      <c r="J34" s="824"/>
      <c r="K34" s="1961"/>
      <c r="L34" s="1960"/>
      <c r="M34" s="1960"/>
    </row>
    <row r="35" spans="1:18" ht="18" customHeight="1">
      <c r="A35" s="803"/>
      <c r="B35" s="782"/>
      <c r="C35" s="69"/>
      <c r="D35" s="804"/>
      <c r="E35" s="773" t="s">
        <v>668</v>
      </c>
      <c r="F35" s="774">
        <f ca="1">INDIRECT("'数据-取费表'!r"&amp;$G$1)</f>
        <v>0</v>
      </c>
      <c r="G35" s="1943"/>
      <c r="H35" s="1946"/>
      <c r="I35" s="825" t="s">
        <v>1804</v>
      </c>
      <c r="J35" s="826">
        <f ca="1">ROUND(C13*J36,0)</f>
        <v>0</v>
      </c>
      <c r="K35" s="1959"/>
      <c r="L35" s="1958"/>
      <c r="M35" s="1958"/>
    </row>
    <row r="36" spans="1:18" ht="18" customHeight="1">
      <c r="A36" s="1576" t="s">
        <v>1879</v>
      </c>
      <c r="B36" s="773" t="s">
        <v>670</v>
      </c>
      <c r="C36" s="53">
        <f ca="1">ROUND(C29*F36,1)</f>
        <v>0</v>
      </c>
      <c r="D36" s="3402" t="s">
        <v>685</v>
      </c>
      <c r="E36" s="773" t="s">
        <v>643</v>
      </c>
      <c r="F36" s="805">
        <f ca="1">INDIRECT("'数据-取费表'!Ak"&amp;$G$1)</f>
        <v>0.01</v>
      </c>
      <c r="G36" s="1943"/>
      <c r="H36" s="1958"/>
      <c r="I36" s="827" t="s">
        <v>1805</v>
      </c>
      <c r="J36" s="828">
        <f ca="1">INDIRECT("'数据-取费表'!j"&amp;$G$1)</f>
        <v>0.06</v>
      </c>
      <c r="K36" s="1962"/>
      <c r="L36" s="1958"/>
      <c r="M36" s="1958"/>
    </row>
    <row r="37" spans="1:18" ht="18" customHeight="1">
      <c r="A37" s="1576" t="s">
        <v>1880</v>
      </c>
      <c r="B37" s="773" t="s">
        <v>673</v>
      </c>
      <c r="C37" s="53">
        <f ca="1">ROUND(C13*F37,1)</f>
        <v>0</v>
      </c>
      <c r="D37" s="3402" t="s">
        <v>674</v>
      </c>
      <c r="E37" s="773" t="s">
        <v>643</v>
      </c>
      <c r="F37" s="806">
        <f ca="1">INDIRECT("'数据-取费表'!Al"&amp;$G$1)</f>
        <v>1E-3</v>
      </c>
      <c r="G37" s="1943"/>
      <c r="H37" s="1958"/>
      <c r="I37" s="829" t="s">
        <v>1806</v>
      </c>
      <c r="J37" s="830"/>
      <c r="K37" s="1962"/>
      <c r="L37" s="1958"/>
      <c r="M37" s="1958"/>
    </row>
    <row r="38" spans="1:18" ht="18" customHeight="1" thickBot="1">
      <c r="A38" s="2401" t="s">
        <v>1881</v>
      </c>
      <c r="B38" s="2396" t="s">
        <v>660</v>
      </c>
      <c r="C38" s="2394">
        <f ca="1">ROUND(C5*F38,1)</f>
        <v>0</v>
      </c>
      <c r="D38" s="2395" t="s">
        <v>677</v>
      </c>
      <c r="E38" s="2396" t="s">
        <v>643</v>
      </c>
      <c r="F38" s="2392">
        <f ca="1">INDIRECT("'数据-取费表'!Am"&amp;$G$1)</f>
        <v>0.01</v>
      </c>
      <c r="G38" s="1943"/>
      <c r="H38" s="1958"/>
      <c r="I38" s="831" t="s">
        <v>1807</v>
      </c>
      <c r="J38" s="832"/>
      <c r="K38" s="1963"/>
      <c r="L38" s="1958"/>
      <c r="M38" s="1958"/>
    </row>
    <row r="39" spans="1:18" ht="24.6" customHeight="1" thickTop="1">
      <c r="A39" s="1742" t="s">
        <v>1766</v>
      </c>
      <c r="B39" s="2720" t="s">
        <v>2794</v>
      </c>
      <c r="C39" s="781">
        <f ca="1">C5-C30</f>
        <v>4</v>
      </c>
      <c r="D39" s="2398" t="s">
        <v>694</v>
      </c>
      <c r="E39" s="2399"/>
      <c r="F39" s="2400"/>
      <c r="G39" s="1943"/>
      <c r="H39" s="1958"/>
      <c r="I39" s="825" t="s">
        <v>1808</v>
      </c>
      <c r="J39" s="833">
        <f ca="1">ROUND(J35/C39,3)</f>
        <v>0</v>
      </c>
      <c r="K39" s="1963"/>
      <c r="L39" s="1958"/>
      <c r="M39" s="1958"/>
    </row>
    <row r="40" spans="1:18" ht="18" customHeight="1">
      <c r="A40" s="770" t="s">
        <v>1770</v>
      </c>
      <c r="B40" s="2110" t="s">
        <v>2288</v>
      </c>
      <c r="C40" s="772">
        <f ca="1">ROUND(C39*(1-((1+F42)/(1+F40))^F41)/(F40-F42),0)</f>
        <v>69</v>
      </c>
      <c r="D40" s="802" t="s">
        <v>698</v>
      </c>
      <c r="E40" s="773" t="s">
        <v>2403</v>
      </c>
      <c r="F40" s="783">
        <f ca="1">INDIRECT("'数据-取费表'!I"&amp;$G$1)</f>
        <v>0.05</v>
      </c>
      <c r="G40" s="1943"/>
      <c r="H40" s="1943"/>
      <c r="I40" s="825" t="s">
        <v>1809</v>
      </c>
      <c r="J40" s="833">
        <f ca="1">1-J39</f>
        <v>1</v>
      </c>
      <c r="K40" s="1963"/>
      <c r="L40" s="1943"/>
      <c r="M40" s="1943"/>
    </row>
    <row r="41" spans="1:18" ht="18" customHeight="1">
      <c r="A41" s="775"/>
      <c r="B41" s="776"/>
      <c r="C41" s="777"/>
      <c r="D41" s="809" t="s">
        <v>1798</v>
      </c>
      <c r="E41" s="773" t="s">
        <v>702</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704</v>
      </c>
      <c r="F42" s="783">
        <f ca="1">INDIRECT("'数据-取费表'!v"&amp;$G$1)</f>
        <v>0</v>
      </c>
      <c r="G42" s="1943"/>
      <c r="H42" s="1898"/>
      <c r="I42" s="835" t="s">
        <v>1811</v>
      </c>
      <c r="J42" s="833">
        <f ca="1">ROUND(C13/C40,3)</f>
        <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f ca="1">1-J42</f>
        <v>1</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-69</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1860</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69</v>
      </c>
      <c r="R48" s="2252" t="s">
        <v>2364</v>
      </c>
    </row>
    <row r="49" spans="1:18" s="1940" customFormat="1" ht="18" customHeight="1" thickBot="1">
      <c r="A49" s="775"/>
      <c r="B49" s="776"/>
      <c r="C49" s="777"/>
      <c r="D49" s="778"/>
      <c r="E49" s="773" t="s">
        <v>632</v>
      </c>
      <c r="F49" s="774">
        <f ca="1">F7</f>
        <v>12</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633</v>
      </c>
      <c r="F50" s="774">
        <f ca="1">F8</f>
        <v>12</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90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2927</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9" t="s">
        <v>2920</v>
      </c>
      <c r="L53" s="3720"/>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69</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2287</v>
      </c>
      <c r="C56" s="53">
        <f ca="1">C29</f>
        <v>0</v>
      </c>
      <c r="D56" s="3402"/>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7</v>
      </c>
      <c r="B57" s="787" t="s">
        <v>645</v>
      </c>
      <c r="C57" s="788">
        <f ca="1">ROUND(C58+C63+C64+C65,0)</f>
        <v>0</v>
      </c>
      <c r="D57" s="26" t="s">
        <v>646</v>
      </c>
      <c r="E57" s="3398"/>
      <c r="F57" s="56"/>
      <c r="I57" s="2816" t="s">
        <v>2342</v>
      </c>
      <c r="J57" s="2817" t="str">
        <f ca="1">IF(OR(M47="住宅",J51&lt;L48,J56="是"),"——",J51-L48)</f>
        <v>——</v>
      </c>
      <c r="K57" s="2796" t="s">
        <v>2347</v>
      </c>
      <c r="L57" s="1820" t="str">
        <f ca="1">IF(L48&lt;J51,"——",IF(L55="比较法",L49,IF(L55="基准地价",L50,L51)))</f>
        <v>——</v>
      </c>
      <c r="M57" s="3258"/>
      <c r="O57" s="2251" t="s">
        <v>2363</v>
      </c>
      <c r="P57" s="2252" t="s">
        <v>2389</v>
      </c>
      <c r="Q57" s="2253">
        <f ca="1">C40+J29</f>
        <v>69</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401" t="s">
        <v>651</v>
      </c>
      <c r="E58" s="3402"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402" t="s">
        <v>655</v>
      </c>
      <c r="E59" s="773" t="s">
        <v>643</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658</v>
      </c>
      <c r="C60" s="53">
        <f ca="1">IF(D60="按租金收入计税",ROUND(C47*F60,1),IF(D60="按房产原值计税",ROUND(C56*F60*0.7,1),INDIRECT("'数据-取费表'!Aj"&amp;$G$1)))</f>
        <v>0</v>
      </c>
      <c r="D60" s="3402" t="str">
        <f>D33</f>
        <v>按票据</v>
      </c>
      <c r="E60" s="773" t="s">
        <v>643</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402" t="s">
        <v>685</v>
      </c>
      <c r="E63" s="773" t="s">
        <v>643</v>
      </c>
      <c r="F63" s="805">
        <f t="shared" ca="1" si="0"/>
        <v>0.01</v>
      </c>
      <c r="I63" s="2821" t="s">
        <v>2354</v>
      </c>
      <c r="J63" s="2822">
        <v>70</v>
      </c>
      <c r="K63" s="2822">
        <v>50</v>
      </c>
      <c r="L63" s="2822">
        <v>80</v>
      </c>
      <c r="M63" s="2824">
        <v>0.02</v>
      </c>
      <c r="O63" s="2251" t="s">
        <v>2375</v>
      </c>
      <c r="P63" s="2252" t="s">
        <v>2392</v>
      </c>
      <c r="Q63" s="2253">
        <f ca="1">Q57+Q58</f>
        <v>69</v>
      </c>
      <c r="R63" s="2256" t="s">
        <v>2376</v>
      </c>
    </row>
    <row r="64" spans="1:18" s="1940" customFormat="1" ht="16.5" thickBot="1">
      <c r="A64" s="1576" t="s">
        <v>1880</v>
      </c>
      <c r="B64" s="773" t="s">
        <v>673</v>
      </c>
      <c r="C64" s="53">
        <f ca="1">ROUND(C55*F64,1)</f>
        <v>0</v>
      </c>
      <c r="D64" s="3402" t="s">
        <v>674</v>
      </c>
      <c r="E64" s="773" t="s">
        <v>643</v>
      </c>
      <c r="F64" s="806">
        <f t="shared" ca="1" si="0"/>
        <v>1E-3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402" t="s">
        <v>677</v>
      </c>
      <c r="E65" s="773" t="s">
        <v>643</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401" t="s">
        <v>694</v>
      </c>
      <c r="E66" s="3399"/>
      <c r="F66" s="808"/>
      <c r="K66" s="1966"/>
      <c r="O66" s="2251" t="s">
        <v>2363</v>
      </c>
      <c r="P66" s="2252" t="s">
        <v>2389</v>
      </c>
      <c r="Q66" s="2253">
        <f ca="1">C40+J29</f>
        <v>69</v>
      </c>
      <c r="R66" s="2252" t="s">
        <v>2364</v>
      </c>
    </row>
    <row r="67" spans="1:18" s="1940" customFormat="1" ht="20.25" thickBot="1">
      <c r="A67" s="770" t="s">
        <v>1770</v>
      </c>
      <c r="B67" s="2110" t="s">
        <v>2288</v>
      </c>
      <c r="C67" s="772">
        <f ca="1">ROUND(C66*(1-((1+F69)/(1+F67))^F68)/(F67-F69),0)</f>
        <v>0</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702</v>
      </c>
      <c r="F68" s="810">
        <f ca="1">F41</f>
        <v>40</v>
      </c>
      <c r="O68" s="2254" t="s">
        <v>2367</v>
      </c>
      <c r="P68" s="2252" t="s">
        <v>2397</v>
      </c>
      <c r="Q68" s="2258">
        <f ca="1">L51</f>
        <v>90</v>
      </c>
      <c r="R68" s="2259" t="s">
        <v>2400</v>
      </c>
    </row>
    <row r="69" spans="1:18" ht="20.25" thickBot="1">
      <c r="A69" s="779"/>
      <c r="B69" s="780"/>
      <c r="C69" s="781"/>
      <c r="D69" s="804"/>
      <c r="E69" s="773" t="s">
        <v>704</v>
      </c>
      <c r="F69" s="2224"/>
      <c r="O69" s="2254" t="s">
        <v>2368</v>
      </c>
      <c r="P69" s="2260" t="s">
        <v>2382</v>
      </c>
      <c r="Q69" s="2253">
        <f ca="1">ROUND(Q70-Q71*Q72,0)</f>
        <v>4</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4</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0.06</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69</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8" priority="6">
      <formula>$L$48&gt;$J$51</formula>
    </cfRule>
  </conditionalFormatting>
  <conditionalFormatting sqref="I55">
    <cfRule type="expression" dxfId="147" priority="7">
      <formula>$J$51&gt;$L$48</formula>
    </cfRule>
  </conditionalFormatting>
  <conditionalFormatting sqref="I60">
    <cfRule type="expression" dxfId="146" priority="5">
      <formula>$J$51&gt;$L$48</formula>
    </cfRule>
  </conditionalFormatting>
  <conditionalFormatting sqref="K60">
    <cfRule type="expression" dxfId="145" priority="4">
      <formula>$L$48&gt;$J$51</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3">
    <cfRule type="expression" dxfId="14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43" sqref="C4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3325</v>
      </c>
      <c r="D1" s="2795" t="s">
        <v>943</v>
      </c>
      <c r="E1" s="2240" t="s">
        <v>2358</v>
      </c>
      <c r="F1" s="2241">
        <f ca="1">J53</f>
        <v>40</v>
      </c>
      <c r="G1" s="3254">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2900</v>
      </c>
      <c r="C2" s="3259"/>
      <c r="D2" s="3260"/>
      <c r="E2" s="3261"/>
      <c r="F2" s="3261"/>
      <c r="G2" s="3255"/>
      <c r="H2" s="1938"/>
      <c r="I2" s="1938"/>
      <c r="J2" s="1938"/>
      <c r="K2" s="1939"/>
      <c r="L2" s="1938"/>
      <c r="M2" s="1938"/>
    </row>
    <row r="3" spans="1:33" ht="18" customHeight="1" thickBot="1">
      <c r="A3" s="821" t="s">
        <v>1717</v>
      </c>
      <c r="B3" s="822">
        <f ca="1">IF(ISERROR(B2*10000/F43),0,ROUND(B2*10000/F43,0))</f>
        <v>13333</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183</v>
      </c>
      <c r="D5" s="2347" t="s">
        <v>2442</v>
      </c>
      <c r="E5" s="2341"/>
      <c r="F5" s="2342"/>
      <c r="G5" s="1943"/>
      <c r="H5" s="770">
        <v>1</v>
      </c>
      <c r="I5" s="771" t="s">
        <v>2439</v>
      </c>
      <c r="J5" s="55">
        <f ca="1">J6+J10+J12</f>
        <v>0</v>
      </c>
      <c r="K5" s="2347" t="s">
        <v>2442</v>
      </c>
      <c r="L5" s="2341"/>
      <c r="M5" s="2342"/>
    </row>
    <row r="6" spans="1:33" ht="18" customHeight="1">
      <c r="A6" s="1743" t="s">
        <v>1814</v>
      </c>
      <c r="B6" s="3713" t="s">
        <v>2444</v>
      </c>
      <c r="C6" s="772">
        <f ca="1">ROUND(F6*F8*F7*(1-F9)/10000,0)</f>
        <v>183</v>
      </c>
      <c r="D6" s="2348" t="s">
        <v>2443</v>
      </c>
      <c r="E6" s="773" t="s">
        <v>1728</v>
      </c>
      <c r="F6" s="774">
        <f ca="1">INDIRECT("'数据-取费表'!u"&amp;$G$1)</f>
        <v>2.5</v>
      </c>
      <c r="G6" s="1943"/>
      <c r="H6" s="2355" t="s">
        <v>2449</v>
      </c>
      <c r="I6" s="3713" t="s">
        <v>2444</v>
      </c>
      <c r="J6" s="772">
        <f ca="1">ROUND(M6*M8*M7*(1-M9)/10000,0)</f>
        <v>0</v>
      </c>
      <c r="K6" s="338" t="s">
        <v>1727</v>
      </c>
      <c r="L6" s="773" t="s">
        <v>1728</v>
      </c>
      <c r="M6" s="774">
        <f ca="1">INDIRECT("'数据-取费表'!z"&amp;$G$1)</f>
        <v>0</v>
      </c>
    </row>
    <row r="7" spans="1:33" ht="18" customHeight="1">
      <c r="A7" s="2351"/>
      <c r="B7" s="3714"/>
      <c r="C7" s="777"/>
      <c r="D7" s="778"/>
      <c r="E7" s="773" t="s">
        <v>1729</v>
      </c>
      <c r="F7" s="774">
        <f ca="1">IF(INDIRECT("'数据-取费表'!ah"&amp;$G$1)="",INDIRECT("'数据-取费表'!k"&amp;$G$1),INDIRECT("'数据-取费表'!ah"&amp;$G$1))</f>
        <v>2175</v>
      </c>
      <c r="G7" s="1943"/>
      <c r="H7" s="2340"/>
      <c r="I7" s="3714"/>
      <c r="J7" s="777"/>
      <c r="K7" s="778"/>
      <c r="L7" s="773" t="s">
        <v>1729</v>
      </c>
      <c r="M7" s="774">
        <f ca="1">F7</f>
        <v>2175</v>
      </c>
    </row>
    <row r="8" spans="1:33" ht="18" customHeight="1">
      <c r="A8" s="2344"/>
      <c r="B8" s="3715"/>
      <c r="C8" s="777"/>
      <c r="D8" s="778"/>
      <c r="E8" s="773" t="s">
        <v>1730</v>
      </c>
      <c r="F8" s="774">
        <f ca="1">INDIRECT("'数据-取费表'!ai"&amp;$G$1)</f>
        <v>365</v>
      </c>
      <c r="G8" s="1943"/>
      <c r="H8" s="2340"/>
      <c r="I8" s="3715"/>
      <c r="J8" s="777"/>
      <c r="K8" s="778"/>
      <c r="L8" s="773" t="s">
        <v>1730</v>
      </c>
      <c r="M8" s="774">
        <f ca="1">INDIRECT("'数据-取费表'!ai"&amp;$G$1)</f>
        <v>365</v>
      </c>
    </row>
    <row r="9" spans="1:33" ht="18" customHeight="1">
      <c r="A9" s="775"/>
      <c r="B9" s="3716"/>
      <c r="C9" s="777"/>
      <c r="D9" s="778"/>
      <c r="E9" s="773" t="s">
        <v>1731</v>
      </c>
      <c r="F9" s="783">
        <f ca="1">INDIRECT("'数据-取费表'!w"&amp;$G$1)</f>
        <v>0.08</v>
      </c>
      <c r="G9" s="1943"/>
      <c r="H9" s="2356"/>
      <c r="I9" s="3715"/>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1144</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805</v>
      </c>
      <c r="D14" s="3276" t="s">
        <v>1735</v>
      </c>
      <c r="E14" s="3277"/>
      <c r="F14" s="794"/>
      <c r="G14" s="1943"/>
      <c r="H14" s="1576" t="s">
        <v>1820</v>
      </c>
      <c r="I14" s="2109" t="s">
        <v>2797</v>
      </c>
      <c r="J14" s="53">
        <f ca="1">C29</f>
        <v>1144</v>
      </c>
      <c r="K14" s="26"/>
      <c r="L14" s="790"/>
      <c r="M14" s="791"/>
    </row>
    <row r="15" spans="1:33" s="1945" customFormat="1" ht="18" customHeight="1" thickBot="1">
      <c r="A15" s="1575" t="s">
        <v>1875</v>
      </c>
      <c r="B15" s="773" t="s">
        <v>641</v>
      </c>
      <c r="C15" s="53">
        <f ca="1">ROUND(C14*F15,0)</f>
        <v>40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21</v>
      </c>
      <c r="K16" s="1734" t="s">
        <v>1740</v>
      </c>
      <c r="L16" s="3278"/>
      <c r="M16" s="2342"/>
    </row>
    <row r="17" spans="1:33" s="1945" customFormat="1" ht="18" customHeight="1">
      <c r="A17" s="1575" t="s">
        <v>1877</v>
      </c>
      <c r="B17" s="773" t="s">
        <v>647</v>
      </c>
      <c r="C17" s="53">
        <f ca="1">ROUND(F17*(F43+INDIRECT("'数据-取费表'!S"&amp;$G$1))/10000,0)</f>
        <v>78</v>
      </c>
      <c r="D17" s="773" t="s">
        <v>1741</v>
      </c>
      <c r="E17" s="773" t="s">
        <v>1742</v>
      </c>
      <c r="F17" s="56">
        <f>'数据-取费表'!B35</f>
        <v>350</v>
      </c>
      <c r="G17" s="3256"/>
      <c r="H17" s="1576" t="s">
        <v>1820</v>
      </c>
      <c r="I17" s="773" t="s">
        <v>650</v>
      </c>
      <c r="J17" s="3016">
        <f ca="1">ROUND(IF(AND(项目基本情况!B11="自然人",项目基本情况!B10="北京市"),J6*M17/(1+'数据-取费表'!C42),J18+J19+J20),0)</f>
        <v>10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12</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935</v>
      </c>
      <c r="D19" s="258" t="s">
        <v>1747</v>
      </c>
      <c r="E19" s="3281"/>
      <c r="F19" s="56"/>
      <c r="G19" s="1943"/>
      <c r="H19" s="1575" t="s">
        <v>1875</v>
      </c>
      <c r="I19" s="773" t="s">
        <v>1748</v>
      </c>
      <c r="J19" s="53">
        <f ca="1">IF(K19="按租金收入计税",ROUND(J6*M19/(1+'数据-取费表'!C42),1),ROUND(C29*F33*0.7,1))</f>
        <v>9.6</v>
      </c>
      <c r="K19" s="799" t="s">
        <v>659</v>
      </c>
      <c r="L19" s="773" t="s">
        <v>1737</v>
      </c>
      <c r="M19" s="798">
        <f>IF(K19="按租金收入计税",'数据-取费表'!B51,'数据-取费表'!B50)</f>
        <v>1.2E-2</v>
      </c>
    </row>
    <row r="20" spans="1:33" s="1945" customFormat="1" ht="18" customHeight="1">
      <c r="A20" s="1576" t="s">
        <v>1879</v>
      </c>
      <c r="B20" s="773" t="s">
        <v>660</v>
      </c>
      <c r="C20" s="53">
        <f ca="1">ROUND(C19*F20,0)</f>
        <v>9</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1120.83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11</v>
      </c>
      <c r="K22" s="3275" t="s">
        <v>1759</v>
      </c>
      <c r="L22" s="773" t="s">
        <v>1737</v>
      </c>
      <c r="M22" s="805">
        <f ca="1">INDIRECT("'数据-取费表'!Ak"&amp;$G$1)</f>
        <v>0.01</v>
      </c>
    </row>
    <row r="23" spans="1:33" s="1945" customFormat="1" ht="18" customHeight="1">
      <c r="A23" s="1575" t="s">
        <v>1821</v>
      </c>
      <c r="B23" s="773" t="s">
        <v>2509</v>
      </c>
      <c r="C23" s="53">
        <f ca="1">ROUND(IF('数据-取费表'!B22&lt;=1,(C19+C20)*F24*F23/2,(C19+C20)*(POWER((1+F24),F23/2)-1)),0)</f>
        <v>33</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-21</v>
      </c>
      <c r="K25" s="2398" t="s">
        <v>1767</v>
      </c>
      <c r="L25" s="2399"/>
      <c r="M25" s="2400"/>
    </row>
    <row r="26" spans="1:33" ht="18" customHeight="1">
      <c r="A26" s="1575" t="s">
        <v>1821</v>
      </c>
      <c r="B26" s="773" t="s">
        <v>2421</v>
      </c>
      <c r="C26" s="53">
        <f ca="1">ROUND((C19+C20)*F26,0)</f>
        <v>94</v>
      </c>
      <c r="D26" s="800" t="s">
        <v>1768</v>
      </c>
      <c r="E26" s="784" t="s">
        <v>1769</v>
      </c>
      <c r="F26" s="783">
        <f ca="1">INDIRECT("'数据-取费表'!q"&amp;$G$1)</f>
        <v>0.1</v>
      </c>
      <c r="G26" s="1943"/>
      <c r="H26" s="2353" t="s">
        <v>1770</v>
      </c>
      <c r="I26" s="2110" t="s">
        <v>2799</v>
      </c>
      <c r="J26" s="772">
        <f ca="1">IF(J5&lt;&gt;0,ROUND(J25*(1-((1+M28)/(1+M26))^M27)/(M26-M28),0),0)</f>
        <v>0</v>
      </c>
      <c r="K26" s="802" t="s">
        <v>1771</v>
      </c>
      <c r="L26" s="773" t="s">
        <v>2403</v>
      </c>
      <c r="M26" s="783">
        <f ca="1">INDIRECT("'数据-取费表'!I"&amp;$G$1)</f>
        <v>0.05</v>
      </c>
    </row>
    <row r="27" spans="1:33" ht="18" customHeight="1">
      <c r="A27" s="1575" t="s">
        <v>1822</v>
      </c>
      <c r="B27" s="773" t="s">
        <v>680</v>
      </c>
      <c r="C27" s="53">
        <f ca="1">ROUND(F21*F26,4)</f>
        <v>1E-3</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1144</v>
      </c>
      <c r="D29" s="2395"/>
      <c r="E29" s="2396"/>
      <c r="F29" s="2397"/>
      <c r="G29" s="3256"/>
      <c r="H29" s="811" t="s">
        <v>1777</v>
      </c>
      <c r="I29" s="812" t="s">
        <v>1778</v>
      </c>
      <c r="J29" s="813">
        <f ca="1">ROUND(J26/(1+F40)^F41,0)</f>
        <v>0</v>
      </c>
      <c r="K29" s="814" t="s">
        <v>1779</v>
      </c>
      <c r="L29" s="815"/>
      <c r="M29" s="816">
        <f ca="1">INDIRECT("'数据-取费表'!k"&amp;$G$1)</f>
        <v>2175</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14</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0.3</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1120.83</v>
      </c>
      <c r="G35" s="1943"/>
      <c r="H35" s="1946"/>
      <c r="I35" s="825" t="s">
        <v>1804</v>
      </c>
      <c r="J35" s="826">
        <f ca="1">ROUND(C13*J36,0)</f>
        <v>74</v>
      </c>
      <c r="K35" s="1959"/>
      <c r="L35" s="1958"/>
      <c r="M35" s="1958"/>
    </row>
    <row r="36" spans="1:18" ht="18" customHeight="1">
      <c r="A36" s="1576" t="s">
        <v>1879</v>
      </c>
      <c r="B36" s="773" t="s">
        <v>1792</v>
      </c>
      <c r="C36" s="53">
        <f ca="1">ROUND(C29*F36,1)</f>
        <v>11.4</v>
      </c>
      <c r="D36" s="3275" t="s">
        <v>1793</v>
      </c>
      <c r="E36" s="773" t="s">
        <v>1786</v>
      </c>
      <c r="F36" s="805">
        <f ca="1">INDIRECT("'数据-取费表'!Ak"&amp;$G$1)</f>
        <v>0.01</v>
      </c>
      <c r="G36" s="1943"/>
      <c r="H36" s="1958"/>
      <c r="I36" s="827" t="s">
        <v>1805</v>
      </c>
      <c r="J36" s="828">
        <f ca="1">INDIRECT("'数据-取费表'!j"&amp;$G$1)</f>
        <v>6.5000000000000002E-2</v>
      </c>
      <c r="K36" s="1962"/>
      <c r="L36" s="1958"/>
      <c r="M36" s="1958"/>
    </row>
    <row r="37" spans="1:18" ht="18" customHeight="1">
      <c r="A37" s="1576" t="s">
        <v>1880</v>
      </c>
      <c r="B37" s="773" t="s">
        <v>673</v>
      </c>
      <c r="C37" s="53">
        <f ca="1">ROUND(C13*F37,1)</f>
        <v>1.1000000000000001</v>
      </c>
      <c r="D37" s="3275" t="s">
        <v>1794</v>
      </c>
      <c r="E37" s="773" t="s">
        <v>1786</v>
      </c>
      <c r="F37" s="806">
        <f ca="1">INDIRECT("'数据-取费表'!Al"&amp;$G$1)</f>
        <v>1E-3</v>
      </c>
      <c r="G37" s="1943"/>
      <c r="H37" s="1958"/>
      <c r="I37" s="829" t="s">
        <v>1806</v>
      </c>
      <c r="J37" s="830"/>
      <c r="K37" s="1962"/>
      <c r="L37" s="1958"/>
      <c r="M37" s="1958"/>
    </row>
    <row r="38" spans="1:18" ht="18" customHeight="1" thickBot="1">
      <c r="A38" s="2401" t="s">
        <v>1881</v>
      </c>
      <c r="B38" s="2396" t="s">
        <v>660</v>
      </c>
      <c r="C38" s="2394">
        <f ca="1">ROUND(C5*F38,1)</f>
        <v>1.8</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169</v>
      </c>
      <c r="D39" s="2398" t="s">
        <v>1796</v>
      </c>
      <c r="E39" s="2399"/>
      <c r="F39" s="2400"/>
      <c r="G39" s="1943"/>
      <c r="H39" s="1958"/>
      <c r="I39" s="825" t="s">
        <v>1808</v>
      </c>
      <c r="J39" s="833">
        <f ca="1">ROUND(J35/C39,3)</f>
        <v>0.438</v>
      </c>
      <c r="K39" s="1963"/>
      <c r="L39" s="1958"/>
      <c r="M39" s="1958"/>
    </row>
    <row r="40" spans="1:18" ht="18" customHeight="1">
      <c r="A40" s="770" t="s">
        <v>1885</v>
      </c>
      <c r="B40" s="2110" t="s">
        <v>2288</v>
      </c>
      <c r="C40" s="772">
        <f ca="1">ROUND(C39*(1-((1+F42)/(1+F40))^F41)/(F40-F42),0)</f>
        <v>2900</v>
      </c>
      <c r="D40" s="802" t="s">
        <v>1797</v>
      </c>
      <c r="E40" s="773" t="s">
        <v>2403</v>
      </c>
      <c r="F40" s="783">
        <f ca="1">INDIRECT("'数据-取费表'!I"&amp;$G$1)</f>
        <v>0.05</v>
      </c>
      <c r="G40" s="1943"/>
      <c r="H40" s="1943"/>
      <c r="I40" s="825" t="s">
        <v>1809</v>
      </c>
      <c r="J40" s="833">
        <f ca="1">1-J39</f>
        <v>0.56200000000000006</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f ca="1">ROUND(C13/C40,3)</f>
        <v>0.39400000000000002</v>
      </c>
      <c r="K42" s="1962"/>
      <c r="L42" s="1898"/>
      <c r="M42" s="1898"/>
    </row>
    <row r="43" spans="1:18" ht="18" customHeight="1" thickBot="1">
      <c r="A43" s="811" t="s">
        <v>1777</v>
      </c>
      <c r="B43" s="812" t="s">
        <v>1800</v>
      </c>
      <c r="C43" s="813">
        <f ca="1">ROUND(C40*10000/F43,0)</f>
        <v>13333</v>
      </c>
      <c r="D43" s="814" t="s">
        <v>1801</v>
      </c>
      <c r="E43" s="815" t="s">
        <v>1802</v>
      </c>
      <c r="F43" s="816">
        <f ca="1">INDIRECT("'数据-取费表'!k"&amp;$G$1)</f>
        <v>2175</v>
      </c>
      <c r="G43" s="1943"/>
      <c r="H43" s="1898"/>
      <c r="I43" s="835" t="s">
        <v>1812</v>
      </c>
      <c r="J43" s="836">
        <f ca="1">1-J42</f>
        <v>0.60599999999999998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-3123</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2900</v>
      </c>
      <c r="R48" s="2252" t="s">
        <v>2364</v>
      </c>
    </row>
    <row r="49" spans="1:18" s="1940" customFormat="1" ht="18" customHeight="1" thickBot="1">
      <c r="A49" s="775"/>
      <c r="B49" s="776"/>
      <c r="C49" s="777"/>
      <c r="D49" s="778"/>
      <c r="E49" s="773" t="s">
        <v>1729</v>
      </c>
      <c r="F49" s="774">
        <f ca="1">F7</f>
        <v>2175</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1144</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1791</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9" t="s">
        <v>2920</v>
      </c>
      <c r="L53" s="3720"/>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2900</v>
      </c>
      <c r="R54" s="2256" t="s">
        <v>2376</v>
      </c>
    </row>
    <row r="55" spans="1:18" s="1940" customFormat="1" ht="18" customHeight="1" thickTop="1" thickBot="1">
      <c r="A55" s="786">
        <v>2</v>
      </c>
      <c r="B55" s="787" t="s">
        <v>638</v>
      </c>
      <c r="C55" s="788">
        <f ca="1">C13</f>
        <v>1144</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1144</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13</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2900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0.3</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1120.83</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11.4</v>
      </c>
      <c r="D63" s="3275" t="s">
        <v>1793</v>
      </c>
      <c r="E63" s="773" t="s">
        <v>1737</v>
      </c>
      <c r="F63" s="805">
        <f t="shared" ca="1" si="0"/>
        <v>0.01</v>
      </c>
      <c r="I63" s="2821" t="s">
        <v>2354</v>
      </c>
      <c r="J63" s="2822">
        <v>70</v>
      </c>
      <c r="K63" s="2822">
        <v>50</v>
      </c>
      <c r="L63" s="2822">
        <v>80</v>
      </c>
      <c r="M63" s="2824">
        <v>0.02</v>
      </c>
      <c r="O63" s="2251" t="s">
        <v>2375</v>
      </c>
      <c r="P63" s="2252" t="s">
        <v>2392</v>
      </c>
      <c r="Q63" s="2253">
        <f ca="1">Q57+Q58</f>
        <v>2900</v>
      </c>
      <c r="R63" s="2256" t="s">
        <v>2376</v>
      </c>
    </row>
    <row r="64" spans="1:18" s="1940" customFormat="1" ht="16.5" thickBot="1">
      <c r="A64" s="1576" t="s">
        <v>1880</v>
      </c>
      <c r="B64" s="773" t="s">
        <v>673</v>
      </c>
      <c r="C64" s="53">
        <f ca="1">ROUND(C55*F64,1)</f>
        <v>1.1000000000000001</v>
      </c>
      <c r="D64" s="3275" t="s">
        <v>674</v>
      </c>
      <c r="E64" s="773" t="s">
        <v>1737</v>
      </c>
      <c r="F64" s="806">
        <f t="shared" ca="1" si="0"/>
        <v>1E-3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-13</v>
      </c>
      <c r="D66" s="3276" t="s">
        <v>694</v>
      </c>
      <c r="E66" s="3280"/>
      <c r="F66" s="808"/>
      <c r="K66" s="1966"/>
      <c r="O66" s="2251" t="s">
        <v>2363</v>
      </c>
      <c r="P66" s="2252" t="s">
        <v>2393</v>
      </c>
      <c r="Q66" s="2253">
        <f ca="1">C40+J29</f>
        <v>2900</v>
      </c>
      <c r="R66" s="2252" t="s">
        <v>2364</v>
      </c>
    </row>
    <row r="67" spans="1:18" s="1940" customFormat="1" ht="20.25" thickBot="1">
      <c r="A67" s="770" t="s">
        <v>1770</v>
      </c>
      <c r="B67" s="2110" t="s">
        <v>2288</v>
      </c>
      <c r="C67" s="772">
        <f ca="1">ROUND(C66*(1-((1+F69)/(1+F67))^F68)/(F67-F69),0)</f>
        <v>-223</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1791</v>
      </c>
      <c r="R68" s="2259" t="s">
        <v>2400</v>
      </c>
    </row>
    <row r="69" spans="1:18" ht="20.25" thickBot="1">
      <c r="A69" s="779"/>
      <c r="B69" s="780"/>
      <c r="C69" s="781"/>
      <c r="D69" s="804"/>
      <c r="E69" s="773" t="s">
        <v>704</v>
      </c>
      <c r="F69" s="2224"/>
      <c r="O69" s="2254" t="s">
        <v>2368</v>
      </c>
      <c r="P69" s="2260" t="s">
        <v>2382</v>
      </c>
      <c r="Q69" s="2253">
        <f ca="1">ROUND(Q70-Q71*Q72,0)</f>
        <v>95</v>
      </c>
      <c r="R69" s="2256"/>
    </row>
    <row r="70" spans="1:18" ht="15.75" thickBot="1">
      <c r="A70" s="811" t="s">
        <v>1777</v>
      </c>
      <c r="B70" s="812" t="s">
        <v>1800</v>
      </c>
      <c r="C70" s="813">
        <f ca="1">ROUND(C67*10000/F70,0)</f>
        <v>-1025</v>
      </c>
      <c r="D70" s="814" t="s">
        <v>1801</v>
      </c>
      <c r="E70" s="815" t="s">
        <v>1802</v>
      </c>
      <c r="F70" s="816">
        <f ca="1">F43</f>
        <v>2175</v>
      </c>
      <c r="O70" s="2254" t="s">
        <v>2383</v>
      </c>
      <c r="P70" s="2260" t="s">
        <v>2384</v>
      </c>
      <c r="Q70" s="2253">
        <f ca="1">C39</f>
        <v>169</v>
      </c>
      <c r="R70" s="2252" t="s">
        <v>2364</v>
      </c>
    </row>
    <row r="71" spans="1:18" ht="15.75" thickBot="1">
      <c r="O71" s="2254" t="s">
        <v>2385</v>
      </c>
      <c r="P71" s="2260" t="s">
        <v>2386</v>
      </c>
      <c r="Q71" s="2253">
        <f ca="1">C13</f>
        <v>1144</v>
      </c>
      <c r="R71" s="2252" t="s">
        <v>2364</v>
      </c>
    </row>
    <row r="72" spans="1:18" ht="15.75" thickBot="1">
      <c r="O72" s="2254" t="s">
        <v>2387</v>
      </c>
      <c r="P72" s="2260" t="s">
        <v>2388</v>
      </c>
      <c r="Q72" s="2255">
        <f ca="1">J36</f>
        <v>6.5000000000000002E-2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2900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1" priority="6">
      <formula>$L$48&gt;$J$51</formula>
    </cfRule>
  </conditionalFormatting>
  <conditionalFormatting sqref="I55">
    <cfRule type="expression" dxfId="140" priority="7">
      <formula>$J$51&gt;$L$48</formula>
    </cfRule>
  </conditionalFormatting>
  <conditionalFormatting sqref="I60">
    <cfRule type="expression" dxfId="139" priority="5">
      <formula>$J$51&gt;$L$48</formula>
    </cfRule>
  </conditionalFormatting>
  <conditionalFormatting sqref="K60">
    <cfRule type="expression" dxfId="138" priority="4">
      <formula>$L$48&gt;$J$51</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3">
    <cfRule type="expression" dxfId="13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33" sqref="C3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3326</v>
      </c>
      <c r="D1" s="2795" t="s">
        <v>943</v>
      </c>
      <c r="E1" s="2240" t="s">
        <v>2358</v>
      </c>
      <c r="F1" s="2241">
        <f ca="1">J53</f>
        <v>40</v>
      </c>
      <c r="G1" s="3254">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0</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1814</v>
      </c>
      <c r="B6" s="3713" t="s">
        <v>2444</v>
      </c>
      <c r="C6" s="772">
        <f ca="1">ROUND(F6*F8*F7*(1-F9)/10000,0)</f>
        <v>0</v>
      </c>
      <c r="D6" s="2348" t="s">
        <v>2443</v>
      </c>
      <c r="E6" s="773" t="s">
        <v>1728</v>
      </c>
      <c r="F6" s="774">
        <f ca="1">INDIRECT("'数据-取费表'!u"&amp;$G$1)</f>
        <v>2.1</v>
      </c>
      <c r="G6" s="1943"/>
      <c r="H6" s="2355" t="s">
        <v>2449</v>
      </c>
      <c r="I6" s="3713" t="s">
        <v>2444</v>
      </c>
      <c r="J6" s="772">
        <f ca="1">ROUND(M6*M8*M7*(1-M9)/10000,0)</f>
        <v>0</v>
      </c>
      <c r="K6" s="338" t="s">
        <v>1727</v>
      </c>
      <c r="L6" s="773" t="s">
        <v>1728</v>
      </c>
      <c r="M6" s="774">
        <f ca="1">INDIRECT("'数据-取费表'!z"&amp;$G$1)</f>
        <v>0</v>
      </c>
    </row>
    <row r="7" spans="1:33" ht="18" customHeight="1">
      <c r="A7" s="2351"/>
      <c r="B7" s="3714"/>
      <c r="C7" s="777"/>
      <c r="D7" s="778"/>
      <c r="E7" s="773" t="s">
        <v>1729</v>
      </c>
      <c r="F7" s="774">
        <f ca="1">IF(INDIRECT("'数据-取费表'!ah"&amp;$G$1)="",INDIRECT("'数据-取费表'!k"&amp;$G$1),INDIRECT("'数据-取费表'!ah"&amp;$G$1))</f>
        <v>0</v>
      </c>
      <c r="G7" s="1943"/>
      <c r="H7" s="2340"/>
      <c r="I7" s="3714"/>
      <c r="J7" s="777"/>
      <c r="K7" s="778"/>
      <c r="L7" s="773" t="s">
        <v>1729</v>
      </c>
      <c r="M7" s="774">
        <f ca="1">F7</f>
        <v>0</v>
      </c>
    </row>
    <row r="8" spans="1:33" ht="18" customHeight="1">
      <c r="A8" s="2344"/>
      <c r="B8" s="3715"/>
      <c r="C8" s="777"/>
      <c r="D8" s="778"/>
      <c r="E8" s="773" t="s">
        <v>1730</v>
      </c>
      <c r="F8" s="774">
        <f ca="1">INDIRECT("'数据-取费表'!ai"&amp;$G$1)</f>
        <v>365</v>
      </c>
      <c r="G8" s="1943"/>
      <c r="H8" s="2340"/>
      <c r="I8" s="3715"/>
      <c r="J8" s="777"/>
      <c r="K8" s="778"/>
      <c r="L8" s="773" t="s">
        <v>1730</v>
      </c>
      <c r="M8" s="774">
        <f ca="1">INDIRECT("'数据-取费表'!ai"&amp;$G$1)</f>
        <v>365</v>
      </c>
    </row>
    <row r="9" spans="1:33" ht="18" customHeight="1">
      <c r="A9" s="775"/>
      <c r="B9" s="3716"/>
      <c r="C9" s="777"/>
      <c r="D9" s="778"/>
      <c r="E9" s="773" t="s">
        <v>1731</v>
      </c>
      <c r="F9" s="783">
        <f ca="1">INDIRECT("'数据-取费表'!w"&amp;$G$1)</f>
        <v>0.1</v>
      </c>
      <c r="G9" s="1943"/>
      <c r="H9" s="2356"/>
      <c r="I9" s="3715"/>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276" t="s">
        <v>1735</v>
      </c>
      <c r="E14" s="327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278"/>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281"/>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0</v>
      </c>
      <c r="K22" s="3275" t="s">
        <v>1759</v>
      </c>
      <c r="L22" s="773" t="s">
        <v>1737</v>
      </c>
      <c r="M22" s="805">
        <f ca="1">INDIRECT("'数据-取费表'!Ak"&amp;$G$1)</f>
        <v>0.01</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0.1</v>
      </c>
      <c r="G26" s="1943"/>
      <c r="H26" s="2353" t="s">
        <v>1770</v>
      </c>
      <c r="I26" s="2110" t="s">
        <v>2799</v>
      </c>
      <c r="J26" s="772">
        <f ca="1">IF(J5&lt;&gt;0,ROUND(J25*(1-((1+M28)/(1+M26))^M27)/(M26-M28),0),0)</f>
        <v>0</v>
      </c>
      <c r="K26" s="802" t="s">
        <v>1771</v>
      </c>
      <c r="L26" s="773" t="s">
        <v>2403</v>
      </c>
      <c r="M26" s="783">
        <f ca="1">INDIRECT("'数据-取费表'!I"&amp;$G$1)</f>
        <v>0.05</v>
      </c>
    </row>
    <row r="27" spans="1:33" ht="18" customHeight="1">
      <c r="A27" s="1575" t="s">
        <v>1822</v>
      </c>
      <c r="B27" s="773" t="s">
        <v>680</v>
      </c>
      <c r="C27" s="53">
        <f ca="1">ROUND(F21*F26,4)</f>
        <v>1E-3</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0</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275" t="s">
        <v>1793</v>
      </c>
      <c r="E36" s="773" t="s">
        <v>1786</v>
      </c>
      <c r="F36" s="805">
        <f ca="1">INDIRECT("'数据-取费表'!Ak"&amp;$G$1)</f>
        <v>0.01</v>
      </c>
      <c r="G36" s="1943"/>
      <c r="H36" s="1958"/>
      <c r="I36" s="827" t="s">
        <v>1805</v>
      </c>
      <c r="J36" s="828">
        <f ca="1">INDIRECT("'数据-取费表'!j"&amp;$G$1)</f>
        <v>6.5000000000000002E-2</v>
      </c>
      <c r="K36" s="1962"/>
      <c r="L36" s="1958"/>
      <c r="M36" s="1958"/>
    </row>
    <row r="37" spans="1:18" ht="18" customHeight="1">
      <c r="A37" s="1576" t="s">
        <v>1880</v>
      </c>
      <c r="B37" s="773" t="s">
        <v>673</v>
      </c>
      <c r="C37" s="53">
        <f ca="1">ROUND(C13*F37,1)</f>
        <v>0</v>
      </c>
      <c r="D37" s="3275" t="s">
        <v>1794</v>
      </c>
      <c r="E37" s="773" t="s">
        <v>1786</v>
      </c>
      <c r="F37" s="806">
        <f ca="1">INDIRECT("'数据-取费表'!Al"&amp;$G$1)</f>
        <v>1E-3</v>
      </c>
      <c r="G37" s="1943"/>
      <c r="H37" s="1958"/>
      <c r="I37" s="829" t="s">
        <v>1806</v>
      </c>
      <c r="J37" s="830"/>
      <c r="K37" s="1962"/>
      <c r="L37" s="1958"/>
      <c r="M37" s="1958"/>
    </row>
    <row r="38" spans="1:18" ht="18" customHeight="1" thickBot="1">
      <c r="A38" s="2401" t="s">
        <v>1881</v>
      </c>
      <c r="B38" s="2396" t="s">
        <v>660</v>
      </c>
      <c r="C38" s="2394">
        <f ca="1">ROUND(C5*F38,1)</f>
        <v>0</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0</v>
      </c>
      <c r="D39" s="2398" t="s">
        <v>1796</v>
      </c>
      <c r="E39" s="2399"/>
      <c r="F39" s="2400"/>
      <c r="G39" s="1943"/>
      <c r="H39" s="1958"/>
      <c r="I39" s="825" t="s">
        <v>1808</v>
      </c>
      <c r="J39" s="833" t="e">
        <f ca="1">ROUND(J35/C39,3)</f>
        <v>#DIV/0!</v>
      </c>
      <c r="K39" s="1963"/>
      <c r="L39" s="1958"/>
      <c r="M39" s="1958"/>
    </row>
    <row r="40" spans="1:18" ht="18" customHeight="1">
      <c r="A40" s="770" t="s">
        <v>1885</v>
      </c>
      <c r="B40" s="2110" t="s">
        <v>2288</v>
      </c>
      <c r="C40" s="772">
        <f ca="1">ROUND(C39*(1-((1+F42)/(1+F40))^F41)/(F40-F42),0)</f>
        <v>0</v>
      </c>
      <c r="D40" s="802" t="s">
        <v>1797</v>
      </c>
      <c r="E40" s="773" t="s">
        <v>2403</v>
      </c>
      <c r="F40" s="783">
        <f ca="1">INDIRECT("'数据-取费表'!I"&amp;$G$1)</f>
        <v>0.05</v>
      </c>
      <c r="G40" s="1943"/>
      <c r="H40" s="1943"/>
      <c r="I40" s="825" t="s">
        <v>1809</v>
      </c>
      <c r="J40" s="833" t="e">
        <f ca="1">1-J39</f>
        <v>#DIV/0!</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t="e">
        <f ca="1">ROUND(C13/C40,3)</f>
        <v>#DIV/0!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0</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0</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9" t="s">
        <v>2920</v>
      </c>
      <c r="L53" s="3720"/>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0</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275" t="s">
        <v>1793</v>
      </c>
      <c r="E63" s="773" t="s">
        <v>1737</v>
      </c>
      <c r="F63" s="805">
        <f t="shared" ca="1" si="0"/>
        <v>0.01</v>
      </c>
      <c r="I63" s="2821" t="s">
        <v>2354</v>
      </c>
      <c r="J63" s="2822">
        <v>70</v>
      </c>
      <c r="K63" s="2822">
        <v>50</v>
      </c>
      <c r="L63" s="2822">
        <v>80</v>
      </c>
      <c r="M63" s="2824">
        <v>0.02</v>
      </c>
      <c r="O63" s="2251" t="s">
        <v>2375</v>
      </c>
      <c r="P63" s="2252" t="s">
        <v>2392</v>
      </c>
      <c r="Q63" s="2253">
        <f ca="1">Q57+Q58</f>
        <v>0</v>
      </c>
      <c r="R63" s="2256" t="s">
        <v>2376</v>
      </c>
    </row>
    <row r="64" spans="1:18" s="1940" customFormat="1" ht="16.5" thickBot="1">
      <c r="A64" s="1576" t="s">
        <v>1880</v>
      </c>
      <c r="B64" s="773" t="s">
        <v>673</v>
      </c>
      <c r="C64" s="53">
        <f ca="1">ROUND(C55*F64,1)</f>
        <v>0</v>
      </c>
      <c r="D64" s="3275" t="s">
        <v>674</v>
      </c>
      <c r="E64" s="773" t="s">
        <v>1737</v>
      </c>
      <c r="F64" s="806">
        <f t="shared" ca="1" si="0"/>
        <v>1E-3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276" t="s">
        <v>694</v>
      </c>
      <c r="E66" s="3280"/>
      <c r="F66" s="808"/>
      <c r="K66" s="1966"/>
      <c r="O66" s="2251" t="s">
        <v>2363</v>
      </c>
      <c r="P66" s="2252" t="s">
        <v>2393</v>
      </c>
      <c r="Q66" s="2253">
        <f ca="1">C40+J29</f>
        <v>0</v>
      </c>
      <c r="R66" s="2252" t="s">
        <v>2364</v>
      </c>
    </row>
    <row r="67" spans="1:18" s="1940" customFormat="1" ht="20.25" thickBot="1">
      <c r="A67" s="770" t="s">
        <v>1770</v>
      </c>
      <c r="B67" s="2110" t="s">
        <v>2288</v>
      </c>
      <c r="C67" s="772">
        <f ca="1">ROUND(C66*(1-((1+F69)/(1+F67))^F68)/(F67-F69),0)</f>
        <v>0</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0</v>
      </c>
      <c r="R68" s="2259" t="s">
        <v>2400</v>
      </c>
    </row>
    <row r="69" spans="1:18" ht="20.25" thickBot="1">
      <c r="A69" s="779"/>
      <c r="B69" s="780"/>
      <c r="C69" s="781"/>
      <c r="D69" s="804"/>
      <c r="E69" s="773" t="s">
        <v>704</v>
      </c>
      <c r="F69" s="2224"/>
      <c r="O69" s="2254" t="s">
        <v>2368</v>
      </c>
      <c r="P69" s="2260" t="s">
        <v>2382</v>
      </c>
      <c r="Q69" s="2253">
        <f ca="1">ROUND(Q70-Q71*Q72,0)</f>
        <v>0</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0</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6.5000000000000002E-2</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5" zoomScaleNormal="60" zoomScaleSheetLayoutView="85" workbookViewId="0">
      <selection activeCell="C33" sqref="C3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1668</v>
      </c>
      <c r="D1" s="2795" t="s">
        <v>943</v>
      </c>
      <c r="E1" s="2240" t="s">
        <v>2358</v>
      </c>
      <c r="F1" s="2241">
        <f ca="1">J53</f>
        <v>40</v>
      </c>
      <c r="G1" s="3254">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0</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1814</v>
      </c>
      <c r="B6" s="3713" t="s">
        <v>2444</v>
      </c>
      <c r="C6" s="772">
        <f ca="1">ROUND(F6*F8*F7*(1-F9)/10000,0)</f>
        <v>0</v>
      </c>
      <c r="D6" s="2348" t="s">
        <v>2443</v>
      </c>
      <c r="E6" s="773" t="s">
        <v>1728</v>
      </c>
      <c r="F6" s="774">
        <f ca="1">INDIRECT("'数据-取费表'!u"&amp;$G$1)</f>
        <v>2.5</v>
      </c>
      <c r="G6" s="1943"/>
      <c r="H6" s="2355" t="s">
        <v>2449</v>
      </c>
      <c r="I6" s="3713" t="s">
        <v>2444</v>
      </c>
      <c r="J6" s="772">
        <f ca="1">ROUND(M6*M8*M7*(1-M9)/10000,0)</f>
        <v>0</v>
      </c>
      <c r="K6" s="338" t="s">
        <v>1727</v>
      </c>
      <c r="L6" s="773" t="s">
        <v>1728</v>
      </c>
      <c r="M6" s="774">
        <f ca="1">INDIRECT("'数据-取费表'!z"&amp;$G$1)</f>
        <v>0</v>
      </c>
    </row>
    <row r="7" spans="1:33" ht="18" customHeight="1">
      <c r="A7" s="2351"/>
      <c r="B7" s="3714"/>
      <c r="C7" s="777"/>
      <c r="D7" s="778"/>
      <c r="E7" s="773" t="s">
        <v>1729</v>
      </c>
      <c r="F7" s="774">
        <f ca="1">IF(INDIRECT("'数据-取费表'!ah"&amp;$G$1)="",INDIRECT("'数据-取费表'!k"&amp;$G$1),INDIRECT("'数据-取费表'!ah"&amp;$G$1))</f>
        <v>0</v>
      </c>
      <c r="G7" s="1943"/>
      <c r="H7" s="2340"/>
      <c r="I7" s="3714"/>
      <c r="J7" s="777"/>
      <c r="K7" s="778"/>
      <c r="L7" s="773" t="s">
        <v>1729</v>
      </c>
      <c r="M7" s="774">
        <f ca="1">F7</f>
        <v>0</v>
      </c>
    </row>
    <row r="8" spans="1:33" ht="18" customHeight="1">
      <c r="A8" s="2344"/>
      <c r="B8" s="3715"/>
      <c r="C8" s="777"/>
      <c r="D8" s="778"/>
      <c r="E8" s="773" t="s">
        <v>1730</v>
      </c>
      <c r="F8" s="774">
        <f ca="1">INDIRECT("'数据-取费表'!ai"&amp;$G$1)</f>
        <v>365</v>
      </c>
      <c r="G8" s="1943"/>
      <c r="H8" s="2340"/>
      <c r="I8" s="3715"/>
      <c r="J8" s="777"/>
      <c r="K8" s="778"/>
      <c r="L8" s="773" t="s">
        <v>1730</v>
      </c>
      <c r="M8" s="774">
        <f ca="1">INDIRECT("'数据-取费表'!ai"&amp;$G$1)</f>
        <v>365</v>
      </c>
    </row>
    <row r="9" spans="1:33" ht="18" customHeight="1">
      <c r="A9" s="775"/>
      <c r="B9" s="3716"/>
      <c r="C9" s="777"/>
      <c r="D9" s="778"/>
      <c r="E9" s="773" t="s">
        <v>1731</v>
      </c>
      <c r="F9" s="783">
        <f ca="1">INDIRECT("'数据-取费表'!w"&amp;$G$1)</f>
        <v>0.1</v>
      </c>
      <c r="G9" s="1943"/>
      <c r="H9" s="2356"/>
      <c r="I9" s="3715"/>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276" t="s">
        <v>1735</v>
      </c>
      <c r="E14" s="327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278"/>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281"/>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0</v>
      </c>
      <c r="K22" s="3275"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v>
      </c>
      <c r="G26" s="1943"/>
      <c r="H26" s="2353" t="s">
        <v>1770</v>
      </c>
      <c r="I26" s="2110" t="s">
        <v>2799</v>
      </c>
      <c r="J26" s="772">
        <f ca="1">IF(J5&lt;&gt;0,ROUND(J25*(1-((1+M28)/(1+M26))^M27)/(M26-M28),0),0)</f>
        <v>0</v>
      </c>
      <c r="K26" s="802" t="s">
        <v>1771</v>
      </c>
      <c r="L26" s="773" t="s">
        <v>2403</v>
      </c>
      <c r="M26" s="783">
        <f ca="1">INDIRECT("'数据-取费表'!I"&amp;$G$1)</f>
        <v>0.05</v>
      </c>
    </row>
    <row r="27" spans="1:33" ht="18" customHeight="1">
      <c r="A27" s="1575" t="s">
        <v>1822</v>
      </c>
      <c r="B27" s="773" t="s">
        <v>680</v>
      </c>
      <c r="C27" s="53">
        <f ca="1">ROUND(F21*F26,4)</f>
        <v>0</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0</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275" t="s">
        <v>1793</v>
      </c>
      <c r="E36" s="773" t="s">
        <v>1786</v>
      </c>
      <c r="F36" s="805">
        <f ca="1">INDIRECT("'数据-取费表'!Ak"&amp;$G$1)</f>
        <v>1.4999999999999999E-2</v>
      </c>
      <c r="G36" s="1943"/>
      <c r="H36" s="1958"/>
      <c r="I36" s="827" t="s">
        <v>1805</v>
      </c>
      <c r="J36" s="828">
        <f ca="1">INDIRECT("'数据-取费表'!j"&amp;$G$1)</f>
        <v>0.06</v>
      </c>
      <c r="K36" s="1962"/>
      <c r="L36" s="1958"/>
      <c r="M36" s="1958"/>
    </row>
    <row r="37" spans="1:18" ht="18" customHeight="1">
      <c r="A37" s="1576" t="s">
        <v>1880</v>
      </c>
      <c r="B37" s="773" t="s">
        <v>673</v>
      </c>
      <c r="C37" s="53">
        <f ca="1">ROUND(C13*F37,1)</f>
        <v>0</v>
      </c>
      <c r="D37" s="3275"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0</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0</v>
      </c>
      <c r="D39" s="2398" t="s">
        <v>1796</v>
      </c>
      <c r="E39" s="2399"/>
      <c r="F39" s="2400"/>
      <c r="G39" s="1943"/>
      <c r="H39" s="1958"/>
      <c r="I39" s="825" t="s">
        <v>1808</v>
      </c>
      <c r="J39" s="833" t="e">
        <f ca="1">ROUND(J35/C39,3)</f>
        <v>#DIV/0!</v>
      </c>
      <c r="K39" s="1963"/>
      <c r="L39" s="1958"/>
      <c r="M39" s="1958"/>
    </row>
    <row r="40" spans="1:18" ht="18" customHeight="1">
      <c r="A40" s="770" t="s">
        <v>1885</v>
      </c>
      <c r="B40" s="2110" t="s">
        <v>2288</v>
      </c>
      <c r="C40" s="772">
        <f ca="1">ROUND(C39*(1-((1+F42)/(1+F40))^F41)/(F40-F42),0)</f>
        <v>0</v>
      </c>
      <c r="D40" s="802" t="s">
        <v>1797</v>
      </c>
      <c r="E40" s="773" t="s">
        <v>2403</v>
      </c>
      <c r="F40" s="783">
        <f ca="1">INDIRECT("'数据-取费表'!I"&amp;$G$1)</f>
        <v>0.05</v>
      </c>
      <c r="G40" s="1943"/>
      <c r="H40" s="1943"/>
      <c r="I40" s="825" t="s">
        <v>1809</v>
      </c>
      <c r="J40" s="833" t="e">
        <f ca="1">1-J39</f>
        <v>#DIV/0!</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t="e">
        <f ca="1">ROUND(C13/C40,3)</f>
        <v>#DIV/0!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0</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0</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9" t="s">
        <v>2920</v>
      </c>
      <c r="L53" s="3720"/>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0</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275" t="s">
        <v>1793</v>
      </c>
      <c r="E63" s="773" t="s">
        <v>1737</v>
      </c>
      <c r="F63" s="805">
        <f t="shared" ca="1" si="0"/>
        <v>1.4999999999999999E-2</v>
      </c>
      <c r="I63" s="2821" t="s">
        <v>2354</v>
      </c>
      <c r="J63" s="2822">
        <v>70</v>
      </c>
      <c r="K63" s="2822">
        <v>50</v>
      </c>
      <c r="L63" s="2822">
        <v>80</v>
      </c>
      <c r="M63" s="2824">
        <v>0.02</v>
      </c>
      <c r="O63" s="2251" t="s">
        <v>2375</v>
      </c>
      <c r="P63" s="2252" t="s">
        <v>2392</v>
      </c>
      <c r="Q63" s="2253">
        <f ca="1">Q57+Q58</f>
        <v>0</v>
      </c>
      <c r="R63" s="2256" t="s">
        <v>2376</v>
      </c>
    </row>
    <row r="64" spans="1:18" s="1940" customFormat="1" ht="16.5" thickBot="1">
      <c r="A64" s="1576" t="s">
        <v>1880</v>
      </c>
      <c r="B64" s="773" t="s">
        <v>673</v>
      </c>
      <c r="C64" s="53">
        <f ca="1">ROUND(C55*F64,1)</f>
        <v>0</v>
      </c>
      <c r="D64" s="3275"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276" t="s">
        <v>694</v>
      </c>
      <c r="E66" s="3280"/>
      <c r="F66" s="808"/>
      <c r="K66" s="1966"/>
      <c r="O66" s="2251" t="s">
        <v>2363</v>
      </c>
      <c r="P66" s="2252" t="s">
        <v>2393</v>
      </c>
      <c r="Q66" s="2253">
        <f ca="1">C40+J29</f>
        <v>0</v>
      </c>
      <c r="R66" s="2252" t="s">
        <v>2364</v>
      </c>
    </row>
    <row r="67" spans="1:18" s="1940" customFormat="1" ht="20.25" thickBot="1">
      <c r="A67" s="770" t="s">
        <v>1770</v>
      </c>
      <c r="B67" s="2110" t="s">
        <v>2288</v>
      </c>
      <c r="C67" s="772">
        <f ca="1">ROUND(C66*(1-((1+F69)/(1+F67))^F68)/(F67-F69),0)</f>
        <v>0</v>
      </c>
      <c r="D67" s="802" t="s">
        <v>698</v>
      </c>
      <c r="E67" s="773" t="s">
        <v>699</v>
      </c>
      <c r="F67" s="783">
        <f ca="1">F40</f>
        <v>0.05</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0</v>
      </c>
      <c r="R68" s="2259" t="s">
        <v>2400</v>
      </c>
    </row>
    <row r="69" spans="1:18" ht="20.25" thickBot="1">
      <c r="A69" s="779"/>
      <c r="B69" s="780"/>
      <c r="C69" s="781"/>
      <c r="D69" s="804"/>
      <c r="E69" s="773" t="s">
        <v>704</v>
      </c>
      <c r="F69" s="2224"/>
      <c r="O69" s="2254" t="s">
        <v>2368</v>
      </c>
      <c r="P69" s="2260" t="s">
        <v>2382</v>
      </c>
      <c r="Q69" s="2253">
        <f ca="1">ROUND(Q70-Q71*Q72,0)</f>
        <v>0</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0</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0.06</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7" priority="6">
      <formula>$L$48&gt;$J$51</formula>
    </cfRule>
  </conditionalFormatting>
  <conditionalFormatting sqref="I55">
    <cfRule type="expression" dxfId="126" priority="7">
      <formula>$J$51&gt;$L$48</formula>
    </cfRule>
  </conditionalFormatting>
  <conditionalFormatting sqref="I60">
    <cfRule type="expression" dxfId="125" priority="5">
      <formula>$J$51&gt;$L$48</formula>
    </cfRule>
  </conditionalFormatting>
  <conditionalFormatting sqref="K60">
    <cfRule type="expression" dxfId="124" priority="4">
      <formula>$L$48&gt;$J$51</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C1" sqref="C1"/>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625" style="1941" customWidth="1"/>
    <col min="6" max="6" width="10.625" style="1941" customWidth="1"/>
    <col min="7" max="7" width="4.875" style="1941" customWidth="1"/>
    <col min="8" max="8" width="8.5" style="1941" customWidth="1"/>
    <col min="9" max="9" width="21.125" style="1941" customWidth="1"/>
    <col min="10" max="10" width="12.1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625" style="1977" customWidth="1"/>
    <col min="18" max="18" width="23.5" style="1940" customWidth="1"/>
    <col min="19" max="19" width="1.5" style="1940" customWidth="1"/>
    <col min="20" max="33" width="9" style="1940"/>
    <col min="34" max="16384" width="9" style="1941"/>
  </cols>
  <sheetData>
    <row r="1" spans="1:33" s="1935" customFormat="1" ht="21">
      <c r="A1" s="820" t="s">
        <v>1715</v>
      </c>
      <c r="B1" s="729"/>
      <c r="C1" s="762" t="s">
        <v>3320</v>
      </c>
      <c r="D1" s="2795" t="s">
        <v>943</v>
      </c>
      <c r="E1" s="2240" t="s">
        <v>2358</v>
      </c>
      <c r="F1" s="2241">
        <f ca="1">J53</f>
        <v>40</v>
      </c>
      <c r="G1" s="3254">
        <f>MATCH(C1,'数据-取费表'!A6:A16,0)+5</f>
        <v>10</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1716</v>
      </c>
      <c r="B2" s="764">
        <f ca="1">C40+J29+L46</f>
        <v>0</v>
      </c>
      <c r="C2" s="3259"/>
      <c r="D2" s="3260"/>
      <c r="E2" s="3261"/>
      <c r="F2" s="3261"/>
      <c r="G2" s="3255"/>
      <c r="H2" s="1938"/>
      <c r="I2" s="1938"/>
      <c r="J2" s="1938"/>
      <c r="K2" s="1939"/>
      <c r="L2" s="1938"/>
      <c r="M2" s="1938"/>
    </row>
    <row r="3" spans="1:33" ht="18" customHeight="1" thickBot="1">
      <c r="A3" s="821" t="s">
        <v>1717</v>
      </c>
      <c r="B3" s="822">
        <f ca="1">IF(ISERROR(B2*10000/F43),0,ROUND(B2*10000/F43,0))</f>
        <v>0</v>
      </c>
      <c r="C3" s="3259"/>
      <c r="D3" s="3260"/>
      <c r="E3" s="3261"/>
      <c r="F3" s="3261"/>
      <c r="G3" s="3255"/>
      <c r="H3" s="765" t="s">
        <v>689</v>
      </c>
      <c r="I3" s="1314"/>
      <c r="J3" s="1314"/>
      <c r="K3" s="1524"/>
      <c r="L3" s="1314"/>
      <c r="M3" s="1314"/>
    </row>
    <row r="4" spans="1:33" ht="18" customHeight="1">
      <c r="A4" s="766" t="s">
        <v>1718</v>
      </c>
      <c r="B4" s="767" t="s">
        <v>1719</v>
      </c>
      <c r="C4" s="767" t="s">
        <v>1720</v>
      </c>
      <c r="D4" s="767" t="s">
        <v>627</v>
      </c>
      <c r="E4" s="768" t="s">
        <v>1721</v>
      </c>
      <c r="F4" s="769"/>
      <c r="G4" s="1943"/>
      <c r="H4" s="766" t="s">
        <v>1722</v>
      </c>
      <c r="I4" s="767" t="s">
        <v>1723</v>
      </c>
      <c r="J4" s="767" t="s">
        <v>1724</v>
      </c>
      <c r="K4" s="767" t="s">
        <v>1725</v>
      </c>
      <c r="L4" s="768" t="s">
        <v>1726</v>
      </c>
      <c r="M4" s="769"/>
    </row>
    <row r="5" spans="1:33" ht="18" customHeight="1">
      <c r="A5" s="770">
        <v>1</v>
      </c>
      <c r="B5" s="771" t="s">
        <v>2439</v>
      </c>
      <c r="C5" s="55">
        <f ca="1">C6+C10+C12</f>
        <v>0</v>
      </c>
      <c r="D5" s="2347" t="s">
        <v>2442</v>
      </c>
      <c r="E5" s="2341"/>
      <c r="F5" s="2342"/>
      <c r="G5" s="1943"/>
      <c r="H5" s="770">
        <v>1</v>
      </c>
      <c r="I5" s="771" t="s">
        <v>2439</v>
      </c>
      <c r="J5" s="55">
        <f ca="1">J6+J10+J12</f>
        <v>0</v>
      </c>
      <c r="K5" s="2347" t="s">
        <v>2442</v>
      </c>
      <c r="L5" s="2341"/>
      <c r="M5" s="2342"/>
    </row>
    <row r="6" spans="1:33" ht="18" customHeight="1">
      <c r="A6" s="1743" t="s">
        <v>1814</v>
      </c>
      <c r="B6" s="3713" t="s">
        <v>2444</v>
      </c>
      <c r="C6" s="772">
        <f ca="1">ROUND(F6*F8*F7*(1-F9)/10000,0)</f>
        <v>0</v>
      </c>
      <c r="D6" s="2348" t="s">
        <v>2443</v>
      </c>
      <c r="E6" s="773" t="s">
        <v>1728</v>
      </c>
      <c r="F6" s="774">
        <f ca="1">INDIRECT("'数据-取费表'!u"&amp;$G$1)</f>
        <v>1.9</v>
      </c>
      <c r="G6" s="1943"/>
      <c r="H6" s="2355" t="s">
        <v>2449</v>
      </c>
      <c r="I6" s="3713" t="s">
        <v>2444</v>
      </c>
      <c r="J6" s="772">
        <f ca="1">ROUND(M6*M8*M7*(1-M9)/10000,0)</f>
        <v>0</v>
      </c>
      <c r="K6" s="338" t="s">
        <v>1727</v>
      </c>
      <c r="L6" s="773" t="s">
        <v>1728</v>
      </c>
      <c r="M6" s="774">
        <f ca="1">INDIRECT("'数据-取费表'!z"&amp;$G$1)</f>
        <v>0</v>
      </c>
    </row>
    <row r="7" spans="1:33" ht="18" customHeight="1">
      <c r="A7" s="2351"/>
      <c r="B7" s="3714"/>
      <c r="C7" s="777"/>
      <c r="D7" s="778"/>
      <c r="E7" s="773" t="s">
        <v>1729</v>
      </c>
      <c r="F7" s="774">
        <f ca="1">IF(INDIRECT("'数据-取费表'!ah"&amp;$G$1)="",INDIRECT("'数据-取费表'!k"&amp;$G$1),INDIRECT("'数据-取费表'!ah"&amp;$G$1))</f>
        <v>0</v>
      </c>
      <c r="G7" s="1943"/>
      <c r="H7" s="2340"/>
      <c r="I7" s="3714"/>
      <c r="J7" s="777"/>
      <c r="K7" s="778"/>
      <c r="L7" s="773" t="s">
        <v>1729</v>
      </c>
      <c r="M7" s="774">
        <f ca="1">F7</f>
        <v>0</v>
      </c>
    </row>
    <row r="8" spans="1:33" ht="18" customHeight="1">
      <c r="A8" s="2344"/>
      <c r="B8" s="3715"/>
      <c r="C8" s="777"/>
      <c r="D8" s="778"/>
      <c r="E8" s="773" t="s">
        <v>1730</v>
      </c>
      <c r="F8" s="774">
        <f ca="1">INDIRECT("'数据-取费表'!ai"&amp;$G$1)</f>
        <v>365</v>
      </c>
      <c r="G8" s="1943"/>
      <c r="H8" s="2340"/>
      <c r="I8" s="3715"/>
      <c r="J8" s="777"/>
      <c r="K8" s="778"/>
      <c r="L8" s="773" t="s">
        <v>1730</v>
      </c>
      <c r="M8" s="774">
        <f ca="1">INDIRECT("'数据-取费表'!ai"&amp;$G$1)</f>
        <v>365</v>
      </c>
    </row>
    <row r="9" spans="1:33" ht="18" customHeight="1">
      <c r="A9" s="775"/>
      <c r="B9" s="3716"/>
      <c r="C9" s="777"/>
      <c r="D9" s="778"/>
      <c r="E9" s="773" t="s">
        <v>1731</v>
      </c>
      <c r="F9" s="783">
        <f ca="1">INDIRECT("'数据-取费表'!w"&amp;$G$1)</f>
        <v>0.05</v>
      </c>
      <c r="G9" s="1943"/>
      <c r="H9" s="2356"/>
      <c r="I9" s="3715"/>
      <c r="J9" s="777"/>
      <c r="K9" s="778"/>
      <c r="L9" s="784" t="s">
        <v>1731</v>
      </c>
      <c r="M9" s="785">
        <f ca="1">INDIRECT("'数据-取费表'!ab"&amp;$G$1)</f>
        <v>0</v>
      </c>
    </row>
    <row r="10" spans="1:33" ht="18" customHeight="1">
      <c r="A10" s="1743" t="s">
        <v>2447</v>
      </c>
      <c r="B10" s="2345" t="s">
        <v>2440</v>
      </c>
      <c r="C10" s="788">
        <f ca="1">ROUND(IF(F10="押一",C6/12*F11,IF(F10="押二",C6/12*2*F11,IF(F10="押三",C6/12*3*F11,C11*F11))),0)</f>
        <v>0</v>
      </c>
      <c r="D10" s="2352" t="s">
        <v>2927</v>
      </c>
      <c r="E10" s="2349" t="s">
        <v>2445</v>
      </c>
      <c r="F10" s="2462" t="s">
        <v>3350</v>
      </c>
      <c r="G10" s="1943"/>
      <c r="H10" s="2411" t="s">
        <v>2450</v>
      </c>
      <c r="I10" s="2416" t="s">
        <v>2440</v>
      </c>
      <c r="J10" s="772">
        <f ca="1">ROUND(IF(M10="押一",J6/12*M11,IF(M10="押二",J6/12*2*M11,IF(M10="押三",J6/12*3*M11,J11*M11))),0)</f>
        <v>0</v>
      </c>
      <c r="K10" s="2352" t="s">
        <v>2927</v>
      </c>
      <c r="L10" s="2349" t="s">
        <v>2445</v>
      </c>
      <c r="M10" s="2462"/>
    </row>
    <row r="11" spans="1:33" ht="18" customHeight="1">
      <c r="A11" s="779"/>
      <c r="B11" s="2346" t="s">
        <v>2547</v>
      </c>
      <c r="C11" s="2350"/>
      <c r="D11" s="778"/>
      <c r="E11" s="2349" t="s">
        <v>2437</v>
      </c>
      <c r="F11" s="785">
        <f ca="1">'数据-取费表'!B39</f>
        <v>1.4999999999999999E-2</v>
      </c>
      <c r="G11" s="1943"/>
      <c r="H11" s="2412"/>
      <c r="I11" s="2346" t="s">
        <v>2547</v>
      </c>
      <c r="J11" s="2350"/>
      <c r="K11" s="2413"/>
      <c r="L11" s="2349" t="s">
        <v>2437</v>
      </c>
      <c r="M11" s="2343">
        <f ca="1">'数据-取费表'!B39</f>
        <v>1.4999999999999999E-2</v>
      </c>
    </row>
    <row r="12" spans="1:33" ht="18" customHeight="1" thickBot="1">
      <c r="A12" s="2387" t="s">
        <v>2448</v>
      </c>
      <c r="B12" s="2388" t="s">
        <v>2441</v>
      </c>
      <c r="C12" s="2389"/>
      <c r="D12" s="2390"/>
      <c r="E12" s="2391"/>
      <c r="F12" s="2392"/>
      <c r="G12" s="1943"/>
      <c r="H12" s="2401" t="s">
        <v>2451</v>
      </c>
      <c r="I12" s="2414" t="s">
        <v>2441</v>
      </c>
      <c r="J12" s="2415"/>
      <c r="K12" s="2390"/>
      <c r="L12" s="2391"/>
      <c r="M12" s="2404"/>
    </row>
    <row r="13" spans="1:33" ht="18" customHeight="1" thickTop="1">
      <c r="A13" s="1742">
        <v>2</v>
      </c>
      <c r="B13" s="1740" t="s">
        <v>1732</v>
      </c>
      <c r="C13" s="781">
        <f ca="1">ROUND(C29*F13,0)</f>
        <v>0</v>
      </c>
      <c r="D13" s="1747" t="s">
        <v>2284</v>
      </c>
      <c r="E13" s="1747" t="s">
        <v>1734</v>
      </c>
      <c r="F13" s="2386">
        <f ca="1">INDIRECT("'数据-取费表'!y"&amp;$G$1)</f>
        <v>1</v>
      </c>
      <c r="G13" s="1943"/>
      <c r="H13" s="1742">
        <v>2</v>
      </c>
      <c r="I13" s="1740" t="s">
        <v>1732</v>
      </c>
      <c r="J13" s="1732">
        <f ca="1">ROUND(J14*J15,0)</f>
        <v>0</v>
      </c>
      <c r="K13" s="1734" t="s">
        <v>1733</v>
      </c>
      <c r="L13" s="2402"/>
      <c r="M13" s="2403"/>
    </row>
    <row r="14" spans="1:33" ht="18" customHeight="1">
      <c r="A14" s="1575" t="s">
        <v>1874</v>
      </c>
      <c r="B14" s="773" t="s">
        <v>639</v>
      </c>
      <c r="C14" s="793">
        <f ca="1">INDIRECT("'数据-取费表'!m"&amp;$G$1)+INDIRECT("'数据-取费表'!t"&amp;$G$1)</f>
        <v>0</v>
      </c>
      <c r="D14" s="3276" t="s">
        <v>1735</v>
      </c>
      <c r="E14" s="3277"/>
      <c r="F14" s="794"/>
      <c r="G14" s="1943"/>
      <c r="H14" s="1576" t="s">
        <v>1820</v>
      </c>
      <c r="I14" s="2109" t="s">
        <v>2797</v>
      </c>
      <c r="J14" s="53">
        <f ca="1">C29</f>
        <v>0</v>
      </c>
      <c r="K14" s="26"/>
      <c r="L14" s="790"/>
      <c r="M14" s="791"/>
    </row>
    <row r="15" spans="1:33" s="1945" customFormat="1" ht="18" customHeight="1" thickBot="1">
      <c r="A15" s="1575" t="s">
        <v>1875</v>
      </c>
      <c r="B15" s="773" t="s">
        <v>641</v>
      </c>
      <c r="C15" s="53">
        <f ca="1">ROUND(C14*F15,0)</f>
        <v>0</v>
      </c>
      <c r="D15" s="795" t="s">
        <v>1736</v>
      </c>
      <c r="E15" s="795" t="s">
        <v>1737</v>
      </c>
      <c r="F15" s="796">
        <f>'数据-取费表'!B33</f>
        <v>0.05</v>
      </c>
      <c r="G15" s="3256"/>
      <c r="H15" s="2401" t="s">
        <v>1879</v>
      </c>
      <c r="I15" s="2396" t="s">
        <v>1734</v>
      </c>
      <c r="J15" s="2405">
        <f ca="1">INDIRECT("'数据-取费表'!ad"&amp;$G$1)</f>
        <v>0</v>
      </c>
      <c r="K15" s="2406"/>
      <c r="L15" s="2407"/>
      <c r="M15" s="2408"/>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3"/>
      <c r="H16" s="1742" t="s">
        <v>1738</v>
      </c>
      <c r="I16" s="1740" t="s">
        <v>1739</v>
      </c>
      <c r="J16" s="781">
        <f ca="1">ROUND(J17+J22+J23+J24,0)</f>
        <v>0</v>
      </c>
      <c r="K16" s="1734" t="s">
        <v>1740</v>
      </c>
      <c r="L16" s="3278"/>
      <c r="M16" s="2342"/>
    </row>
    <row r="17" spans="1:33" s="1945" customFormat="1" ht="18" customHeight="1">
      <c r="A17" s="1575" t="s">
        <v>1877</v>
      </c>
      <c r="B17" s="773" t="s">
        <v>647</v>
      </c>
      <c r="C17" s="53">
        <f ca="1">ROUND(F17*(F43+INDIRECT("'数据-取费表'!S"&amp;$G$1))/10000,0)</f>
        <v>0</v>
      </c>
      <c r="D17" s="773" t="s">
        <v>1741</v>
      </c>
      <c r="E17" s="773" t="s">
        <v>1742</v>
      </c>
      <c r="F17" s="56">
        <f>'数据-取费表'!B35</f>
        <v>350</v>
      </c>
      <c r="G17" s="3256"/>
      <c r="H17" s="1576" t="s">
        <v>1820</v>
      </c>
      <c r="I17" s="773" t="s">
        <v>650</v>
      </c>
      <c r="J17" s="3016">
        <f ca="1">ROUND(IF(AND(项目基本情况!B11="自然人",项目基本情况!B10="北京市"),J6*M17/(1+'数据-取费表'!C42),J18+J19+J20),0)</f>
        <v>0</v>
      </c>
      <c r="K17" s="3276" t="s">
        <v>1743</v>
      </c>
      <c r="L17" s="3275" t="s">
        <v>1744</v>
      </c>
      <c r="M17" s="3015"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1878</v>
      </c>
      <c r="B18" s="773" t="s">
        <v>653</v>
      </c>
      <c r="C18" s="53">
        <f ca="1">ROUND(C14*F18,0)</f>
        <v>0</v>
      </c>
      <c r="D18" s="773" t="s">
        <v>1736</v>
      </c>
      <c r="E18" s="773" t="s">
        <v>1737</v>
      </c>
      <c r="F18" s="798">
        <f>'数据-取费表'!B36</f>
        <v>1.4999999999999999E-2</v>
      </c>
      <c r="G18" s="3256"/>
      <c r="H18" s="1575" t="s">
        <v>1874</v>
      </c>
      <c r="I18" s="773" t="s">
        <v>1745</v>
      </c>
      <c r="J18" s="53">
        <f ca="1">ROUND(J6*M18/(1+'数据-取费表'!C42),1)</f>
        <v>0</v>
      </c>
      <c r="K18" s="3275" t="s">
        <v>1746</v>
      </c>
      <c r="L18" s="773" t="s">
        <v>1737</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1820</v>
      </c>
      <c r="B19" s="773" t="s">
        <v>656</v>
      </c>
      <c r="C19" s="53">
        <f ca="1">SUM(C14:C18)</f>
        <v>0</v>
      </c>
      <c r="D19" s="258" t="s">
        <v>1747</v>
      </c>
      <c r="E19" s="3281"/>
      <c r="F19" s="56"/>
      <c r="G19" s="1943"/>
      <c r="H19" s="1575" t="s">
        <v>1875</v>
      </c>
      <c r="I19" s="773" t="s">
        <v>1748</v>
      </c>
      <c r="J19" s="53">
        <f ca="1">IF(K19="按租金收入计税",ROUND(J6*M19/(1+'数据-取费表'!C42),1),ROUND(C29*F33*0.7,1))</f>
        <v>0</v>
      </c>
      <c r="K19" s="799" t="s">
        <v>659</v>
      </c>
      <c r="L19" s="773" t="s">
        <v>1737</v>
      </c>
      <c r="M19" s="798">
        <f>IF(K19="按租金收入计税",'数据-取费表'!B51,'数据-取费表'!B50)</f>
        <v>1.2E-2</v>
      </c>
    </row>
    <row r="20" spans="1:33" s="1945" customFormat="1" ht="18" customHeight="1">
      <c r="A20" s="1576" t="s">
        <v>1879</v>
      </c>
      <c r="B20" s="773" t="s">
        <v>660</v>
      </c>
      <c r="C20" s="53">
        <f ca="1">ROUND(C19*F20,0)</f>
        <v>0</v>
      </c>
      <c r="D20" s="800" t="s">
        <v>1749</v>
      </c>
      <c r="E20" s="773" t="s">
        <v>1737</v>
      </c>
      <c r="F20" s="798">
        <f>'数据-取费表'!B37</f>
        <v>0.01</v>
      </c>
      <c r="G20" s="3256"/>
      <c r="H20" s="1578" t="s">
        <v>1870</v>
      </c>
      <c r="I20" s="338" t="s">
        <v>1750</v>
      </c>
      <c r="J20" s="54">
        <f ca="1">ROUND(M20*M21/10000,0)</f>
        <v>0</v>
      </c>
      <c r="K20" s="802" t="s">
        <v>1751</v>
      </c>
      <c r="L20" s="773" t="s">
        <v>1752</v>
      </c>
      <c r="M20" s="631">
        <f>'数据-取费表'!B52</f>
        <v>3</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1880</v>
      </c>
      <c r="B21" s="773" t="s">
        <v>1753</v>
      </c>
      <c r="C21" s="53" t="s">
        <v>1754</v>
      </c>
      <c r="D21" s="800" t="s">
        <v>2285</v>
      </c>
      <c r="E21" s="773" t="s">
        <v>1755</v>
      </c>
      <c r="F21" s="798">
        <f>'数据-取费表'!B38</f>
        <v>0.01</v>
      </c>
      <c r="G21" s="3256"/>
      <c r="H21" s="2357"/>
      <c r="I21" s="782"/>
      <c r="J21" s="69"/>
      <c r="K21" s="804"/>
      <c r="L21" s="773" t="s">
        <v>1756</v>
      </c>
      <c r="M21" s="774">
        <f ca="1">INDIRECT("'数据-取费表'!r"&amp;$G$1)</f>
        <v>0</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1881</v>
      </c>
      <c r="B22" s="773" t="s">
        <v>1757</v>
      </c>
      <c r="C22" s="53"/>
      <c r="D22" s="2421" t="str">
        <f>IF(F23&lt;=1,"单利计息。","复利计息。")&amp;"建造成本、管理费用、销售费用产生的利息。"</f>
        <v>复利计息。建造成本、管理费用、销售费用产生的利息。</v>
      </c>
      <c r="E22" s="3281"/>
      <c r="F22" s="56"/>
      <c r="G22" s="1943"/>
      <c r="H22" s="1576" t="s">
        <v>1879</v>
      </c>
      <c r="I22" s="773" t="s">
        <v>1758</v>
      </c>
      <c r="J22" s="53">
        <f ca="1">ROUND(J14*M22,0)</f>
        <v>0</v>
      </c>
      <c r="K22" s="3275" t="s">
        <v>1759</v>
      </c>
      <c r="L22" s="773" t="s">
        <v>1737</v>
      </c>
      <c r="M22" s="805">
        <f ca="1">INDIRECT("'数据-取费表'!Ak"&amp;$G$1)</f>
        <v>1.4999999999999999E-2</v>
      </c>
    </row>
    <row r="23" spans="1:33" s="1945" customFormat="1" ht="18" customHeight="1">
      <c r="A23" s="1575" t="s">
        <v>1821</v>
      </c>
      <c r="B23" s="773" t="s">
        <v>2509</v>
      </c>
      <c r="C23" s="53">
        <f ca="1">ROUND(IF('数据-取费表'!B22&lt;=1,(C19+C20)*F24*F23/2,(C19+C20)*(POWER((1+F24),F23/2)-1)),0)</f>
        <v>0</v>
      </c>
      <c r="D23" s="2420" t="str">
        <f>IF(F23&lt;=1,"(建造成本+管理费用)×利率×(建设周期÷2)","(建造成本+管理费用)×((1+利率)^(建设周期÷2)-1)")</f>
        <v>(建造成本+管理费用)×((1+利率)^(建设周期÷2)-1)</v>
      </c>
      <c r="E23" s="773" t="s">
        <v>1760</v>
      </c>
      <c r="F23" s="631">
        <f>'数据-取费表'!B20</f>
        <v>1.5</v>
      </c>
      <c r="G23" s="3256"/>
      <c r="H23" s="1576" t="s">
        <v>1880</v>
      </c>
      <c r="I23" s="773" t="s">
        <v>673</v>
      </c>
      <c r="J23" s="53">
        <f ca="1">ROUND(J13*M23,0)</f>
        <v>0</v>
      </c>
      <c r="K23" s="3275" t="s">
        <v>1761</v>
      </c>
      <c r="L23" s="773" t="s">
        <v>1737</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1822</v>
      </c>
      <c r="B24" s="773" t="s">
        <v>1762</v>
      </c>
      <c r="C24" s="53">
        <f ca="1">ROUND(IF('数据-取费表'!B22&lt;=1,F21*F24*F23/2,F21*(POWER((1+F24),F23/2)-1)),4)</f>
        <v>4.0000000000000002E-4</v>
      </c>
      <c r="D24" s="2420" t="str">
        <f>IF(F23&lt;=1,"销售费用×利率×(建设周期÷2)","销售费用×((1+利率)^(建设周期÷2)-1)")</f>
        <v>销售费用×((1+利率)^(建设周期÷2)-1)</v>
      </c>
      <c r="E24" s="773" t="s">
        <v>1763</v>
      </c>
      <c r="F24" s="807">
        <f ca="1">'数据-取费表'!B40</f>
        <v>4.7500000000000001E-2</v>
      </c>
      <c r="G24" s="3256"/>
      <c r="H24" s="2401" t="s">
        <v>1881</v>
      </c>
      <c r="I24" s="2396" t="s">
        <v>660</v>
      </c>
      <c r="J24" s="2394">
        <f ca="1">ROUND(J5*M24,0)</f>
        <v>0</v>
      </c>
      <c r="K24" s="2395" t="s">
        <v>1764</v>
      </c>
      <c r="L24" s="2396" t="s">
        <v>1737</v>
      </c>
      <c r="M24" s="2392">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1830</v>
      </c>
      <c r="B25" s="773" t="s">
        <v>678</v>
      </c>
      <c r="C25" s="53"/>
      <c r="D25" s="258" t="s">
        <v>1765</v>
      </c>
      <c r="E25" s="3281"/>
      <c r="F25" s="56"/>
      <c r="G25" s="1943"/>
      <c r="H25" s="1742" t="s">
        <v>1766</v>
      </c>
      <c r="I25" s="2720" t="s">
        <v>2794</v>
      </c>
      <c r="J25" s="781">
        <f ca="1">J5-J16</f>
        <v>0</v>
      </c>
      <c r="K25" s="2398" t="s">
        <v>1767</v>
      </c>
      <c r="L25" s="2399"/>
      <c r="M25" s="2400"/>
    </row>
    <row r="26" spans="1:33" ht="18" customHeight="1">
      <c r="A26" s="1575" t="s">
        <v>1821</v>
      </c>
      <c r="B26" s="773" t="s">
        <v>2421</v>
      </c>
      <c r="C26" s="53">
        <f ca="1">ROUND((C19+C20)*F26,0)</f>
        <v>0</v>
      </c>
      <c r="D26" s="800" t="s">
        <v>1768</v>
      </c>
      <c r="E26" s="784" t="s">
        <v>1769</v>
      </c>
      <c r="F26" s="783">
        <f ca="1">INDIRECT("'数据-取费表'!q"&amp;$G$1)</f>
        <v>0</v>
      </c>
      <c r="G26" s="1943"/>
      <c r="H26" s="2353" t="s">
        <v>1770</v>
      </c>
      <c r="I26" s="2110" t="s">
        <v>2799</v>
      </c>
      <c r="J26" s="772">
        <f ca="1">IF(J5&lt;&gt;0,ROUND(J25*(1-((1+M28)/(1+M26))^M27)/(M26-M28),0),0)</f>
        <v>0</v>
      </c>
      <c r="K26" s="802" t="s">
        <v>1771</v>
      </c>
      <c r="L26" s="773" t="s">
        <v>2403</v>
      </c>
      <c r="M26" s="783">
        <f ca="1">INDIRECT("'数据-取费表'!I"&amp;$G$1)</f>
        <v>0.04</v>
      </c>
    </row>
    <row r="27" spans="1:33" ht="18" customHeight="1">
      <c r="A27" s="1575" t="s">
        <v>1822</v>
      </c>
      <c r="B27" s="773" t="s">
        <v>680</v>
      </c>
      <c r="C27" s="53">
        <f ca="1">ROUND(F21*F26,4)</f>
        <v>0</v>
      </c>
      <c r="D27" s="800" t="s">
        <v>1772</v>
      </c>
      <c r="E27" s="795"/>
      <c r="F27" s="796"/>
      <c r="G27" s="1943"/>
      <c r="H27" s="2354"/>
      <c r="I27" s="776"/>
      <c r="J27" s="777"/>
      <c r="K27" s="809" t="s">
        <v>1773</v>
      </c>
      <c r="L27" s="773" t="s">
        <v>1774</v>
      </c>
      <c r="M27" s="810">
        <f ca="1">INDIRECT("'数据-取费表'!ag"&amp;$G$1)</f>
        <v>0</v>
      </c>
    </row>
    <row r="28" spans="1:33" s="1945" customFormat="1" ht="18" customHeight="1">
      <c r="A28" s="1577" t="s">
        <v>1831</v>
      </c>
      <c r="B28" s="773" t="s">
        <v>681</v>
      </c>
      <c r="C28" s="53">
        <f>ROUND(F28/(1+'数据-取费表'!C42),4)</f>
        <v>5.2400000000000002E-2</v>
      </c>
      <c r="D28" s="800" t="s">
        <v>2286</v>
      </c>
      <c r="E28" s="773" t="s">
        <v>1775</v>
      </c>
      <c r="F28" s="798">
        <f>'数据-取费表'!B41</f>
        <v>5.5000000000000007E-2</v>
      </c>
      <c r="G28" s="3256"/>
      <c r="H28" s="1742"/>
      <c r="I28" s="780"/>
      <c r="J28" s="781"/>
      <c r="K28" s="804"/>
      <c r="L28" s="773" t="s">
        <v>1776</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3" t="s">
        <v>1882</v>
      </c>
      <c r="B29" s="2391" t="s">
        <v>2287</v>
      </c>
      <c r="C29" s="2394">
        <f ca="1">ROUND((C19+C20+C23+C26)/(1-F21-C24-C27-C28),0)</f>
        <v>0</v>
      </c>
      <c r="D29" s="2395"/>
      <c r="E29" s="2396"/>
      <c r="F29" s="2397"/>
      <c r="G29" s="3256"/>
      <c r="H29" s="811" t="s">
        <v>1777</v>
      </c>
      <c r="I29" s="812" t="s">
        <v>1778</v>
      </c>
      <c r="J29" s="813">
        <f ca="1">ROUND(J26/(1+F40)^F41,0)</f>
        <v>0</v>
      </c>
      <c r="K29" s="814" t="s">
        <v>1779</v>
      </c>
      <c r="L29" s="815"/>
      <c r="M29" s="816">
        <f ca="1">INDIRECT("'数据-取费表'!k"&amp;$G$1)</f>
        <v>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1883</v>
      </c>
      <c r="B30" s="1740" t="s">
        <v>1780</v>
      </c>
      <c r="C30" s="781">
        <f ca="1">ROUND(C31+C36+C37+C38,0)</f>
        <v>0</v>
      </c>
      <c r="D30" s="1734" t="s">
        <v>1781</v>
      </c>
      <c r="E30" s="3278"/>
      <c r="F30" s="2342"/>
      <c r="G30" s="1943"/>
      <c r="H30" s="1946"/>
      <c r="I30" s="1947"/>
      <c r="J30" s="1948"/>
      <c r="K30" s="1949"/>
      <c r="L30" s="1950"/>
      <c r="M30" s="1951"/>
    </row>
    <row r="31" spans="1:33" ht="18" customHeight="1">
      <c r="A31" s="1576" t="s">
        <v>1820</v>
      </c>
      <c r="B31" s="773" t="s">
        <v>650</v>
      </c>
      <c r="C31" s="3016">
        <f ca="1">ROUND(IF(AND(项目基本情况!B11="自然人",项目基本情况!B10="北京市"),C6*F31/(1+'数据-取费表'!C42),C32+C33+C34),0)</f>
        <v>0</v>
      </c>
      <c r="D31" s="3276" t="s">
        <v>1782</v>
      </c>
      <c r="E31" s="3275" t="s">
        <v>1783</v>
      </c>
      <c r="F31" s="3015" t="str">
        <f>IF(项目基本情况!B11="企业","——",IF('数据-取费表'!B10="住宅",IF(F6*F7*F8/12/(1+'数据-取费表'!F30)&gt;100000,4%,2.5%),IF(F6*F7*F8/12/(1+'数据-取费表'!F30)&gt;100000,12%,7%)))</f>
        <v>——</v>
      </c>
      <c r="G31" s="1943"/>
      <c r="H31" s="3253" t="s">
        <v>2982</v>
      </c>
      <c r="I31" s="1947"/>
      <c r="J31" s="1948"/>
      <c r="K31" s="1949"/>
      <c r="L31" s="1950"/>
      <c r="M31" s="1951"/>
    </row>
    <row r="32" spans="1:33" ht="18" customHeight="1">
      <c r="A32" s="1575" t="s">
        <v>1821</v>
      </c>
      <c r="B32" s="773" t="s">
        <v>1784</v>
      </c>
      <c r="C32" s="53">
        <f ca="1">ROUND(C6*F32/(1+'数据-取费表'!C42),1)</f>
        <v>0</v>
      </c>
      <c r="D32" s="3275" t="s">
        <v>1785</v>
      </c>
      <c r="E32" s="773" t="s">
        <v>1786</v>
      </c>
      <c r="F32" s="798">
        <f>'数据-取费表'!B41</f>
        <v>5.5000000000000007E-2</v>
      </c>
      <c r="G32" s="1943"/>
      <c r="H32" s="1952"/>
      <c r="I32" s="1953"/>
      <c r="J32" s="1954"/>
      <c r="K32" s="1955"/>
      <c r="L32" s="1956"/>
      <c r="M32" s="1957"/>
    </row>
    <row r="33" spans="1:18" ht="18" customHeight="1">
      <c r="A33" s="1575" t="s">
        <v>1822</v>
      </c>
      <c r="B33" s="773" t="s">
        <v>1787</v>
      </c>
      <c r="C33" s="53">
        <f ca="1">IF(D33="按租金收入计税",ROUND(C6*F33/(1+'数据-取费表'!C42),1),IF(D33="按房产原值计税",ROUND(C29*F33*0.7,1),INDIRECT("'数据-取费表'!Aj"&amp;$G$1)))</f>
        <v>0</v>
      </c>
      <c r="D33" s="799" t="s">
        <v>3349</v>
      </c>
      <c r="E33" s="773" t="s">
        <v>1786</v>
      </c>
      <c r="F33" s="798">
        <f>IF(D33="按租金收入计税",'数据-取费表'!B51,'数据-取费表'!B50)</f>
        <v>1.2E-2</v>
      </c>
      <c r="G33" s="1943"/>
      <c r="H33" s="1958"/>
      <c r="I33" s="1958"/>
      <c r="J33" s="1958"/>
      <c r="K33" s="1959"/>
      <c r="L33" s="1958"/>
      <c r="M33" s="1958"/>
    </row>
    <row r="34" spans="1:18" ht="18" customHeight="1">
      <c r="A34" s="1578" t="s">
        <v>1823</v>
      </c>
      <c r="B34" s="338" t="s">
        <v>1788</v>
      </c>
      <c r="C34" s="54">
        <f ca="1">ROUND(F34*F35/10000,1)</f>
        <v>0</v>
      </c>
      <c r="D34" s="802" t="s">
        <v>1789</v>
      </c>
      <c r="E34" s="773" t="s">
        <v>1790</v>
      </c>
      <c r="F34" s="631">
        <f>'数据-取费表'!B52</f>
        <v>3</v>
      </c>
      <c r="G34" s="1943"/>
      <c r="H34" s="1946"/>
      <c r="I34" s="823" t="s">
        <v>1803</v>
      </c>
      <c r="J34" s="824"/>
      <c r="K34" s="1961"/>
      <c r="L34" s="1960"/>
      <c r="M34" s="1960"/>
    </row>
    <row r="35" spans="1:18" ht="18" customHeight="1">
      <c r="A35" s="803"/>
      <c r="B35" s="782"/>
      <c r="C35" s="69"/>
      <c r="D35" s="804"/>
      <c r="E35" s="773" t="s">
        <v>1791</v>
      </c>
      <c r="F35" s="774">
        <f ca="1">INDIRECT("'数据-取费表'!r"&amp;$G$1)</f>
        <v>0</v>
      </c>
      <c r="G35" s="1943"/>
      <c r="H35" s="1946"/>
      <c r="I35" s="825" t="s">
        <v>1804</v>
      </c>
      <c r="J35" s="826">
        <f ca="1">ROUND(C13*J36,0)</f>
        <v>0</v>
      </c>
      <c r="K35" s="1959"/>
      <c r="L35" s="1958"/>
      <c r="M35" s="1958"/>
    </row>
    <row r="36" spans="1:18" ht="18" customHeight="1">
      <c r="A36" s="1576" t="s">
        <v>1879</v>
      </c>
      <c r="B36" s="773" t="s">
        <v>1792</v>
      </c>
      <c r="C36" s="53">
        <f ca="1">ROUND(C29*F36,1)</f>
        <v>0</v>
      </c>
      <c r="D36" s="3275" t="s">
        <v>1793</v>
      </c>
      <c r="E36" s="773" t="s">
        <v>1786</v>
      </c>
      <c r="F36" s="805">
        <f ca="1">INDIRECT("'数据-取费表'!Ak"&amp;$G$1)</f>
        <v>1.4999999999999999E-2</v>
      </c>
      <c r="G36" s="1943"/>
      <c r="H36" s="1958"/>
      <c r="I36" s="827" t="s">
        <v>1805</v>
      </c>
      <c r="J36" s="828">
        <f ca="1">INDIRECT("'数据-取费表'!j"&amp;$G$1)</f>
        <v>0.05</v>
      </c>
      <c r="K36" s="1962"/>
      <c r="L36" s="1958"/>
      <c r="M36" s="1958"/>
    </row>
    <row r="37" spans="1:18" ht="18" customHeight="1">
      <c r="A37" s="1576" t="s">
        <v>1880</v>
      </c>
      <c r="B37" s="773" t="s">
        <v>673</v>
      </c>
      <c r="C37" s="53">
        <f ca="1">ROUND(C13*F37,1)</f>
        <v>0</v>
      </c>
      <c r="D37" s="3275" t="s">
        <v>1794</v>
      </c>
      <c r="E37" s="773" t="s">
        <v>1786</v>
      </c>
      <c r="F37" s="806">
        <f ca="1">INDIRECT("'数据-取费表'!Al"&amp;$G$1)</f>
        <v>1.5E-3</v>
      </c>
      <c r="G37" s="1943"/>
      <c r="H37" s="1958"/>
      <c r="I37" s="829" t="s">
        <v>1806</v>
      </c>
      <c r="J37" s="830"/>
      <c r="K37" s="1962"/>
      <c r="L37" s="1958"/>
      <c r="M37" s="1958"/>
    </row>
    <row r="38" spans="1:18" ht="18" customHeight="1" thickBot="1">
      <c r="A38" s="2401" t="s">
        <v>1881</v>
      </c>
      <c r="B38" s="2396" t="s">
        <v>660</v>
      </c>
      <c r="C38" s="2394">
        <f ca="1">ROUND(C5*F38,1)</f>
        <v>0</v>
      </c>
      <c r="D38" s="2395" t="s">
        <v>1795</v>
      </c>
      <c r="E38" s="2396" t="s">
        <v>1786</v>
      </c>
      <c r="F38" s="2392">
        <f ca="1">INDIRECT("'数据-取费表'!Am"&amp;$G$1)</f>
        <v>0.01</v>
      </c>
      <c r="G38" s="1943"/>
      <c r="H38" s="1958"/>
      <c r="I38" s="831" t="s">
        <v>1807</v>
      </c>
      <c r="J38" s="832"/>
      <c r="K38" s="1963"/>
      <c r="L38" s="1958"/>
      <c r="M38" s="1958"/>
    </row>
    <row r="39" spans="1:18" ht="24.6" customHeight="1" thickTop="1">
      <c r="A39" s="1742" t="s">
        <v>1884</v>
      </c>
      <c r="B39" s="2720" t="s">
        <v>2794</v>
      </c>
      <c r="C39" s="781">
        <f ca="1">C5-C30</f>
        <v>0</v>
      </c>
      <c r="D39" s="2398" t="s">
        <v>1796</v>
      </c>
      <c r="E39" s="2399"/>
      <c r="F39" s="2400"/>
      <c r="G39" s="1943"/>
      <c r="H39" s="1958"/>
      <c r="I39" s="825" t="s">
        <v>1808</v>
      </c>
      <c r="J39" s="833" t="e">
        <f ca="1">ROUND(J35/C39,3)</f>
        <v>#DIV/0!</v>
      </c>
      <c r="K39" s="1963"/>
      <c r="L39" s="1958"/>
      <c r="M39" s="1958"/>
    </row>
    <row r="40" spans="1:18" ht="18" customHeight="1">
      <c r="A40" s="770" t="s">
        <v>1885</v>
      </c>
      <c r="B40" s="2110" t="s">
        <v>2288</v>
      </c>
      <c r="C40" s="772">
        <f ca="1">ROUND(C39*(1-((1+F42)/(1+F40))^F41)/(F40-F42),0)</f>
        <v>0</v>
      </c>
      <c r="D40" s="802" t="s">
        <v>1797</v>
      </c>
      <c r="E40" s="773" t="s">
        <v>2403</v>
      </c>
      <c r="F40" s="783">
        <f ca="1">INDIRECT("'数据-取费表'!I"&amp;$G$1)</f>
        <v>0.04</v>
      </c>
      <c r="G40" s="1943"/>
      <c r="H40" s="1943"/>
      <c r="I40" s="825" t="s">
        <v>1809</v>
      </c>
      <c r="J40" s="833" t="e">
        <f ca="1">1-J39</f>
        <v>#DIV/0!</v>
      </c>
      <c r="K40" s="1963"/>
      <c r="L40" s="1943"/>
      <c r="M40" s="1943"/>
    </row>
    <row r="41" spans="1:18" ht="18" customHeight="1">
      <c r="A41" s="775"/>
      <c r="B41" s="776"/>
      <c r="C41" s="777"/>
      <c r="D41" s="809" t="s">
        <v>1798</v>
      </c>
      <c r="E41" s="773" t="s">
        <v>2918</v>
      </c>
      <c r="F41" s="810">
        <f ca="1">IF(INDIRECT("'数据-取费表'!af"&amp;$G$1)=0,INDIRECT("'数据-取费表'!ae"&amp;$G$1),INDIRECT("'数据-取费表'!af"&amp;$G$1))</f>
        <v>40</v>
      </c>
      <c r="G41" s="1943"/>
      <c r="H41" s="1898"/>
      <c r="I41" s="831" t="s">
        <v>1810</v>
      </c>
      <c r="J41" s="834"/>
      <c r="K41" s="1962"/>
      <c r="L41" s="1898"/>
      <c r="M41" s="1898"/>
    </row>
    <row r="42" spans="1:18" ht="18" customHeight="1">
      <c r="A42" s="779"/>
      <c r="B42" s="780"/>
      <c r="C42" s="781"/>
      <c r="D42" s="804"/>
      <c r="E42" s="773" t="s">
        <v>1799</v>
      </c>
      <c r="F42" s="783">
        <f ca="1">INDIRECT("'数据-取费表'!v"&amp;$G$1)</f>
        <v>0</v>
      </c>
      <c r="G42" s="1943"/>
      <c r="H42" s="1898"/>
      <c r="I42" s="835" t="s">
        <v>1811</v>
      </c>
      <c r="J42" s="833" t="e">
        <f ca="1">ROUND(C13/C40,3)</f>
        <v>#DIV/0!</v>
      </c>
      <c r="K42" s="1962"/>
      <c r="L42" s="1898"/>
      <c r="M42" s="1898"/>
    </row>
    <row r="43" spans="1:18" ht="18" customHeight="1" thickBot="1">
      <c r="A43" s="811" t="s">
        <v>1777</v>
      </c>
      <c r="B43" s="812" t="s">
        <v>1800</v>
      </c>
      <c r="C43" s="813" t="e">
        <f ca="1">ROUND(C40*10000/F43,0)</f>
        <v>#DIV/0!</v>
      </c>
      <c r="D43" s="814" t="s">
        <v>1801</v>
      </c>
      <c r="E43" s="815" t="s">
        <v>1802</v>
      </c>
      <c r="F43" s="816">
        <f ca="1">INDIRECT("'数据-取费表'!k"&amp;$G$1)</f>
        <v>0</v>
      </c>
      <c r="G43" s="1943"/>
      <c r="H43" s="1898"/>
      <c r="I43" s="835" t="s">
        <v>1812</v>
      </c>
      <c r="J43" s="836"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2282</v>
      </c>
      <c r="B46" s="1965"/>
      <c r="C46" s="2423">
        <f ca="1">C67-C40</f>
        <v>0</v>
      </c>
      <c r="D46" s="3257"/>
      <c r="E46" s="3257"/>
      <c r="F46" s="3257"/>
      <c r="I46" s="2231" t="s">
        <v>2327</v>
      </c>
      <c r="J46" s="2232"/>
      <c r="K46" s="2233"/>
      <c r="L46" s="2808" t="str">
        <f ca="1">IF(OR(M47="住宅",D1="土地（套用方法）"),0,IF(L48&gt;J51,L60,J60))</f>
        <v>0</v>
      </c>
      <c r="M46" s="3258"/>
      <c r="O46" s="2247" t="s">
        <v>2394</v>
      </c>
      <c r="P46" s="1525"/>
      <c r="Q46" s="1533"/>
      <c r="R46" s="1525"/>
    </row>
    <row r="47" spans="1:18" s="1940" customFormat="1" ht="18" customHeight="1" thickBot="1">
      <c r="A47" s="2225">
        <v>1</v>
      </c>
      <c r="B47" s="2226" t="s">
        <v>629</v>
      </c>
      <c r="C47" s="2423">
        <f ca="1">C48+C52+C54</f>
        <v>0</v>
      </c>
      <c r="D47" s="3257"/>
      <c r="E47" s="3257"/>
      <c r="F47" s="3257"/>
      <c r="I47" s="2799" t="s">
        <v>2328</v>
      </c>
      <c r="J47" s="2234" t="s">
        <v>3280</v>
      </c>
      <c r="K47" s="2805" t="s">
        <v>2333</v>
      </c>
      <c r="L47" s="2809">
        <f ca="1">INDIRECT("'数据-取费表'!d"&amp;$G$1)</f>
        <v>40</v>
      </c>
      <c r="M47" s="1533" t="str">
        <f>IF(ISNUMBER(FIND("住宅",C1)),"住宅","非住宅")</f>
        <v>非住宅</v>
      </c>
      <c r="O47" s="2248" t="s">
        <v>2359</v>
      </c>
      <c r="P47" s="2249" t="s">
        <v>2360</v>
      </c>
      <c r="Q47" s="2250" t="s">
        <v>2361</v>
      </c>
      <c r="R47" s="2249" t="s">
        <v>2362</v>
      </c>
    </row>
    <row r="48" spans="1:18" s="1940" customFormat="1" ht="18" customHeight="1" thickBot="1">
      <c r="A48" s="2481" t="s">
        <v>2511</v>
      </c>
      <c r="B48" s="2482" t="s">
        <v>2512</v>
      </c>
      <c r="C48" s="2227">
        <f ca="1">ROUND(F48*F50*F49*(1-F51)/10000,0)</f>
        <v>0</v>
      </c>
      <c r="D48" s="2228" t="s">
        <v>630</v>
      </c>
      <c r="E48" s="2229" t="s">
        <v>2283</v>
      </c>
      <c r="F48" s="2230"/>
      <c r="G48" s="1970"/>
      <c r="I48" s="2796" t="s">
        <v>2329</v>
      </c>
      <c r="J48" s="2235" t="s">
        <v>2334</v>
      </c>
      <c r="K48" s="2806" t="s">
        <v>2335</v>
      </c>
      <c r="L48" s="1820">
        <f ca="1">INDIRECT("'数据-取费表'!f"&amp;$G$1)</f>
        <v>40</v>
      </c>
      <c r="M48" s="3258"/>
      <c r="O48" s="2251" t="s">
        <v>2363</v>
      </c>
      <c r="P48" s="2252" t="s">
        <v>2389</v>
      </c>
      <c r="Q48" s="2253">
        <f ca="1">C40+J29</f>
        <v>0</v>
      </c>
      <c r="R48" s="2252" t="s">
        <v>2364</v>
      </c>
    </row>
    <row r="49" spans="1:18" s="1940" customFormat="1" ht="18" customHeight="1" thickBot="1">
      <c r="A49" s="775"/>
      <c r="B49" s="776"/>
      <c r="C49" s="777"/>
      <c r="D49" s="778"/>
      <c r="E49" s="773" t="s">
        <v>1729</v>
      </c>
      <c r="F49" s="774">
        <f ca="1">F7</f>
        <v>0</v>
      </c>
      <c r="G49" s="1970"/>
      <c r="H49" s="1973"/>
      <c r="I49" s="2796" t="s">
        <v>2330</v>
      </c>
      <c r="J49" s="2236"/>
      <c r="K49" s="2807" t="s">
        <v>2336</v>
      </c>
      <c r="L49" s="2237"/>
      <c r="M49" s="3258"/>
      <c r="O49" s="2251" t="s">
        <v>2365</v>
      </c>
      <c r="P49" s="2252" t="s">
        <v>2390</v>
      </c>
      <c r="Q49" s="2253" t="str">
        <f ca="1">J60</f>
        <v>0</v>
      </c>
      <c r="R49" s="2252" t="s">
        <v>2366</v>
      </c>
    </row>
    <row r="50" spans="1:18" s="1940" customFormat="1" ht="18" customHeight="1" thickBot="1">
      <c r="A50" s="775"/>
      <c r="B50" s="776"/>
      <c r="C50" s="777"/>
      <c r="D50" s="778"/>
      <c r="E50" s="773" t="s">
        <v>1730</v>
      </c>
      <c r="F50" s="774">
        <f ca="1">F8</f>
        <v>365</v>
      </c>
      <c r="G50" s="1975"/>
      <c r="H50" s="1973"/>
      <c r="I50" s="2796" t="s">
        <v>2331</v>
      </c>
      <c r="J50" s="2803">
        <f>SUMPRODUCT((I63:I65=J47)*(J62:L62=J48)*(J63:L65))</f>
        <v>60</v>
      </c>
      <c r="K50" s="2807" t="s">
        <v>2337</v>
      </c>
      <c r="L50" s="2237"/>
      <c r="M50" s="3258"/>
      <c r="O50" s="2254" t="s">
        <v>2367</v>
      </c>
      <c r="P50" s="2252" t="s">
        <v>2391</v>
      </c>
      <c r="Q50" s="2253">
        <f ca="1">C29</f>
        <v>0</v>
      </c>
      <c r="R50" s="2252" t="s">
        <v>2364</v>
      </c>
    </row>
    <row r="51" spans="1:18" s="1940" customFormat="1" ht="18" customHeight="1" thickBot="1">
      <c r="A51" s="775"/>
      <c r="B51" s="776"/>
      <c r="C51" s="777"/>
      <c r="D51" s="778"/>
      <c r="E51" s="773" t="s">
        <v>634</v>
      </c>
      <c r="F51" s="2224"/>
      <c r="H51" s="1973"/>
      <c r="I51" s="2800" t="s">
        <v>2332</v>
      </c>
      <c r="J51" s="2804">
        <f>IF(J49="",J50,J49+J50-YEAR('数据-取费表'!B2))</f>
        <v>60</v>
      </c>
      <c r="K51" s="2796" t="s">
        <v>2338</v>
      </c>
      <c r="L51" s="2810">
        <f ca="1">ROUND(-PV(INDIRECT("'数据-取费表'!h"&amp;$G$1),J51,(C39-C13*J36),0),0)</f>
        <v>0</v>
      </c>
      <c r="M51" s="3258"/>
      <c r="O51" s="2254" t="s">
        <v>2368</v>
      </c>
      <c r="P51" s="2252" t="s">
        <v>2369</v>
      </c>
      <c r="Q51" s="2255" t="e">
        <f ca="1">J58</f>
        <v>#VALUE!</v>
      </c>
      <c r="R51" s="2256"/>
    </row>
    <row r="52" spans="1:18" s="1940" customFormat="1" ht="18" customHeight="1" thickBot="1">
      <c r="A52" s="770" t="s">
        <v>2510</v>
      </c>
      <c r="B52" s="2345" t="s">
        <v>2440</v>
      </c>
      <c r="C52" s="788">
        <f ca="1">ROUND(IF(F52="押一",C48/12*F11,IF(F52="押二",C48/12*2*F11,IF(F52="押三",C48/12*3*F11,C53*F11))),0)</f>
        <v>0</v>
      </c>
      <c r="D52" s="2352" t="s">
        <v>2928</v>
      </c>
      <c r="E52" s="2349" t="s">
        <v>2445</v>
      </c>
      <c r="F52" s="2462"/>
      <c r="I52" s="2801" t="s">
        <v>2405</v>
      </c>
      <c r="J52" s="2238"/>
      <c r="K52" s="2801" t="s">
        <v>2404</v>
      </c>
      <c r="L52" s="2238"/>
      <c r="M52" s="3258"/>
      <c r="O52" s="2254" t="s">
        <v>2370</v>
      </c>
      <c r="P52" s="2252" t="s">
        <v>2371</v>
      </c>
      <c r="Q52" s="2255">
        <f>J52</f>
        <v>0</v>
      </c>
      <c r="R52" s="2256"/>
    </row>
    <row r="53" spans="1:18" s="1940" customFormat="1" ht="39.75" customHeight="1" thickBot="1">
      <c r="A53" s="775"/>
      <c r="B53" s="2346" t="s">
        <v>2547</v>
      </c>
      <c r="C53" s="2350"/>
      <c r="D53" s="2352"/>
      <c r="E53" s="2349"/>
      <c r="F53" s="789"/>
      <c r="I53" s="2802" t="s">
        <v>2931</v>
      </c>
      <c r="J53" s="2855">
        <f ca="1">IF(M47="住宅",IF(D1="——",MAX(J51,L48),MAX(J51,L48-'数据-取费表'!B20)),IF(D1="——",MIN(J51,L48),MIN(J51,L48-'数据-取费表'!B20)))</f>
        <v>40</v>
      </c>
      <c r="K53" s="3719" t="s">
        <v>2920</v>
      </c>
      <c r="L53" s="3720"/>
      <c r="M53" s="3258"/>
      <c r="O53" s="2254" t="s">
        <v>2372</v>
      </c>
      <c r="P53" s="2252" t="s">
        <v>2373</v>
      </c>
      <c r="Q53" s="2253">
        <f ca="1">J53</f>
        <v>40</v>
      </c>
      <c r="R53" s="2252" t="s">
        <v>2374</v>
      </c>
    </row>
    <row r="54" spans="1:18" s="1940" customFormat="1" ht="18" customHeight="1" thickBot="1">
      <c r="A54" s="2387" t="s">
        <v>2448</v>
      </c>
      <c r="B54" s="2388" t="s">
        <v>2441</v>
      </c>
      <c r="C54" s="2389"/>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8"/>
      <c r="O54" s="2251" t="s">
        <v>2375</v>
      </c>
      <c r="P54" s="2252" t="s">
        <v>2392</v>
      </c>
      <c r="Q54" s="2253">
        <f ca="1">Q48+Q49</f>
        <v>0</v>
      </c>
      <c r="R54" s="2256" t="s">
        <v>2376</v>
      </c>
    </row>
    <row r="55" spans="1:18" s="1940" customFormat="1" ht="18" customHeight="1" thickTop="1" thickBot="1">
      <c r="A55" s="786">
        <v>2</v>
      </c>
      <c r="B55" s="787" t="s">
        <v>638</v>
      </c>
      <c r="C55" s="788">
        <f ca="1">C13</f>
        <v>0</v>
      </c>
      <c r="D55" s="784"/>
      <c r="E55" s="784"/>
      <c r="F55" s="789"/>
      <c r="I55" s="2813" t="s">
        <v>2339</v>
      </c>
      <c r="J55" s="2785" t="e">
        <f ca="1">ROUND(IF(J47="钢混",J57/J50,1-(1-2%)*(J50-J57)/J50),3)</f>
        <v>#VALUE!</v>
      </c>
      <c r="K55" s="2814" t="s">
        <v>2340</v>
      </c>
      <c r="L55" s="2239"/>
      <c r="M55" s="3258"/>
      <c r="O55" s="2257" t="s">
        <v>2395</v>
      </c>
      <c r="P55" s="1525"/>
      <c r="Q55" s="1533"/>
      <c r="R55" s="1525"/>
    </row>
    <row r="56" spans="1:18" s="1940" customFormat="1" ht="42.75" customHeight="1" thickBot="1">
      <c r="A56" s="1577"/>
      <c r="B56" s="2109" t="s">
        <v>2289</v>
      </c>
      <c r="C56" s="53">
        <f ca="1">C29</f>
        <v>0</v>
      </c>
      <c r="D56" s="3275"/>
      <c r="E56" s="773"/>
      <c r="F56" s="798"/>
      <c r="I56" s="2815" t="s">
        <v>2341</v>
      </c>
      <c r="J56" s="2825" t="s">
        <v>1669</v>
      </c>
      <c r="K56" s="2796" t="s">
        <v>2346</v>
      </c>
      <c r="L56" s="1820" t="str">
        <f ca="1">IF(L48&lt;J51,"——",L48-J51)</f>
        <v>——</v>
      </c>
      <c r="M56" s="3258"/>
      <c r="O56" s="2248" t="s">
        <v>2359</v>
      </c>
      <c r="P56" s="2249" t="s">
        <v>2360</v>
      </c>
      <c r="Q56" s="2250" t="s">
        <v>2361</v>
      </c>
      <c r="R56" s="2249" t="s">
        <v>2362</v>
      </c>
    </row>
    <row r="57" spans="1:18" s="1940" customFormat="1" ht="28.5" customHeight="1" thickBot="1">
      <c r="A57" s="786" t="s">
        <v>1738</v>
      </c>
      <c r="B57" s="787" t="s">
        <v>645</v>
      </c>
      <c r="C57" s="788">
        <f ca="1">ROUND(C58+C63+C64+C65,0)</f>
        <v>0</v>
      </c>
      <c r="D57" s="26" t="s">
        <v>1740</v>
      </c>
      <c r="E57" s="3281"/>
      <c r="F57" s="56"/>
      <c r="I57" s="2816" t="s">
        <v>2342</v>
      </c>
      <c r="J57" s="2817" t="str">
        <f ca="1">IF(OR(M47="住宅",J51&lt;L48,J56="是"),"——",J51-L48)</f>
        <v>——</v>
      </c>
      <c r="K57" s="2796" t="s">
        <v>2347</v>
      </c>
      <c r="L57" s="1820" t="str">
        <f ca="1">IF(L48&lt;J51,"——",IF(L55="比较法",L49,IF(L55="基准地价",L50,L51)))</f>
        <v>——</v>
      </c>
      <c r="M57" s="3258"/>
      <c r="O57" s="2251" t="s">
        <v>2363</v>
      </c>
      <c r="P57" s="2252" t="s">
        <v>2393</v>
      </c>
      <c r="Q57" s="2253">
        <f ca="1">C40+J29</f>
        <v>0</v>
      </c>
      <c r="R57" s="2252" t="s">
        <v>2364</v>
      </c>
    </row>
    <row r="58" spans="1:18" s="1940" customFormat="1" ht="28.5" customHeight="1" thickBot="1">
      <c r="A58" s="1576" t="s">
        <v>1814</v>
      </c>
      <c r="B58" s="773" t="s">
        <v>650</v>
      </c>
      <c r="C58" s="3016">
        <f ca="1">ROUND(IF(AND(项目基本情况!B11="自然人",项目基本情况!B10="北京市"),C48*F58/(1+'数据-取费表'!C42),C59+C60+C61),0)</f>
        <v>0</v>
      </c>
      <c r="D58" s="3276" t="s">
        <v>651</v>
      </c>
      <c r="E58" s="3275" t="s">
        <v>684</v>
      </c>
      <c r="F58" s="3015" t="str">
        <f>IF(项目基本情况!B11="企业","——",IF('数据-取费表'!B10="住宅",IF(F48*F49*F50/12/(1+'数据-取费表'!F30)&gt;100000,4%,2.5%),IF(F48*F49*F50/12/(1+'数据-取费表'!F30)&gt;100000,12%,7%)))</f>
        <v>——</v>
      </c>
      <c r="I58" s="2816" t="s">
        <v>2343</v>
      </c>
      <c r="J58" s="2786" t="e">
        <f ca="1">IF(J55&lt;0.4,0.4,J55)</f>
        <v>#VALUE!</v>
      </c>
      <c r="K58" s="2796" t="s">
        <v>2348</v>
      </c>
      <c r="L58" s="1820" t="e">
        <f ca="1">ROUND(POWER(1+L52,L47-L48)*(POWER(1+L52,L48)-1)/(POWER(1+L52,L47)-1),4)</f>
        <v>#DIV/0!</v>
      </c>
      <c r="M58" s="3258"/>
      <c r="O58" s="2251" t="s">
        <v>2365</v>
      </c>
      <c r="P58" s="2252" t="s">
        <v>2396</v>
      </c>
      <c r="Q58" s="2253">
        <f ca="1">L60</f>
        <v>0</v>
      </c>
      <c r="R58" s="2256" t="s">
        <v>2398</v>
      </c>
    </row>
    <row r="59" spans="1:18" s="1940" customFormat="1" ht="28.5" customHeight="1" thickBot="1">
      <c r="A59" s="1575" t="s">
        <v>1821</v>
      </c>
      <c r="B59" s="773" t="s">
        <v>654</v>
      </c>
      <c r="C59" s="53">
        <f ca="1">ROUND(C47*F59/1.05,1)</f>
        <v>0</v>
      </c>
      <c r="D59" s="3275" t="s">
        <v>1746</v>
      </c>
      <c r="E59" s="773" t="s">
        <v>1737</v>
      </c>
      <c r="F59" s="798">
        <f t="shared" ref="F59:F65" si="0">F32</f>
        <v>5.5000000000000007E-2</v>
      </c>
      <c r="I59" s="2816" t="s">
        <v>2344</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8"/>
      <c r="O59" s="2254" t="s">
        <v>2367</v>
      </c>
      <c r="P59" s="2252" t="s">
        <v>2397</v>
      </c>
      <c r="Q59" s="2253">
        <f>IF(L55="比较法",L49,IF(L55="基准地价",L50,0))</f>
        <v>0</v>
      </c>
      <c r="R59" s="2252" t="s">
        <v>2364</v>
      </c>
    </row>
    <row r="60" spans="1:18" s="1940" customFormat="1" ht="18" customHeight="1" thickBot="1">
      <c r="A60" s="1575" t="s">
        <v>1822</v>
      </c>
      <c r="B60" s="773" t="s">
        <v>1748</v>
      </c>
      <c r="C60" s="53">
        <f ca="1">IF(D60="按租金收入计税",ROUND(C47*F60,1),IF(D60="按房产原值计税",ROUND(C56*F60*0.7,1),INDIRECT("'数据-取费表'!Aj"&amp;$G$1)))</f>
        <v>0</v>
      </c>
      <c r="D60" s="3275" t="str">
        <f>D33</f>
        <v>按票据</v>
      </c>
      <c r="E60" s="773" t="s">
        <v>1737</v>
      </c>
      <c r="F60" s="798">
        <f t="shared" si="0"/>
        <v>1.2E-2</v>
      </c>
      <c r="I60" s="2818" t="s">
        <v>2345</v>
      </c>
      <c r="J60" s="2819" t="str">
        <f ca="1">IF(OR(M47="住宅",J51&lt;L48,J56="是"),"0",ROUND(J59/(1+J52)^J53,0))</f>
        <v>0</v>
      </c>
      <c r="K60" s="2820" t="s">
        <v>2350</v>
      </c>
      <c r="L60" s="2819">
        <f ca="1">IF(OR(M47="住宅",L48&lt;J51),0,ROUND(L57*(L58/L59-1),0))</f>
        <v>0</v>
      </c>
      <c r="M60" s="3258"/>
      <c r="O60" s="2254" t="s">
        <v>2368</v>
      </c>
      <c r="P60" s="2252" t="s">
        <v>2377</v>
      </c>
      <c r="Q60" s="2255">
        <f>L52</f>
        <v>0</v>
      </c>
      <c r="R60" s="2256"/>
    </row>
    <row r="61" spans="1:18" s="1940" customFormat="1" ht="18" customHeight="1" thickBot="1">
      <c r="A61" s="1578" t="s">
        <v>1823</v>
      </c>
      <c r="B61" s="338" t="s">
        <v>662</v>
      </c>
      <c r="C61" s="54">
        <f ca="1">ROUND(F61*F62/10000,1)</f>
        <v>0</v>
      </c>
      <c r="D61" s="802" t="s">
        <v>663</v>
      </c>
      <c r="E61" s="773" t="s">
        <v>664</v>
      </c>
      <c r="F61" s="631">
        <f t="shared" si="0"/>
        <v>3</v>
      </c>
      <c r="K61" s="1966"/>
      <c r="O61" s="2254" t="s">
        <v>2370</v>
      </c>
      <c r="P61" s="2252" t="s">
        <v>2378</v>
      </c>
      <c r="Q61" s="2253" t="e">
        <f ca="1">L58</f>
        <v>#DIV/0!</v>
      </c>
      <c r="R61" s="2256" t="s">
        <v>2379</v>
      </c>
    </row>
    <row r="62" spans="1:18" s="1940" customFormat="1" ht="15.75" thickBot="1">
      <c r="A62" s="803"/>
      <c r="B62" s="782"/>
      <c r="C62" s="69"/>
      <c r="D62" s="804"/>
      <c r="E62" s="773" t="s">
        <v>668</v>
      </c>
      <c r="F62" s="774">
        <f t="shared" ca="1" si="0"/>
        <v>0</v>
      </c>
      <c r="I62" s="2821" t="s">
        <v>2351</v>
      </c>
      <c r="J62" s="2822" t="s">
        <v>2352</v>
      </c>
      <c r="K62" s="2822" t="s">
        <v>2353</v>
      </c>
      <c r="L62" s="2822" t="s">
        <v>2334</v>
      </c>
      <c r="M62" s="2823" t="s">
        <v>2899</v>
      </c>
      <c r="O62" s="2254" t="s">
        <v>2372</v>
      </c>
      <c r="P62" s="2252" t="str">
        <f>K59</f>
        <v>建筑物剩余耐用年限下的土地年期修正系数Kn</v>
      </c>
      <c r="Q62" s="2253" t="e">
        <f ca="1">L59</f>
        <v>#DIV/0!</v>
      </c>
      <c r="R62" s="2256" t="s">
        <v>2381</v>
      </c>
    </row>
    <row r="63" spans="1:18" s="1940" customFormat="1" ht="15.75" thickBot="1">
      <c r="A63" s="1576" t="s">
        <v>1879</v>
      </c>
      <c r="B63" s="773" t="s">
        <v>670</v>
      </c>
      <c r="C63" s="53">
        <f ca="1">ROUND(C56*F63,1)</f>
        <v>0</v>
      </c>
      <c r="D63" s="3275" t="s">
        <v>1793</v>
      </c>
      <c r="E63" s="773" t="s">
        <v>1737</v>
      </c>
      <c r="F63" s="805">
        <f t="shared" ca="1" si="0"/>
        <v>1.4999999999999999E-2</v>
      </c>
      <c r="I63" s="2821" t="s">
        <v>2354</v>
      </c>
      <c r="J63" s="2822">
        <v>70</v>
      </c>
      <c r="K63" s="2822">
        <v>50</v>
      </c>
      <c r="L63" s="2822">
        <v>80</v>
      </c>
      <c r="M63" s="2824">
        <v>0.02</v>
      </c>
      <c r="O63" s="2251" t="s">
        <v>2375</v>
      </c>
      <c r="P63" s="2252" t="s">
        <v>2392</v>
      </c>
      <c r="Q63" s="2253">
        <f ca="1">Q57+Q58</f>
        <v>0</v>
      </c>
      <c r="R63" s="2256" t="s">
        <v>2376</v>
      </c>
    </row>
    <row r="64" spans="1:18" s="1940" customFormat="1" ht="16.5" thickBot="1">
      <c r="A64" s="1576" t="s">
        <v>1880</v>
      </c>
      <c r="B64" s="773" t="s">
        <v>673</v>
      </c>
      <c r="C64" s="53">
        <f ca="1">ROUND(C55*F64,1)</f>
        <v>0</v>
      </c>
      <c r="D64" s="3275" t="s">
        <v>674</v>
      </c>
      <c r="E64" s="773" t="s">
        <v>1737</v>
      </c>
      <c r="F64" s="806">
        <f t="shared" ca="1" si="0"/>
        <v>1.5E-3</v>
      </c>
      <c r="I64" s="2821" t="s">
        <v>2355</v>
      </c>
      <c r="J64" s="2822">
        <v>50</v>
      </c>
      <c r="K64" s="2822">
        <v>35</v>
      </c>
      <c r="L64" s="2822">
        <v>60</v>
      </c>
      <c r="M64" s="834">
        <v>0</v>
      </c>
      <c r="O64" s="2257" t="s">
        <v>2399</v>
      </c>
      <c r="P64" s="1525"/>
      <c r="Q64" s="1533"/>
      <c r="R64" s="1525"/>
    </row>
    <row r="65" spans="1:18" s="1940" customFormat="1" ht="15.75" thickBot="1">
      <c r="A65" s="1576" t="s">
        <v>1881</v>
      </c>
      <c r="B65" s="773" t="s">
        <v>660</v>
      </c>
      <c r="C65" s="53">
        <f ca="1">ROUND(C47*F65,1)</f>
        <v>0</v>
      </c>
      <c r="D65" s="3275" t="s">
        <v>677</v>
      </c>
      <c r="E65" s="773" t="s">
        <v>1737</v>
      </c>
      <c r="F65" s="783">
        <f t="shared" ca="1" si="0"/>
        <v>0.01</v>
      </c>
      <c r="I65" s="2821" t="s">
        <v>2356</v>
      </c>
      <c r="J65" s="2822">
        <v>40</v>
      </c>
      <c r="K65" s="2822">
        <v>30</v>
      </c>
      <c r="L65" s="2822">
        <v>50</v>
      </c>
      <c r="M65" s="2824">
        <v>0.02</v>
      </c>
      <c r="O65" s="2248" t="s">
        <v>2359</v>
      </c>
      <c r="P65" s="2249" t="s">
        <v>2360</v>
      </c>
      <c r="Q65" s="2250" t="s">
        <v>2361</v>
      </c>
      <c r="R65" s="2249" t="s">
        <v>2362</v>
      </c>
    </row>
    <row r="66" spans="1:18" s="1940" customFormat="1" ht="24.75" thickBot="1">
      <c r="A66" s="786" t="s">
        <v>1766</v>
      </c>
      <c r="B66" s="2721" t="s">
        <v>2794</v>
      </c>
      <c r="C66" s="788">
        <f ca="1">C47-C57</f>
        <v>0</v>
      </c>
      <c r="D66" s="3276" t="s">
        <v>694</v>
      </c>
      <c r="E66" s="3280"/>
      <c r="F66" s="808"/>
      <c r="K66" s="1966"/>
      <c r="O66" s="2251" t="s">
        <v>2363</v>
      </c>
      <c r="P66" s="2252" t="s">
        <v>2393</v>
      </c>
      <c r="Q66" s="2253">
        <f ca="1">C40+J29</f>
        <v>0</v>
      </c>
      <c r="R66" s="2252" t="s">
        <v>2364</v>
      </c>
    </row>
    <row r="67" spans="1:18" s="1940" customFormat="1" ht="20.25" thickBot="1">
      <c r="A67" s="770" t="s">
        <v>1770</v>
      </c>
      <c r="B67" s="2110" t="s">
        <v>2288</v>
      </c>
      <c r="C67" s="772">
        <f ca="1">ROUND(C66*(1-((1+F69)/(1+F67))^F68)/(F67-F69),0)</f>
        <v>0</v>
      </c>
      <c r="D67" s="802" t="s">
        <v>698</v>
      </c>
      <c r="E67" s="773" t="s">
        <v>699</v>
      </c>
      <c r="F67" s="783">
        <f ca="1">F40</f>
        <v>0.04</v>
      </c>
      <c r="K67" s="1966"/>
      <c r="O67" s="2251" t="s">
        <v>2365</v>
      </c>
      <c r="P67" s="2252" t="s">
        <v>2396</v>
      </c>
      <c r="Q67" s="2253">
        <f ca="1">L60</f>
        <v>0</v>
      </c>
      <c r="R67" s="2256" t="s">
        <v>2398</v>
      </c>
    </row>
    <row r="68" spans="1:18" ht="21.75" thickBot="1">
      <c r="A68" s="775"/>
      <c r="B68" s="776"/>
      <c r="C68" s="777"/>
      <c r="D68" s="809" t="s">
        <v>1798</v>
      </c>
      <c r="E68" s="773" t="s">
        <v>1774</v>
      </c>
      <c r="F68" s="810">
        <f ca="1">F41</f>
        <v>40</v>
      </c>
      <c r="O68" s="2254" t="s">
        <v>2367</v>
      </c>
      <c r="P68" s="2252" t="s">
        <v>2397</v>
      </c>
      <c r="Q68" s="2258">
        <f ca="1">L51</f>
        <v>0</v>
      </c>
      <c r="R68" s="2259" t="s">
        <v>2400</v>
      </c>
    </row>
    <row r="69" spans="1:18" ht="20.25" thickBot="1">
      <c r="A69" s="779"/>
      <c r="B69" s="780"/>
      <c r="C69" s="781"/>
      <c r="D69" s="804"/>
      <c r="E69" s="773" t="s">
        <v>704</v>
      </c>
      <c r="F69" s="2224"/>
      <c r="O69" s="2254" t="s">
        <v>2368</v>
      </c>
      <c r="P69" s="2260" t="s">
        <v>2382</v>
      </c>
      <c r="Q69" s="2253">
        <f ca="1">ROUND(Q70-Q71*Q72,0)</f>
        <v>0</v>
      </c>
      <c r="R69" s="2256"/>
    </row>
    <row r="70" spans="1:18" ht="15.75" thickBot="1">
      <c r="A70" s="811" t="s">
        <v>1777</v>
      </c>
      <c r="B70" s="812" t="s">
        <v>1800</v>
      </c>
      <c r="C70" s="813" t="e">
        <f ca="1">ROUND(C67*10000/F70,0)</f>
        <v>#DIV/0!</v>
      </c>
      <c r="D70" s="814" t="s">
        <v>1801</v>
      </c>
      <c r="E70" s="815" t="s">
        <v>1802</v>
      </c>
      <c r="F70" s="816">
        <f ca="1">F43</f>
        <v>0</v>
      </c>
      <c r="O70" s="2254" t="s">
        <v>2383</v>
      </c>
      <c r="P70" s="2260" t="s">
        <v>2384</v>
      </c>
      <c r="Q70" s="2253">
        <f ca="1">C39</f>
        <v>0</v>
      </c>
      <c r="R70" s="2252" t="s">
        <v>2364</v>
      </c>
    </row>
    <row r="71" spans="1:18" ht="15.75" thickBot="1">
      <c r="O71" s="2254" t="s">
        <v>2385</v>
      </c>
      <c r="P71" s="2260" t="s">
        <v>2386</v>
      </c>
      <c r="Q71" s="2253">
        <f ca="1">C13</f>
        <v>0</v>
      </c>
      <c r="R71" s="2252" t="s">
        <v>2364</v>
      </c>
    </row>
    <row r="72" spans="1:18" ht="15.75" thickBot="1">
      <c r="O72" s="2254" t="s">
        <v>2387</v>
      </c>
      <c r="P72" s="2260" t="s">
        <v>2388</v>
      </c>
      <c r="Q72" s="2255">
        <f ca="1">J36</f>
        <v>0.05</v>
      </c>
      <c r="R72" s="2256"/>
    </row>
    <row r="73" spans="1:18" ht="15.75" thickBot="1">
      <c r="O73" s="2254" t="s">
        <v>2370</v>
      </c>
      <c r="P73" s="2252" t="s">
        <v>2377</v>
      </c>
      <c r="Q73" s="2255">
        <f>L52</f>
        <v>0</v>
      </c>
      <c r="R73" s="2256"/>
    </row>
    <row r="74" spans="1:18" ht="20.25" thickBot="1">
      <c r="O74" s="2254" t="s">
        <v>2372</v>
      </c>
      <c r="P74" s="2252" t="s">
        <v>2378</v>
      </c>
      <c r="Q74" s="2253" t="e">
        <f ca="1">L58</f>
        <v>#DIV/0!</v>
      </c>
      <c r="R74" s="2256" t="s">
        <v>2379</v>
      </c>
    </row>
    <row r="75" spans="1:18" ht="15.75" thickBot="1">
      <c r="O75" s="2254" t="s">
        <v>2401</v>
      </c>
      <c r="P75" s="2252" t="str">
        <f>K59</f>
        <v>建筑物剩余耐用年限下的土地年期修正系数Kn</v>
      </c>
      <c r="Q75" s="2253" t="e">
        <f ca="1">L59</f>
        <v>#DIV/0!</v>
      </c>
      <c r="R75" s="2256" t="s">
        <v>2381</v>
      </c>
    </row>
    <row r="76" spans="1:18" ht="15.75" thickBot="1">
      <c r="O76" s="2251" t="s">
        <v>2375</v>
      </c>
      <c r="P76" s="2252" t="s">
        <v>2392</v>
      </c>
      <c r="Q76" s="2253">
        <f ca="1">Q66+Q67</f>
        <v>0</v>
      </c>
      <c r="R76" s="2256"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20" priority="6">
      <formula>$L$48&gt;$J$51</formula>
    </cfRule>
  </conditionalFormatting>
  <conditionalFormatting sqref="I55">
    <cfRule type="expression" dxfId="119" priority="7">
      <formula>$J$51&gt;$L$48</formula>
    </cfRule>
  </conditionalFormatting>
  <conditionalFormatting sqref="I60">
    <cfRule type="expression" dxfId="118" priority="5">
      <formula>$J$51&gt;$L$48</formula>
    </cfRule>
  </conditionalFormatting>
  <conditionalFormatting sqref="K60">
    <cfRule type="expression" dxfId="117" priority="4">
      <formula>$L$48&gt;$J$51</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18" sqref="C18"/>
    </sheetView>
  </sheetViews>
  <sheetFormatPr defaultColWidth="9" defaultRowHeight="14.25"/>
  <cols>
    <col min="1" max="1" width="10.5" style="1289" customWidth="1"/>
    <col min="2" max="2" width="15.62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2464" t="s">
        <v>713</v>
      </c>
      <c r="C1" s="2465" t="s">
        <v>714</v>
      </c>
      <c r="D1" s="2466"/>
      <c r="E1" s="2007"/>
      <c r="F1" s="2521" t="s">
        <v>2828</v>
      </c>
      <c r="G1" s="1530" t="s">
        <v>715</v>
      </c>
      <c r="H1" s="499"/>
      <c r="I1" s="499"/>
      <c r="J1" s="499"/>
      <c r="K1" s="500"/>
      <c r="L1" s="3205"/>
      <c r="M1" s="3206"/>
      <c r="N1" s="3206"/>
      <c r="O1" s="3206"/>
      <c r="P1" s="1498"/>
      <c r="Q1" s="1498"/>
      <c r="R1" s="1498"/>
      <c r="S1" s="1498"/>
      <c r="T1" s="1498"/>
      <c r="U1" s="1498"/>
      <c r="V1" s="1498"/>
      <c r="W1" s="1498"/>
      <c r="X1" s="1498"/>
      <c r="Y1" s="1498"/>
      <c r="Z1" s="1498"/>
      <c r="AA1" s="1498"/>
      <c r="AB1" s="1498"/>
      <c r="AC1" s="1499"/>
    </row>
    <row r="2" spans="1:29" s="1313" customFormat="1" ht="28.5" customHeight="1">
      <c r="A2" s="416" t="s">
        <v>461</v>
      </c>
      <c r="B2" s="2463">
        <f>ROUND(B3*D3/10000,0)</f>
        <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2" t="s">
        <v>513</v>
      </c>
      <c r="B3" s="839">
        <f>C49</f>
        <v>1.9</v>
      </c>
      <c r="C3" s="840" t="s">
        <v>716</v>
      </c>
      <c r="D3" s="839">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631" t="s">
        <v>516</v>
      </c>
      <c r="D4" s="3632"/>
      <c r="E4" s="3665" t="s">
        <v>517</v>
      </c>
      <c r="F4" s="3666"/>
      <c r="G4" s="3631" t="s">
        <v>518</v>
      </c>
      <c r="H4" s="3632"/>
      <c r="I4" s="3631" t="s">
        <v>519</v>
      </c>
      <c r="J4" s="3632"/>
      <c r="K4" s="841" t="s">
        <v>520</v>
      </c>
      <c r="L4" s="2013"/>
      <c r="M4" s="2014"/>
      <c r="N4" s="2014"/>
      <c r="O4" s="2014"/>
      <c r="P4" s="3633" t="s">
        <v>521</v>
      </c>
      <c r="Q4" s="3634"/>
      <c r="R4" s="3639" t="s">
        <v>517</v>
      </c>
      <c r="S4" s="3640"/>
      <c r="T4" s="3639" t="s">
        <v>518</v>
      </c>
      <c r="U4" s="3640"/>
      <c r="V4" s="3626" t="s">
        <v>519</v>
      </c>
      <c r="W4" s="3626"/>
      <c r="X4" s="1500"/>
      <c r="Y4" s="3639" t="s">
        <v>521</v>
      </c>
      <c r="Z4" s="3640"/>
      <c r="AA4" s="3628" t="s">
        <v>517</v>
      </c>
      <c r="AB4" s="3628" t="s">
        <v>518</v>
      </c>
      <c r="AC4" s="3628" t="s">
        <v>519</v>
      </c>
    </row>
    <row r="5" spans="1:29" ht="15">
      <c r="A5" s="508"/>
      <c r="B5" s="509"/>
      <c r="C5" s="3647" t="s">
        <v>2886</v>
      </c>
      <c r="D5" s="3648"/>
      <c r="E5" s="3746" t="s">
        <v>3217</v>
      </c>
      <c r="F5" s="3668"/>
      <c r="G5" s="3745" t="s">
        <v>3218</v>
      </c>
      <c r="H5" s="3648"/>
      <c r="I5" s="3745" t="s">
        <v>3219</v>
      </c>
      <c r="J5" s="3648"/>
      <c r="K5" s="842"/>
      <c r="L5" s="2013"/>
      <c r="M5" s="2014"/>
      <c r="N5" s="2014"/>
      <c r="O5" s="2014"/>
      <c r="P5" s="3635"/>
      <c r="Q5" s="3636"/>
      <c r="R5" s="3641"/>
      <c r="S5" s="3642"/>
      <c r="T5" s="3641"/>
      <c r="U5" s="3642"/>
      <c r="V5" s="3626"/>
      <c r="W5" s="3626"/>
      <c r="X5" s="1500"/>
      <c r="Y5" s="3641"/>
      <c r="Z5" s="3642"/>
      <c r="AA5" s="3629"/>
      <c r="AB5" s="3629"/>
      <c r="AC5" s="3629"/>
    </row>
    <row r="6" spans="1:29" ht="15.75" thickBot="1">
      <c r="A6" s="510"/>
      <c r="B6" s="511"/>
      <c r="C6" s="3645" t="s">
        <v>2890</v>
      </c>
      <c r="D6" s="3646"/>
      <c r="E6" s="3663" t="s">
        <v>2890</v>
      </c>
      <c r="F6" s="3664"/>
      <c r="G6" s="3645" t="s">
        <v>2890</v>
      </c>
      <c r="H6" s="3646"/>
      <c r="I6" s="3645" t="s">
        <v>2890</v>
      </c>
      <c r="J6" s="3646"/>
      <c r="K6" s="842" t="s">
        <v>522</v>
      </c>
      <c r="L6" s="2013"/>
      <c r="M6" s="2014"/>
      <c r="N6" s="2014"/>
      <c r="O6" s="2014"/>
      <c r="P6" s="3637"/>
      <c r="Q6" s="3638"/>
      <c r="R6" s="3641"/>
      <c r="S6" s="3642"/>
      <c r="T6" s="3643"/>
      <c r="U6" s="3644"/>
      <c r="V6" s="3626"/>
      <c r="W6" s="3626"/>
      <c r="X6" s="1500"/>
      <c r="Y6" s="3643"/>
      <c r="Z6" s="3644"/>
      <c r="AA6" s="3630"/>
      <c r="AB6" s="3630"/>
      <c r="AC6" s="3630"/>
    </row>
    <row r="7" spans="1:29" s="1201" customFormat="1" ht="15.75" thickBot="1">
      <c r="A7" s="2626"/>
      <c r="B7" s="2633" t="s">
        <v>523</v>
      </c>
      <c r="C7" s="512">
        <f>'数据-取费表'!B2</f>
        <v>44125</v>
      </c>
      <c r="D7" s="513">
        <v>100</v>
      </c>
      <c r="E7" s="514">
        <f>C7</f>
        <v>44125</v>
      </c>
      <c r="F7" s="515">
        <f>SUMIF(58:58,YEAR(E7)&amp;"-"&amp;MONTH(E7),59:59)</f>
        <v>100</v>
      </c>
      <c r="G7" s="516">
        <f>C7</f>
        <v>44125</v>
      </c>
      <c r="H7" s="513">
        <f>SUMIF(58:58,YEAR(G7)&amp;"-"&amp;MONTH(G7),59:59)</f>
        <v>100</v>
      </c>
      <c r="I7" s="516">
        <f>C7</f>
        <v>44125</v>
      </c>
      <c r="J7" s="513">
        <f>SUMIF(58:58,YEAR(I7)&amp;"-"&amp;MONTH(I7),59:59)</f>
        <v>100</v>
      </c>
      <c r="K7" s="843"/>
      <c r="L7" s="2015"/>
      <c r="M7" s="2016"/>
      <c r="N7" s="2016"/>
      <c r="O7" s="2016"/>
      <c r="P7" s="3656" t="s">
        <v>524</v>
      </c>
      <c r="Q7" s="3658"/>
      <c r="R7" s="1501" t="s">
        <v>13</v>
      </c>
      <c r="S7" s="1502">
        <f t="shared" ref="S7:S15" si="0">F7</f>
        <v>100</v>
      </c>
      <c r="T7" s="1501" t="s">
        <v>13</v>
      </c>
      <c r="U7" s="1502">
        <f t="shared" ref="U7:U15" si="1">H7</f>
        <v>100</v>
      </c>
      <c r="V7" s="1501" t="s">
        <v>13</v>
      </c>
      <c r="W7" s="1502">
        <f t="shared" ref="W7:W15" si="2">J7</f>
        <v>100</v>
      </c>
      <c r="X7" s="1503"/>
      <c r="Y7" s="3656" t="s">
        <v>524</v>
      </c>
      <c r="Z7" s="3657"/>
      <c r="AA7" s="1504">
        <f>D7/F7</f>
        <v>1</v>
      </c>
      <c r="AB7" s="1504">
        <f>D7/H7</f>
        <v>1</v>
      </c>
      <c r="AC7" s="1504">
        <f>D7/J7</f>
        <v>1</v>
      </c>
    </row>
    <row r="8" spans="1:29" s="1201" customFormat="1" ht="15.75" thickBot="1">
      <c r="A8" s="2627"/>
      <c r="B8" s="2634" t="s">
        <v>525</v>
      </c>
      <c r="C8" s="518" t="s">
        <v>570</v>
      </c>
      <c r="D8" s="513">
        <v>100</v>
      </c>
      <c r="E8" s="844" t="s">
        <v>3220</v>
      </c>
      <c r="F8" s="515">
        <f>SUMIF(61:61,E8,62:62)-SUMIF(61:61,C8,62:62)+100</f>
        <v>100</v>
      </c>
      <c r="G8" s="518" t="s">
        <v>3220</v>
      </c>
      <c r="H8" s="513">
        <f>SUMIF(61:61,G8,62:62)-SUMIF(61:61,C8,62:62)+100</f>
        <v>100</v>
      </c>
      <c r="I8" s="844" t="s">
        <v>3220</v>
      </c>
      <c r="J8" s="513">
        <f>SUMIF(61:61,I8,62:62)-SUMIF(61:61,C8,62:62)+100</f>
        <v>100</v>
      </c>
      <c r="K8" s="843"/>
      <c r="L8" s="2015"/>
      <c r="M8" s="2016"/>
      <c r="N8" s="2016"/>
      <c r="O8" s="2016"/>
      <c r="P8" s="3656" t="s">
        <v>527</v>
      </c>
      <c r="Q8" s="3657"/>
      <c r="R8" s="1501" t="s">
        <v>13</v>
      </c>
      <c r="S8" s="1502">
        <f t="shared" si="0"/>
        <v>100</v>
      </c>
      <c r="T8" s="1501" t="s">
        <v>13</v>
      </c>
      <c r="U8" s="1502">
        <f t="shared" si="1"/>
        <v>100</v>
      </c>
      <c r="V8" s="1501" t="s">
        <v>13</v>
      </c>
      <c r="W8" s="1502">
        <f t="shared" si="2"/>
        <v>100</v>
      </c>
      <c r="X8" s="1503"/>
      <c r="Y8" s="3656" t="s">
        <v>527</v>
      </c>
      <c r="Z8" s="3657"/>
      <c r="AA8" s="1504">
        <f t="shared" ref="AA8:AA46" si="3">D8/F8</f>
        <v>1</v>
      </c>
      <c r="AB8" s="1504">
        <f t="shared" ref="AB8:AB46" si="4">D8/H8</f>
        <v>1</v>
      </c>
      <c r="AC8" s="1504">
        <f t="shared" ref="AC8:AC46" si="5">D8/J8</f>
        <v>1</v>
      </c>
    </row>
    <row r="9" spans="1:29" s="1201" customFormat="1" ht="15">
      <c r="A9" s="2628"/>
      <c r="B9" s="2635" t="s">
        <v>2729</v>
      </c>
      <c r="C9" s="3302" t="s">
        <v>3221</v>
      </c>
      <c r="D9" s="251">
        <v>100</v>
      </c>
      <c r="E9" s="846" t="s">
        <v>914</v>
      </c>
      <c r="F9" s="847">
        <f>SUMIF(63:63,E9,64:64)-SUMIF(63:63,C9,64:64)+100</f>
        <v>100</v>
      </c>
      <c r="G9" s="848" t="s">
        <v>914</v>
      </c>
      <c r="H9" s="251">
        <f>SUMIF(63:63,G9,64:64)-SUMIF(63:63,C9,64:64)+100</f>
        <v>100</v>
      </c>
      <c r="I9" s="848" t="s">
        <v>914</v>
      </c>
      <c r="J9" s="251">
        <f>SUMIF(63:63,I9,64:64)-SUMIF(63:63,C9,64:64)+100</f>
        <v>100</v>
      </c>
      <c r="K9" s="843"/>
      <c r="L9" s="2015"/>
      <c r="M9" s="2016"/>
      <c r="N9" s="2016"/>
      <c r="O9" s="2017"/>
      <c r="P9" s="3625" t="s">
        <v>529</v>
      </c>
      <c r="Q9" s="1132" t="str">
        <f t="shared" ref="Q9:Q15" si="6">B9</f>
        <v>用途</v>
      </c>
      <c r="R9" s="1501" t="s">
        <v>8</v>
      </c>
      <c r="S9" s="1502">
        <f t="shared" si="0"/>
        <v>100</v>
      </c>
      <c r="T9" s="1501" t="s">
        <v>8</v>
      </c>
      <c r="U9" s="1502">
        <f t="shared" si="1"/>
        <v>100</v>
      </c>
      <c r="V9" s="1501" t="s">
        <v>8</v>
      </c>
      <c r="W9" s="1502">
        <f t="shared" si="2"/>
        <v>100</v>
      </c>
      <c r="X9" s="1503"/>
      <c r="Y9" s="3530" t="s">
        <v>530</v>
      </c>
      <c r="Z9" s="1131" t="str">
        <f t="shared" ref="Z9:Z15" si="7">Q9</f>
        <v>用途</v>
      </c>
      <c r="AA9" s="1504">
        <f t="shared" si="3"/>
        <v>1</v>
      </c>
      <c r="AB9" s="1504">
        <f t="shared" si="4"/>
        <v>1</v>
      </c>
      <c r="AC9" s="1504">
        <f t="shared" si="5"/>
        <v>1</v>
      </c>
    </row>
    <row r="10" spans="1:29" s="1290" customFormat="1" ht="27.75" thickBot="1">
      <c r="A10" s="2629"/>
      <c r="B10" s="2634" t="s">
        <v>2730</v>
      </c>
      <c r="C10" s="849" t="s">
        <v>3222</v>
      </c>
      <c r="D10" s="252">
        <v>100</v>
      </c>
      <c r="E10" s="850" t="s">
        <v>3222</v>
      </c>
      <c r="F10" s="851">
        <f>SUMIF(65:65,E10,66:66)-SUMIF(65:65,C10,66:66)+100</f>
        <v>100</v>
      </c>
      <c r="G10" s="849" t="s">
        <v>3222</v>
      </c>
      <c r="H10" s="252">
        <f>SUMIF(65:65,G10,66:66)-SUMIF(65:65,C10,66:66)+100</f>
        <v>100</v>
      </c>
      <c r="I10" s="849" t="s">
        <v>3222</v>
      </c>
      <c r="J10" s="252">
        <f>SUMIF(65:65,I10,66:66)-SUMIF(65:65,C10,66:66)+100</f>
        <v>100</v>
      </c>
      <c r="K10" s="852"/>
      <c r="L10" s="2018"/>
      <c r="M10" s="2057"/>
      <c r="N10" s="2057"/>
      <c r="O10" s="2019"/>
      <c r="P10" s="3625"/>
      <c r="Q10" s="1132" t="str">
        <f t="shared" si="6"/>
        <v>土地使用年限（年）</v>
      </c>
      <c r="R10" s="1501" t="s">
        <v>8</v>
      </c>
      <c r="S10" s="1502">
        <f t="shared" si="0"/>
        <v>100</v>
      </c>
      <c r="T10" s="1501" t="s">
        <v>8</v>
      </c>
      <c r="U10" s="1502">
        <f t="shared" si="1"/>
        <v>100</v>
      </c>
      <c r="V10" s="1501" t="s">
        <v>8</v>
      </c>
      <c r="W10" s="1502">
        <f t="shared" si="2"/>
        <v>100</v>
      </c>
      <c r="X10" s="1503"/>
      <c r="Y10" s="3530"/>
      <c r="Z10" s="1131" t="str">
        <f t="shared" si="7"/>
        <v>土地使用年限（年）</v>
      </c>
      <c r="AA10" s="1504">
        <f t="shared" si="3"/>
        <v>1</v>
      </c>
      <c r="AB10" s="1504">
        <f t="shared" si="4"/>
        <v>1</v>
      </c>
      <c r="AC10" s="1504">
        <f t="shared" si="5"/>
        <v>1</v>
      </c>
    </row>
    <row r="11" spans="1:29" ht="15" hidden="1">
      <c r="A11" s="2630"/>
      <c r="B11" s="2634" t="s">
        <v>2731</v>
      </c>
      <c r="C11" s="526">
        <v>2</v>
      </c>
      <c r="D11" s="252">
        <v>100</v>
      </c>
      <c r="E11" s="527">
        <v>2</v>
      </c>
      <c r="F11" s="851">
        <f>LOOKUP(E11,68:68,69:69)-LOOKUP(C11,68:68,69:69)+100</f>
        <v>100</v>
      </c>
      <c r="G11" s="526">
        <v>2</v>
      </c>
      <c r="H11" s="252">
        <f>LOOKUP(G11,68:68,69:69)-LOOKUP(C11,68:68,69:69)+100</f>
        <v>100</v>
      </c>
      <c r="I11" s="526">
        <v>2</v>
      </c>
      <c r="J11" s="252">
        <f>LOOKUP(I11,68:68,69:69)-LOOKUP(C11,68:68,69:69)+100</f>
        <v>100</v>
      </c>
      <c r="K11" s="852"/>
      <c r="L11" s="2020"/>
      <c r="M11" s="2014"/>
      <c r="N11" s="2014"/>
      <c r="O11" s="2021"/>
      <c r="P11" s="3625"/>
      <c r="Q11" s="1132" t="str">
        <f t="shared" si="6"/>
        <v>容积率</v>
      </c>
      <c r="R11" s="1501" t="s">
        <v>11</v>
      </c>
      <c r="S11" s="1502">
        <f t="shared" si="0"/>
        <v>100</v>
      </c>
      <c r="T11" s="1501" t="s">
        <v>11</v>
      </c>
      <c r="U11" s="1502">
        <f t="shared" si="1"/>
        <v>100</v>
      </c>
      <c r="V11" s="1501" t="s">
        <v>11</v>
      </c>
      <c r="W11" s="1502">
        <f t="shared" si="2"/>
        <v>100</v>
      </c>
      <c r="X11" s="1503"/>
      <c r="Y11" s="3530"/>
      <c r="Z11" s="1131" t="str">
        <f t="shared" si="7"/>
        <v>容积率</v>
      </c>
      <c r="AA11" s="1504">
        <f t="shared" si="3"/>
        <v>1</v>
      </c>
      <c r="AB11" s="1504">
        <f t="shared" si="4"/>
        <v>1</v>
      </c>
      <c r="AC11" s="1504">
        <f t="shared" si="5"/>
        <v>1</v>
      </c>
    </row>
    <row r="12" spans="1:29" s="1201" customFormat="1" ht="15" hidden="1">
      <c r="A12" s="2631"/>
      <c r="B12" s="2637">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625"/>
      <c r="Q12" s="1132">
        <f t="shared" si="6"/>
        <v>111</v>
      </c>
      <c r="R12" s="1501" t="s">
        <v>11</v>
      </c>
      <c r="S12" s="1502">
        <f t="shared" si="0"/>
        <v>100</v>
      </c>
      <c r="T12" s="1501" t="s">
        <v>11</v>
      </c>
      <c r="U12" s="1502">
        <f t="shared" si="1"/>
        <v>100</v>
      </c>
      <c r="V12" s="1501" t="s">
        <v>11</v>
      </c>
      <c r="W12" s="1502">
        <f t="shared" si="2"/>
        <v>100</v>
      </c>
      <c r="X12" s="1503"/>
      <c r="Y12" s="3530"/>
      <c r="Z12" s="1131">
        <f t="shared" si="7"/>
        <v>111</v>
      </c>
      <c r="AA12" s="1504">
        <f>D12/F12</f>
        <v>1</v>
      </c>
      <c r="AB12" s="1504">
        <f>D12/H12</f>
        <v>1</v>
      </c>
      <c r="AC12" s="1504">
        <f>D12/J12</f>
        <v>1</v>
      </c>
    </row>
    <row r="13" spans="1:29" ht="15" hidden="1">
      <c r="A13" s="2631"/>
      <c r="B13" s="2637">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625"/>
      <c r="Q13" s="1132">
        <f t="shared" si="6"/>
        <v>111</v>
      </c>
      <c r="R13" s="1501" t="s">
        <v>11</v>
      </c>
      <c r="S13" s="1502">
        <f t="shared" si="0"/>
        <v>100</v>
      </c>
      <c r="T13" s="1501" t="s">
        <v>11</v>
      </c>
      <c r="U13" s="1502">
        <f t="shared" si="1"/>
        <v>100</v>
      </c>
      <c r="V13" s="1501" t="s">
        <v>11</v>
      </c>
      <c r="W13" s="1502">
        <f t="shared" si="2"/>
        <v>100</v>
      </c>
      <c r="X13" s="1503"/>
      <c r="Y13" s="3530"/>
      <c r="Z13" s="1131">
        <f t="shared" si="7"/>
        <v>111</v>
      </c>
      <c r="AA13" s="1504">
        <f t="shared" si="3"/>
        <v>1</v>
      </c>
      <c r="AB13" s="1504">
        <f t="shared" si="4"/>
        <v>1</v>
      </c>
      <c r="AC13" s="1504">
        <f t="shared" si="5"/>
        <v>1</v>
      </c>
    </row>
    <row r="14" spans="1:29" ht="15.75" hidden="1" thickBot="1">
      <c r="A14" s="2632"/>
      <c r="B14" s="2638">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625"/>
      <c r="Q14" s="1132">
        <f t="shared" si="6"/>
        <v>111</v>
      </c>
      <c r="R14" s="1501" t="s">
        <v>11</v>
      </c>
      <c r="S14" s="1502">
        <f t="shared" si="0"/>
        <v>100</v>
      </c>
      <c r="T14" s="1501" t="s">
        <v>11</v>
      </c>
      <c r="U14" s="1502">
        <f t="shared" si="1"/>
        <v>100</v>
      </c>
      <c r="V14" s="1501" t="s">
        <v>11</v>
      </c>
      <c r="W14" s="1502">
        <f t="shared" si="2"/>
        <v>100</v>
      </c>
      <c r="X14" s="1503"/>
      <c r="Y14" s="3530"/>
      <c r="Z14" s="1131">
        <f t="shared" si="7"/>
        <v>111</v>
      </c>
      <c r="AA14" s="1504">
        <f t="shared" si="3"/>
        <v>1</v>
      </c>
      <c r="AB14" s="1504">
        <f t="shared" si="4"/>
        <v>1</v>
      </c>
      <c r="AC14" s="1504">
        <f t="shared" si="5"/>
        <v>1</v>
      </c>
    </row>
    <row r="15" spans="1:29" ht="21.75" customHeight="1">
      <c r="A15" s="2624" t="s">
        <v>2727</v>
      </c>
      <c r="B15" s="163" t="s">
        <v>295</v>
      </c>
      <c r="C15" s="855" t="str">
        <f>估价对象房地状况!C3</f>
        <v>现状差，未来好</v>
      </c>
      <c r="D15" s="542">
        <v>100</v>
      </c>
      <c r="E15" s="543"/>
      <c r="F15" s="544">
        <f>SUMIF(76:76,E16,77:77)-SUMIF(76:76,C16,77:77)+100</f>
        <v>100</v>
      </c>
      <c r="G15" s="545"/>
      <c r="H15" s="542">
        <f>SUMIF(76:76,G16,77:77)-SUMIF(76:76,C16,77:77)+100</f>
        <v>97</v>
      </c>
      <c r="I15" s="543"/>
      <c r="J15" s="542">
        <f>SUMIF(76:76,I16,77:77)-SUMIF(76:76,C16,77:77)+100</f>
        <v>97</v>
      </c>
      <c r="K15" s="856">
        <v>3</v>
      </c>
      <c r="L15" s="2022"/>
      <c r="M15" s="2014"/>
      <c r="N15" s="2014"/>
      <c r="O15" s="2021"/>
      <c r="P15" s="3659" t="s">
        <v>534</v>
      </c>
      <c r="Q15" s="1505" t="str">
        <f t="shared" si="6"/>
        <v>居住社区成熟度</v>
      </c>
      <c r="R15" s="1506" t="s">
        <v>11</v>
      </c>
      <c r="S15" s="1507">
        <f t="shared" si="0"/>
        <v>100</v>
      </c>
      <c r="T15" s="1506" t="s">
        <v>11</v>
      </c>
      <c r="U15" s="1507">
        <f t="shared" si="1"/>
        <v>97</v>
      </c>
      <c r="V15" s="1506" t="s">
        <v>11</v>
      </c>
      <c r="W15" s="1507">
        <f t="shared" si="2"/>
        <v>97</v>
      </c>
      <c r="X15" s="1500"/>
      <c r="Y15" s="3659" t="s">
        <v>534</v>
      </c>
      <c r="Z15" s="1508" t="str">
        <f t="shared" si="7"/>
        <v>居住社区成熟度</v>
      </c>
      <c r="AA15" s="1509">
        <f t="shared" si="3"/>
        <v>1</v>
      </c>
      <c r="AB15" s="1509">
        <f t="shared" si="4"/>
        <v>1.0309278350515463</v>
      </c>
      <c r="AC15" s="1509">
        <f t="shared" si="5"/>
        <v>1.0309278350515463</v>
      </c>
    </row>
    <row r="16" spans="1:29" ht="15">
      <c r="A16" s="525"/>
      <c r="B16" s="857"/>
      <c r="C16" s="569" t="s">
        <v>3227</v>
      </c>
      <c r="D16" s="548"/>
      <c r="E16" s="549" t="s">
        <v>3227</v>
      </c>
      <c r="F16" s="550"/>
      <c r="G16" s="551" t="s">
        <v>3229</v>
      </c>
      <c r="H16" s="552"/>
      <c r="I16" s="549" t="s">
        <v>3229</v>
      </c>
      <c r="J16" s="548"/>
      <c r="K16" s="858"/>
      <c r="L16" s="2022"/>
      <c r="M16" s="2014"/>
      <c r="N16" s="2014"/>
      <c r="O16" s="2021"/>
      <c r="P16" s="3660"/>
      <c r="Q16" s="1505"/>
      <c r="R16" s="1506"/>
      <c r="S16" s="1507"/>
      <c r="T16" s="1506"/>
      <c r="U16" s="1507"/>
      <c r="V16" s="1506"/>
      <c r="W16" s="1507"/>
      <c r="X16" s="1500"/>
      <c r="Y16" s="3660"/>
      <c r="Z16" s="1508"/>
      <c r="AA16" s="1509">
        <v>1</v>
      </c>
      <c r="AB16" s="1509">
        <v>1</v>
      </c>
      <c r="AC16" s="1509">
        <v>1</v>
      </c>
    </row>
    <row r="17" spans="1:29" ht="25.5" customHeight="1">
      <c r="A17" s="525"/>
      <c r="B17" s="859" t="s">
        <v>296</v>
      </c>
      <c r="C17" s="860" t="str">
        <f>估价对象房地状况!C6</f>
        <v>现状差，未来较好</v>
      </c>
      <c r="D17" s="552">
        <v>100</v>
      </c>
      <c r="E17" s="555"/>
      <c r="F17" s="556">
        <f>SUMIF(78:78,E18,79:79)-SUMIF(78:78,C18,79:79)+100</f>
        <v>103</v>
      </c>
      <c r="G17" s="557"/>
      <c r="H17" s="558">
        <f>SUMIF(78:78,G18,79:79)-SUMIF(78:78,C18,79:79)+100</f>
        <v>100</v>
      </c>
      <c r="I17" s="555"/>
      <c r="J17" s="558">
        <f>SUMIF(78:78,I18,79:79)-SUMIF(78:78,C18,79:79)+100</f>
        <v>100</v>
      </c>
      <c r="K17" s="856">
        <v>3</v>
      </c>
      <c r="L17" s="2022"/>
      <c r="M17" s="2014"/>
      <c r="N17" s="2014"/>
      <c r="O17" s="2021"/>
      <c r="P17" s="3660"/>
      <c r="Q17" s="1505" t="str">
        <f>B17</f>
        <v>交通便捷度</v>
      </c>
      <c r="R17" s="1506" t="s">
        <v>11</v>
      </c>
      <c r="S17" s="1507">
        <f>F17</f>
        <v>103</v>
      </c>
      <c r="T17" s="1506" t="s">
        <v>11</v>
      </c>
      <c r="U17" s="1507">
        <f>H17</f>
        <v>100</v>
      </c>
      <c r="V17" s="1506" t="s">
        <v>11</v>
      </c>
      <c r="W17" s="1507">
        <f>J17</f>
        <v>100</v>
      </c>
      <c r="X17" s="1500"/>
      <c r="Y17" s="3660"/>
      <c r="Z17" s="1508" t="str">
        <f>Q17</f>
        <v>交通便捷度</v>
      </c>
      <c r="AA17" s="1509">
        <f t="shared" si="3"/>
        <v>0.970873786407767</v>
      </c>
      <c r="AB17" s="1509">
        <f t="shared" si="4"/>
        <v>1</v>
      </c>
      <c r="AC17" s="1509">
        <f t="shared" si="5"/>
        <v>1</v>
      </c>
    </row>
    <row r="18" spans="1:29" ht="15">
      <c r="A18" s="525"/>
      <c r="B18" s="588"/>
      <c r="C18" s="861" t="s">
        <v>3229</v>
      </c>
      <c r="D18" s="552"/>
      <c r="E18" s="561" t="s">
        <v>3227</v>
      </c>
      <c r="F18" s="556"/>
      <c r="G18" s="562" t="s">
        <v>3229</v>
      </c>
      <c r="H18" s="548"/>
      <c r="I18" s="561" t="s">
        <v>3229</v>
      </c>
      <c r="J18" s="548"/>
      <c r="K18" s="858"/>
      <c r="L18" s="2022"/>
      <c r="M18" s="2014"/>
      <c r="N18" s="2014"/>
      <c r="O18" s="2021"/>
      <c r="P18" s="3660"/>
      <c r="Q18" s="1505"/>
      <c r="R18" s="1506"/>
      <c r="S18" s="1507"/>
      <c r="T18" s="1506"/>
      <c r="U18" s="1507"/>
      <c r="V18" s="1506"/>
      <c r="W18" s="1507"/>
      <c r="X18" s="1500"/>
      <c r="Y18" s="3660"/>
      <c r="Z18" s="1508"/>
      <c r="AA18" s="1509">
        <v>1</v>
      </c>
      <c r="AB18" s="1509">
        <v>1</v>
      </c>
      <c r="AC18" s="1509">
        <v>1</v>
      </c>
    </row>
    <row r="19" spans="1:29" ht="19.5" customHeight="1">
      <c r="A19" s="525"/>
      <c r="B19" s="2441" t="s">
        <v>2520</v>
      </c>
      <c r="C19" s="860" t="str">
        <f>估价对象房地状况!C7</f>
        <v>现状差，未来好</v>
      </c>
      <c r="D19" s="558">
        <v>100</v>
      </c>
      <c r="E19" s="563"/>
      <c r="F19" s="564">
        <f>SUMIF(80:80,E20,81:81)-SUMIF(80:80,C20,81:81)+100</f>
        <v>100</v>
      </c>
      <c r="G19" s="565"/>
      <c r="H19" s="552">
        <f>SUMIF(80:80,G20,81:81)-SUMIF(80:80,C20,81:81)+100</f>
        <v>97</v>
      </c>
      <c r="I19" s="563"/>
      <c r="J19" s="552">
        <f>SUMIF(80:80,I20,81:81)-SUMIF(80:80,C20,81:81)+100</f>
        <v>97</v>
      </c>
      <c r="K19" s="856">
        <v>3</v>
      </c>
      <c r="L19" s="2022"/>
      <c r="M19" s="2014"/>
      <c r="N19" s="2014"/>
      <c r="O19" s="2021"/>
      <c r="P19" s="3660"/>
      <c r="Q19" s="1505" t="str">
        <f>B19</f>
        <v>公共配套设施</v>
      </c>
      <c r="R19" s="1506" t="s">
        <v>11</v>
      </c>
      <c r="S19" s="1507">
        <f>F19</f>
        <v>100</v>
      </c>
      <c r="T19" s="1506" t="s">
        <v>11</v>
      </c>
      <c r="U19" s="1507">
        <f>H19</f>
        <v>97</v>
      </c>
      <c r="V19" s="1506" t="s">
        <v>11</v>
      </c>
      <c r="W19" s="1507">
        <f>J19</f>
        <v>97</v>
      </c>
      <c r="X19" s="1500"/>
      <c r="Y19" s="3660"/>
      <c r="Z19" s="1508" t="str">
        <f>Q19</f>
        <v>公共配套设施</v>
      </c>
      <c r="AA19" s="1509">
        <f t="shared" si="3"/>
        <v>1</v>
      </c>
      <c r="AB19" s="1509">
        <f t="shared" si="4"/>
        <v>1.0309278350515463</v>
      </c>
      <c r="AC19" s="1509">
        <f t="shared" si="5"/>
        <v>1.0309278350515463</v>
      </c>
    </row>
    <row r="20" spans="1:29" ht="15">
      <c r="A20" s="525"/>
      <c r="B20" s="588"/>
      <c r="C20" s="569" t="s">
        <v>3227</v>
      </c>
      <c r="D20" s="548"/>
      <c r="E20" s="549" t="s">
        <v>3227</v>
      </c>
      <c r="F20" s="550"/>
      <c r="G20" s="551" t="s">
        <v>3229</v>
      </c>
      <c r="H20" s="548"/>
      <c r="I20" s="549" t="s">
        <v>3229</v>
      </c>
      <c r="J20" s="548"/>
      <c r="K20" s="858"/>
      <c r="L20" s="2022"/>
      <c r="M20" s="2014"/>
      <c r="N20" s="2014"/>
      <c r="O20" s="2021"/>
      <c r="P20" s="3660"/>
      <c r="Q20" s="1505"/>
      <c r="R20" s="1506"/>
      <c r="S20" s="1507"/>
      <c r="T20" s="1506"/>
      <c r="U20" s="1507"/>
      <c r="V20" s="1506"/>
      <c r="W20" s="1507"/>
      <c r="X20" s="1500"/>
      <c r="Y20" s="3660"/>
      <c r="Z20" s="1508"/>
      <c r="AA20" s="1509">
        <v>1</v>
      </c>
      <c r="AB20" s="1509">
        <v>1</v>
      </c>
      <c r="AC20" s="1509">
        <v>1</v>
      </c>
    </row>
    <row r="21" spans="1:29" ht="20.25" customHeight="1">
      <c r="A21" s="525"/>
      <c r="B21" s="2434" t="s">
        <v>2532</v>
      </c>
      <c r="C21" s="860" t="str">
        <f>估价对象房地状况!C8</f>
        <v>七桶</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660"/>
      <c r="Q21" s="2426" t="str">
        <f>B21</f>
        <v>基础设施水平</v>
      </c>
      <c r="R21" s="1506" t="s">
        <v>11</v>
      </c>
      <c r="S21" s="1507">
        <f>F21</f>
        <v>100</v>
      </c>
      <c r="T21" s="1506" t="s">
        <v>11</v>
      </c>
      <c r="U21" s="1507">
        <f>H21</f>
        <v>100</v>
      </c>
      <c r="V21" s="1506" t="s">
        <v>11</v>
      </c>
      <c r="W21" s="1507">
        <f>J21</f>
        <v>100</v>
      </c>
      <c r="X21" s="2428"/>
      <c r="Y21" s="3660"/>
      <c r="Z21" s="2427" t="str">
        <f>Q21</f>
        <v>基础设施水平</v>
      </c>
      <c r="AA21" s="1509">
        <f t="shared" ref="AA21" si="8">D21/F21</f>
        <v>1</v>
      </c>
      <c r="AB21" s="1509">
        <f t="shared" ref="AB21" si="9">D21/H21</f>
        <v>1</v>
      </c>
      <c r="AC21" s="1509">
        <f t="shared" ref="AC21" si="10">D21/J21</f>
        <v>1</v>
      </c>
    </row>
    <row r="22" spans="1:29" ht="15">
      <c r="A22" s="525"/>
      <c r="B22" s="910"/>
      <c r="C22" s="861" t="s">
        <v>3228</v>
      </c>
      <c r="D22" s="548"/>
      <c r="E22" s="569" t="s">
        <v>3228</v>
      </c>
      <c r="F22" s="550"/>
      <c r="G22" s="569" t="s">
        <v>3228</v>
      </c>
      <c r="H22" s="548"/>
      <c r="I22" s="569" t="s">
        <v>3228</v>
      </c>
      <c r="J22" s="548"/>
      <c r="K22" s="2440"/>
      <c r="L22" s="2022"/>
      <c r="M22" s="2014"/>
      <c r="N22" s="2014"/>
      <c r="O22" s="2021"/>
      <c r="P22" s="3660"/>
      <c r="Q22" s="2426"/>
      <c r="R22" s="1506"/>
      <c r="S22" s="1507"/>
      <c r="T22" s="1506"/>
      <c r="U22" s="1507"/>
      <c r="V22" s="1506"/>
      <c r="W22" s="1507"/>
      <c r="X22" s="2428"/>
      <c r="Y22" s="3660"/>
      <c r="Z22" s="2427"/>
      <c r="AA22" s="1509">
        <v>1</v>
      </c>
      <c r="AB22" s="1509">
        <v>1</v>
      </c>
      <c r="AC22" s="1509">
        <v>1</v>
      </c>
    </row>
    <row r="23" spans="1:29" ht="37.5" customHeight="1">
      <c r="A23" s="525"/>
      <c r="B23" s="859" t="s">
        <v>297</v>
      </c>
      <c r="C23" s="860" t="str">
        <f>估价对象房地状况!C9</f>
        <v>现状一般，未来较好</v>
      </c>
      <c r="D23" s="552">
        <v>100</v>
      </c>
      <c r="E23" s="555"/>
      <c r="F23" s="556">
        <f>SUMIF(84:84,E24,85:85)-SUMIF(84:84,C24,85:85)+100</f>
        <v>100</v>
      </c>
      <c r="G23" s="557"/>
      <c r="H23" s="552">
        <f>SUMIF(84:84,G24,85:85)-SUMIF(84:84,C24,85:85)+100</f>
        <v>100</v>
      </c>
      <c r="I23" s="555"/>
      <c r="J23" s="552">
        <f>SUMIF(84:84,I24,85:85)-SUMIF(84:84,C24,85:85)+100</f>
        <v>100</v>
      </c>
      <c r="K23" s="856"/>
      <c r="L23" s="2022"/>
      <c r="M23" s="2014"/>
      <c r="N23" s="2014"/>
      <c r="O23" s="2021"/>
      <c r="P23" s="3660"/>
      <c r="Q23" s="1505" t="str">
        <f>B23</f>
        <v>自然及人文环境</v>
      </c>
      <c r="R23" s="1506" t="s">
        <v>11</v>
      </c>
      <c r="S23" s="1507">
        <f>F23</f>
        <v>100</v>
      </c>
      <c r="T23" s="1506" t="s">
        <v>11</v>
      </c>
      <c r="U23" s="1507">
        <f>H23</f>
        <v>100</v>
      </c>
      <c r="V23" s="1506" t="s">
        <v>11</v>
      </c>
      <c r="W23" s="1507">
        <f>J23</f>
        <v>100</v>
      </c>
      <c r="X23" s="1500"/>
      <c r="Y23" s="3660"/>
      <c r="Z23" s="1508" t="str">
        <f>Q23</f>
        <v>自然及人文环境</v>
      </c>
      <c r="AA23" s="1509">
        <f t="shared" si="3"/>
        <v>1</v>
      </c>
      <c r="AB23" s="1509">
        <f t="shared" si="4"/>
        <v>1</v>
      </c>
      <c r="AC23" s="1509">
        <f t="shared" si="5"/>
        <v>1</v>
      </c>
    </row>
    <row r="24" spans="1:29" ht="15.75" thickBot="1">
      <c r="A24" s="525"/>
      <c r="B24" s="588"/>
      <c r="C24" s="569" t="s">
        <v>3229</v>
      </c>
      <c r="D24" s="548"/>
      <c r="E24" s="549" t="s">
        <v>3229</v>
      </c>
      <c r="F24" s="550"/>
      <c r="G24" s="551" t="s">
        <v>3229</v>
      </c>
      <c r="H24" s="548"/>
      <c r="I24" s="549" t="s">
        <v>3229</v>
      </c>
      <c r="J24" s="548"/>
      <c r="K24" s="858"/>
      <c r="L24" s="2022"/>
      <c r="M24" s="2014"/>
      <c r="N24" s="2014"/>
      <c r="O24" s="2021"/>
      <c r="P24" s="3660"/>
      <c r="Q24" s="1505"/>
      <c r="R24" s="1506"/>
      <c r="S24" s="1507"/>
      <c r="T24" s="1506"/>
      <c r="U24" s="1507"/>
      <c r="V24" s="1506"/>
      <c r="W24" s="1507"/>
      <c r="X24" s="1500"/>
      <c r="Y24" s="3660"/>
      <c r="Z24" s="1508"/>
      <c r="AA24" s="1509">
        <v>1</v>
      </c>
      <c r="AB24" s="1509">
        <v>1</v>
      </c>
      <c r="AC24" s="1509">
        <v>1</v>
      </c>
    </row>
    <row r="25" spans="1:29" ht="15" hidden="1">
      <c r="A25" s="525"/>
      <c r="B25" s="1807" t="s">
        <v>2244</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660"/>
      <c r="Q25" s="1505" t="str">
        <f t="shared" ref="Q25:Q46" si="11">B25</f>
        <v>楼层-1</v>
      </c>
      <c r="R25" s="1506" t="s">
        <v>11</v>
      </c>
      <c r="S25" s="1507">
        <f>F25</f>
        <v>100</v>
      </c>
      <c r="T25" s="1506" t="s">
        <v>11</v>
      </c>
      <c r="U25" s="1507">
        <f>H25</f>
        <v>100</v>
      </c>
      <c r="V25" s="1506" t="s">
        <v>11</v>
      </c>
      <c r="W25" s="1507">
        <f>J25</f>
        <v>100</v>
      </c>
      <c r="X25" s="1500"/>
      <c r="Y25" s="3660"/>
      <c r="Z25" s="1508" t="str">
        <f>Q25</f>
        <v>楼层-1</v>
      </c>
      <c r="AA25" s="1509">
        <f t="shared" si="3"/>
        <v>1</v>
      </c>
      <c r="AB25" s="1509">
        <f t="shared" si="4"/>
        <v>1</v>
      </c>
      <c r="AC25" s="1509">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660"/>
      <c r="Q26" s="1505" t="str">
        <f t="shared" si="11"/>
        <v>朝向</v>
      </c>
      <c r="R26" s="1506" t="s">
        <v>11</v>
      </c>
      <c r="S26" s="1507">
        <f>F26</f>
        <v>100</v>
      </c>
      <c r="T26" s="1506" t="s">
        <v>11</v>
      </c>
      <c r="U26" s="1507">
        <f>H26</f>
        <v>100</v>
      </c>
      <c r="V26" s="1506" t="s">
        <v>11</v>
      </c>
      <c r="W26" s="1507">
        <f>J26</f>
        <v>100</v>
      </c>
      <c r="X26" s="1500"/>
      <c r="Y26" s="3660"/>
      <c r="Z26" s="1508" t="str">
        <f>Q26</f>
        <v>朝向</v>
      </c>
      <c r="AA26" s="1509">
        <f t="shared" si="3"/>
        <v>1</v>
      </c>
      <c r="AB26" s="1509">
        <f t="shared" si="4"/>
        <v>1</v>
      </c>
      <c r="AC26" s="1509">
        <f t="shared" si="5"/>
        <v>1</v>
      </c>
    </row>
    <row r="27" spans="1:29" s="1201"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660"/>
      <c r="Q27" s="1132" t="str">
        <f t="shared" si="11"/>
        <v>道路级别</v>
      </c>
      <c r="R27" s="1501" t="s">
        <v>11</v>
      </c>
      <c r="S27" s="1502">
        <f>F27</f>
        <v>100</v>
      </c>
      <c r="T27" s="1501" t="s">
        <v>11</v>
      </c>
      <c r="U27" s="1502">
        <f>H27</f>
        <v>100</v>
      </c>
      <c r="V27" s="1501" t="s">
        <v>11</v>
      </c>
      <c r="W27" s="1502">
        <f>J27</f>
        <v>100</v>
      </c>
      <c r="X27" s="1503"/>
      <c r="Y27" s="3660"/>
      <c r="Z27" s="1131" t="str">
        <f>Q27</f>
        <v>道路级别</v>
      </c>
      <c r="AA27" s="1509">
        <f>D27/F27</f>
        <v>1</v>
      </c>
      <c r="AB27" s="1509">
        <f>D27/H27</f>
        <v>1</v>
      </c>
      <c r="AC27" s="1509">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660"/>
      <c r="Q28" s="1505">
        <f t="shared" si="11"/>
        <v>111</v>
      </c>
      <c r="R28" s="1506" t="s">
        <v>11</v>
      </c>
      <c r="S28" s="1507">
        <f t="shared" ref="S28:S46" si="12">F28</f>
        <v>100</v>
      </c>
      <c r="T28" s="1506" t="s">
        <v>11</v>
      </c>
      <c r="U28" s="1507">
        <f t="shared" ref="U28:U46" si="13">H28</f>
        <v>100</v>
      </c>
      <c r="V28" s="1506" t="s">
        <v>11</v>
      </c>
      <c r="W28" s="1507">
        <f t="shared" ref="W28:W46" si="14">J28</f>
        <v>100</v>
      </c>
      <c r="X28" s="1500"/>
      <c r="Y28" s="3660"/>
      <c r="Z28" s="1508">
        <f t="shared" ref="Z28:Z46" si="15">Q28</f>
        <v>111</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660"/>
      <c r="Q29" s="1505">
        <f t="shared" si="11"/>
        <v>111</v>
      </c>
      <c r="R29" s="1506" t="s">
        <v>11</v>
      </c>
      <c r="S29" s="1507">
        <f t="shared" si="12"/>
        <v>100</v>
      </c>
      <c r="T29" s="1506" t="s">
        <v>11</v>
      </c>
      <c r="U29" s="1507">
        <f t="shared" si="13"/>
        <v>100</v>
      </c>
      <c r="V29" s="1506" t="s">
        <v>11</v>
      </c>
      <c r="W29" s="1507">
        <f t="shared" si="14"/>
        <v>100</v>
      </c>
      <c r="X29" s="1500"/>
      <c r="Y29" s="3660"/>
      <c r="Z29" s="1508">
        <f t="shared" si="15"/>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660"/>
      <c r="Q30" s="1505">
        <f t="shared" si="11"/>
        <v>111</v>
      </c>
      <c r="R30" s="1506" t="s">
        <v>11</v>
      </c>
      <c r="S30" s="1507">
        <f t="shared" si="12"/>
        <v>100</v>
      </c>
      <c r="T30" s="1506" t="s">
        <v>11</v>
      </c>
      <c r="U30" s="1507">
        <f t="shared" si="13"/>
        <v>100</v>
      </c>
      <c r="V30" s="1506" t="s">
        <v>11</v>
      </c>
      <c r="W30" s="1507">
        <f t="shared" si="14"/>
        <v>100</v>
      </c>
      <c r="X30" s="1500"/>
      <c r="Y30" s="3660"/>
      <c r="Z30" s="1508">
        <f t="shared" si="15"/>
        <v>111</v>
      </c>
      <c r="AA30" s="1509">
        <f t="shared" si="3"/>
        <v>1</v>
      </c>
      <c r="AB30" s="1509">
        <f t="shared" si="4"/>
        <v>1</v>
      </c>
      <c r="AC30" s="1509">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660"/>
      <c r="Q31" s="1505">
        <f t="shared" si="11"/>
        <v>111</v>
      </c>
      <c r="R31" s="1506" t="s">
        <v>11</v>
      </c>
      <c r="S31" s="1507">
        <f t="shared" si="12"/>
        <v>100</v>
      </c>
      <c r="T31" s="1506" t="s">
        <v>11</v>
      </c>
      <c r="U31" s="1507">
        <f t="shared" si="13"/>
        <v>100</v>
      </c>
      <c r="V31" s="1506" t="s">
        <v>11</v>
      </c>
      <c r="W31" s="1507">
        <f t="shared" si="14"/>
        <v>100</v>
      </c>
      <c r="X31" s="1500"/>
      <c r="Y31" s="3660"/>
      <c r="Z31" s="1508">
        <f t="shared" si="15"/>
        <v>111</v>
      </c>
      <c r="AA31" s="1509">
        <f t="shared" si="3"/>
        <v>1</v>
      </c>
      <c r="AB31" s="1509">
        <f t="shared" si="4"/>
        <v>1</v>
      </c>
      <c r="AC31" s="1509">
        <f t="shared" si="5"/>
        <v>1</v>
      </c>
    </row>
    <row r="32" spans="1:29" ht="15">
      <c r="A32" s="2621" t="s">
        <v>2728</v>
      </c>
      <c r="B32" s="169" t="s">
        <v>719</v>
      </c>
      <c r="C32" s="866" t="s">
        <v>3231</v>
      </c>
      <c r="D32" s="590">
        <v>100</v>
      </c>
      <c r="E32" s="867" t="s">
        <v>3231</v>
      </c>
      <c r="F32" s="568">
        <f>SUMIF(100:100,E32,101:101)-SUMIF(100:100,C32,101:101)+100</f>
        <v>100</v>
      </c>
      <c r="G32" s="866" t="s">
        <v>3231</v>
      </c>
      <c r="H32" s="590">
        <f>SUMIF(100:100,G32,101:101)-SUMIF(100:100,C32,101:101)+100</f>
        <v>100</v>
      </c>
      <c r="I32" s="867" t="s">
        <v>3231</v>
      </c>
      <c r="J32" s="533">
        <f>SUMIF(100:100,I32,101:101)-SUMIF(100:100,C32,101:101)+100</f>
        <v>100</v>
      </c>
      <c r="K32" s="852"/>
      <c r="L32" s="2022"/>
      <c r="M32" s="2014"/>
      <c r="N32" s="2014"/>
      <c r="O32" s="2021"/>
      <c r="P32" s="3661" t="s">
        <v>544</v>
      </c>
      <c r="Q32" s="1505" t="str">
        <f t="shared" si="11"/>
        <v>建筑类型</v>
      </c>
      <c r="R32" s="1506" t="s">
        <v>11</v>
      </c>
      <c r="S32" s="1507">
        <f t="shared" si="12"/>
        <v>100</v>
      </c>
      <c r="T32" s="1506" t="s">
        <v>11</v>
      </c>
      <c r="U32" s="1507">
        <f t="shared" si="13"/>
        <v>100</v>
      </c>
      <c r="V32" s="1506" t="s">
        <v>11</v>
      </c>
      <c r="W32" s="1507">
        <f t="shared" si="14"/>
        <v>100</v>
      </c>
      <c r="X32" s="1500"/>
      <c r="Y32" s="3662" t="s">
        <v>544</v>
      </c>
      <c r="Z32" s="1508" t="str">
        <f t="shared" si="15"/>
        <v>建筑类型</v>
      </c>
      <c r="AA32" s="1509">
        <f t="shared" si="3"/>
        <v>1</v>
      </c>
      <c r="AB32" s="1509">
        <f t="shared" si="4"/>
        <v>1</v>
      </c>
      <c r="AC32" s="1509">
        <f t="shared" si="5"/>
        <v>1</v>
      </c>
    </row>
    <row r="33" spans="1:29" s="1291" customFormat="1" ht="15" hidden="1">
      <c r="A33" s="596"/>
      <c r="B33" s="520" t="s">
        <v>720</v>
      </c>
      <c r="C33" s="868">
        <v>1</v>
      </c>
      <c r="D33" s="252">
        <v>100</v>
      </c>
      <c r="E33" s="527">
        <v>1</v>
      </c>
      <c r="F33" s="851">
        <f>LOOKUP(E33,103:103,104:104)-LOOKUP(C33,103:103,104:104)+100</f>
        <v>100</v>
      </c>
      <c r="G33" s="526">
        <v>1</v>
      </c>
      <c r="H33" s="252">
        <f>LOOKUP(G33,103:103,104:104)-LOOKUP(C33,103:103,104:104)+100</f>
        <v>100</v>
      </c>
      <c r="I33" s="527">
        <v>1</v>
      </c>
      <c r="J33" s="252">
        <f>LOOKUP(I33,103:103,104:104)-LOOKUP(C33,103:103,104:104)+100</f>
        <v>100</v>
      </c>
      <c r="K33" s="853"/>
      <c r="L33" s="2020"/>
      <c r="M33" s="2050"/>
      <c r="N33" s="2050"/>
      <c r="O33" s="2023"/>
      <c r="P33" s="3662"/>
      <c r="Q33" s="1534" t="str">
        <f t="shared" si="11"/>
        <v>项目建筑规模</v>
      </c>
      <c r="R33" s="1510" t="s">
        <v>11</v>
      </c>
      <c r="S33" s="1511">
        <f t="shared" si="12"/>
        <v>100</v>
      </c>
      <c r="T33" s="1510" t="s">
        <v>11</v>
      </c>
      <c r="U33" s="1511">
        <f t="shared" si="13"/>
        <v>100</v>
      </c>
      <c r="V33" s="1510" t="s">
        <v>11</v>
      </c>
      <c r="W33" s="1511">
        <f t="shared" si="14"/>
        <v>100</v>
      </c>
      <c r="X33" s="1512"/>
      <c r="Y33" s="3662"/>
      <c r="Z33" s="1513" t="str">
        <f t="shared" si="15"/>
        <v>项目建筑规模</v>
      </c>
      <c r="AA33" s="1509">
        <f t="shared" si="3"/>
        <v>1</v>
      </c>
      <c r="AB33" s="1509">
        <f t="shared" si="4"/>
        <v>1</v>
      </c>
      <c r="AC33" s="1509">
        <f t="shared" si="5"/>
        <v>1</v>
      </c>
    </row>
    <row r="34" spans="1:29" ht="15" hidden="1">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2"/>
      <c r="M34" s="2014"/>
      <c r="N34" s="2014"/>
      <c r="O34" s="2021"/>
      <c r="P34" s="3662"/>
      <c r="Q34" s="1505" t="str">
        <f t="shared" si="11"/>
        <v>建筑结构</v>
      </c>
      <c r="R34" s="1506" t="s">
        <v>11</v>
      </c>
      <c r="S34" s="1507">
        <f t="shared" si="12"/>
        <v>100</v>
      </c>
      <c r="T34" s="1506" t="s">
        <v>11</v>
      </c>
      <c r="U34" s="1507">
        <f t="shared" si="13"/>
        <v>100</v>
      </c>
      <c r="V34" s="1506" t="s">
        <v>11</v>
      </c>
      <c r="W34" s="1507">
        <f t="shared" si="14"/>
        <v>100</v>
      </c>
      <c r="X34" s="1500"/>
      <c r="Y34" s="3662"/>
      <c r="Z34" s="1508" t="str">
        <f t="shared" si="15"/>
        <v>建筑结构</v>
      </c>
      <c r="AA34" s="1509">
        <f t="shared" si="3"/>
        <v>1</v>
      </c>
      <c r="AB34" s="1509">
        <f t="shared" si="4"/>
        <v>1</v>
      </c>
      <c r="AC34" s="1509">
        <f t="shared" si="5"/>
        <v>1</v>
      </c>
    </row>
    <row r="35" spans="1:29" ht="15" hidden="1">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662"/>
      <c r="Q35" s="1505" t="str">
        <f t="shared" si="11"/>
        <v>建筑品质</v>
      </c>
      <c r="R35" s="1506" t="s">
        <v>11</v>
      </c>
      <c r="S35" s="1507">
        <f t="shared" si="12"/>
        <v>100</v>
      </c>
      <c r="T35" s="1506" t="s">
        <v>11</v>
      </c>
      <c r="U35" s="1507">
        <f t="shared" si="13"/>
        <v>100</v>
      </c>
      <c r="V35" s="1506" t="s">
        <v>11</v>
      </c>
      <c r="W35" s="1507">
        <f t="shared" si="14"/>
        <v>100</v>
      </c>
      <c r="X35" s="1500"/>
      <c r="Y35" s="3662"/>
      <c r="Z35" s="1508" t="str">
        <f t="shared" si="15"/>
        <v>建筑品质</v>
      </c>
      <c r="AA35" s="1509">
        <f t="shared" si="3"/>
        <v>1</v>
      </c>
      <c r="AB35" s="1509">
        <f t="shared" si="4"/>
        <v>1</v>
      </c>
      <c r="AC35" s="1509">
        <f t="shared" si="5"/>
        <v>1</v>
      </c>
    </row>
    <row r="36" spans="1:29" ht="15">
      <c r="A36" s="587"/>
      <c r="B36" s="520" t="s">
        <v>723</v>
      </c>
      <c r="C36" s="592" t="s">
        <v>3235</v>
      </c>
      <c r="D36" s="533">
        <v>100</v>
      </c>
      <c r="E36" s="862" t="s">
        <v>3235</v>
      </c>
      <c r="F36" s="568">
        <f>SUMIF(109:109,E36,110:110)-SUMIF(109:109,C36,110:110)+100</f>
        <v>100</v>
      </c>
      <c r="G36" s="592" t="s">
        <v>3235</v>
      </c>
      <c r="H36" s="533">
        <f>SUMIF(109:109,G36,110:110)-SUMIF(109:109,C36,110:110)+100</f>
        <v>100</v>
      </c>
      <c r="I36" s="862" t="s">
        <v>3235</v>
      </c>
      <c r="J36" s="533">
        <f>SUMIF(109:109,I36,110:110)-SUMIF(109:109,C36,110:110)+100</f>
        <v>100</v>
      </c>
      <c r="K36" s="852"/>
      <c r="L36" s="2022"/>
      <c r="M36" s="2014"/>
      <c r="N36" s="2014"/>
      <c r="O36" s="2021"/>
      <c r="P36" s="3662"/>
      <c r="Q36" s="1505" t="str">
        <f t="shared" si="11"/>
        <v>公共部分装修</v>
      </c>
      <c r="R36" s="1506" t="s">
        <v>11</v>
      </c>
      <c r="S36" s="1507">
        <f t="shared" si="12"/>
        <v>100</v>
      </c>
      <c r="T36" s="1506" t="s">
        <v>11</v>
      </c>
      <c r="U36" s="1507">
        <f t="shared" si="13"/>
        <v>100</v>
      </c>
      <c r="V36" s="1506" t="s">
        <v>11</v>
      </c>
      <c r="W36" s="1507">
        <f t="shared" si="14"/>
        <v>100</v>
      </c>
      <c r="X36" s="1500"/>
      <c r="Y36" s="3662"/>
      <c r="Z36" s="1508" t="str">
        <f t="shared" si="15"/>
        <v>公共部分装修</v>
      </c>
      <c r="AA36" s="1509">
        <f t="shared" si="3"/>
        <v>1</v>
      </c>
      <c r="AB36" s="1509">
        <f t="shared" si="4"/>
        <v>1</v>
      </c>
      <c r="AC36" s="1509">
        <f t="shared" si="5"/>
        <v>1</v>
      </c>
    </row>
    <row r="37" spans="1:29" s="1201" customFormat="1" ht="15">
      <c r="A37" s="593"/>
      <c r="B37" s="520" t="s">
        <v>724</v>
      </c>
      <c r="C37" s="871">
        <v>1</v>
      </c>
      <c r="D37" s="252">
        <v>100</v>
      </c>
      <c r="E37" s="872">
        <v>0.85</v>
      </c>
      <c r="F37" s="851">
        <f>LOOKUP(E37,112:112,113:113)-LOOKUP(C37,112:112,113:113)+100</f>
        <v>98</v>
      </c>
      <c r="G37" s="873">
        <v>0.85</v>
      </c>
      <c r="H37" s="252">
        <f>LOOKUP(G37,112:112,113:113)-LOOKUP(C37,112:112,113:113)+100</f>
        <v>98</v>
      </c>
      <c r="I37" s="872">
        <v>0.85</v>
      </c>
      <c r="J37" s="252">
        <f>LOOKUP(I37,112:112,113:113)-LOOKUP(C37,112:112,113:113)+100</f>
        <v>98</v>
      </c>
      <c r="K37" s="852">
        <v>2</v>
      </c>
      <c r="L37" s="2015"/>
      <c r="M37" s="2016"/>
      <c r="N37" s="2016"/>
      <c r="O37" s="2017"/>
      <c r="P37" s="3662"/>
      <c r="Q37" s="1132" t="str">
        <f t="shared" si="11"/>
        <v>成新度</v>
      </c>
      <c r="R37" s="1501" t="s">
        <v>11</v>
      </c>
      <c r="S37" s="1502">
        <f t="shared" si="12"/>
        <v>98</v>
      </c>
      <c r="T37" s="1501" t="s">
        <v>11</v>
      </c>
      <c r="U37" s="1502">
        <f t="shared" si="13"/>
        <v>98</v>
      </c>
      <c r="V37" s="1501" t="s">
        <v>11</v>
      </c>
      <c r="W37" s="1502">
        <f t="shared" si="14"/>
        <v>98</v>
      </c>
      <c r="X37" s="1503"/>
      <c r="Y37" s="3662"/>
      <c r="Z37" s="1131" t="str">
        <f t="shared" si="15"/>
        <v>成新度</v>
      </c>
      <c r="AA37" s="1504">
        <f t="shared" si="3"/>
        <v>1.0204081632653061</v>
      </c>
      <c r="AB37" s="1504">
        <f t="shared" si="4"/>
        <v>1.0204081632653061</v>
      </c>
      <c r="AC37" s="1504">
        <f t="shared" si="5"/>
        <v>1.0204081632653061</v>
      </c>
    </row>
    <row r="38" spans="1:29" ht="15" hidden="1">
      <c r="A38" s="587"/>
      <c r="B38" s="520" t="s">
        <v>725</v>
      </c>
      <c r="C38" s="592" t="s">
        <v>3239</v>
      </c>
      <c r="D38" s="533">
        <v>100</v>
      </c>
      <c r="E38" s="862" t="s">
        <v>3239</v>
      </c>
      <c r="F38" s="568">
        <f>SUMIF(114:114,E38,115:115)-SUMIF(114:114,C38,115:115)+100</f>
        <v>100</v>
      </c>
      <c r="G38" s="592" t="s">
        <v>3239</v>
      </c>
      <c r="H38" s="533">
        <f>SUMIF(114:114,G38,115:115)-SUMIF(114:114,C38,115:115)+100</f>
        <v>100</v>
      </c>
      <c r="I38" s="862" t="s">
        <v>3239</v>
      </c>
      <c r="J38" s="533">
        <f>SUMIF(114:114,I38,115:115)-SUMIF(114:114,C38,115:115)+100</f>
        <v>100</v>
      </c>
      <c r="K38" s="852"/>
      <c r="L38" s="2022"/>
      <c r="M38" s="2014"/>
      <c r="N38" s="2014"/>
      <c r="O38" s="2021"/>
      <c r="P38" s="3662" t="s">
        <v>544</v>
      </c>
      <c r="Q38" s="1505" t="str">
        <f t="shared" si="11"/>
        <v>物业管理</v>
      </c>
      <c r="R38" s="1506" t="s">
        <v>11</v>
      </c>
      <c r="S38" s="1507">
        <f t="shared" si="12"/>
        <v>100</v>
      </c>
      <c r="T38" s="1506" t="s">
        <v>11</v>
      </c>
      <c r="U38" s="1507">
        <f t="shared" si="13"/>
        <v>100</v>
      </c>
      <c r="V38" s="1506" t="s">
        <v>11</v>
      </c>
      <c r="W38" s="1507">
        <f t="shared" si="14"/>
        <v>100</v>
      </c>
      <c r="X38" s="1500"/>
      <c r="Y38" s="3662" t="s">
        <v>544</v>
      </c>
      <c r="Z38" s="1508" t="str">
        <f t="shared" si="15"/>
        <v>物业管理</v>
      </c>
      <c r="AA38" s="1509">
        <f t="shared" si="3"/>
        <v>1</v>
      </c>
      <c r="AB38" s="1509">
        <f t="shared" si="4"/>
        <v>1</v>
      </c>
      <c r="AC38" s="1509">
        <f t="shared" si="5"/>
        <v>1</v>
      </c>
    </row>
    <row r="39" spans="1:29" ht="15" hidden="1">
      <c r="A39" s="587"/>
      <c r="B39" s="1807" t="s">
        <v>2538</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2"/>
      <c r="M39" s="2014"/>
      <c r="N39" s="2014"/>
      <c r="O39" s="2021"/>
      <c r="P39" s="3662"/>
      <c r="Q39" s="1505" t="str">
        <f t="shared" si="11"/>
        <v>市政基础设施</v>
      </c>
      <c r="R39" s="1506" t="s">
        <v>11</v>
      </c>
      <c r="S39" s="1507">
        <f t="shared" si="12"/>
        <v>100</v>
      </c>
      <c r="T39" s="1506" t="s">
        <v>11</v>
      </c>
      <c r="U39" s="1507">
        <f t="shared" si="13"/>
        <v>100</v>
      </c>
      <c r="V39" s="1506" t="s">
        <v>11</v>
      </c>
      <c r="W39" s="1507">
        <f t="shared" si="14"/>
        <v>100</v>
      </c>
      <c r="X39" s="1500"/>
      <c r="Y39" s="3662"/>
      <c r="Z39" s="1508" t="str">
        <f t="shared" si="15"/>
        <v>市政基础设施</v>
      </c>
      <c r="AA39" s="1509">
        <f t="shared" si="3"/>
        <v>1</v>
      </c>
      <c r="AB39" s="1509">
        <f t="shared" si="4"/>
        <v>1</v>
      </c>
      <c r="AC39" s="1509">
        <f t="shared" si="5"/>
        <v>1</v>
      </c>
    </row>
    <row r="40" spans="1:29" ht="15" hidden="1">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662"/>
      <c r="Q40" s="1505" t="str">
        <f t="shared" si="11"/>
        <v>房型</v>
      </c>
      <c r="R40" s="1506" t="s">
        <v>11</v>
      </c>
      <c r="S40" s="1507">
        <f t="shared" si="12"/>
        <v>100</v>
      </c>
      <c r="T40" s="1506" t="s">
        <v>11</v>
      </c>
      <c r="U40" s="1507">
        <f t="shared" si="13"/>
        <v>100</v>
      </c>
      <c r="V40" s="1506" t="s">
        <v>11</v>
      </c>
      <c r="W40" s="1507">
        <f t="shared" si="14"/>
        <v>100</v>
      </c>
      <c r="X40" s="1500"/>
      <c r="Y40" s="3662"/>
      <c r="Z40" s="1508" t="str">
        <f t="shared" si="15"/>
        <v>房型</v>
      </c>
      <c r="AA40" s="1509">
        <f t="shared" si="3"/>
        <v>1</v>
      </c>
      <c r="AB40" s="1509">
        <f t="shared" si="4"/>
        <v>1</v>
      </c>
      <c r="AC40" s="1509">
        <f t="shared" si="5"/>
        <v>1</v>
      </c>
    </row>
    <row r="41" spans="1:29" s="1291" customFormat="1" ht="28.5" hidden="1">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0"/>
      <c r="M41" s="2050"/>
      <c r="N41" s="2050"/>
      <c r="O41" s="2023"/>
      <c r="P41" s="3662"/>
      <c r="Q41" s="1534" t="str">
        <f t="shared" si="11"/>
        <v>单套/主力户型建筑面积</v>
      </c>
      <c r="R41" s="1510" t="s">
        <v>11</v>
      </c>
      <c r="S41" s="1511">
        <f t="shared" si="12"/>
        <v>100</v>
      </c>
      <c r="T41" s="1510" t="s">
        <v>11</v>
      </c>
      <c r="U41" s="1511">
        <f t="shared" si="13"/>
        <v>100</v>
      </c>
      <c r="V41" s="1510" t="s">
        <v>11</v>
      </c>
      <c r="W41" s="1511">
        <f t="shared" si="14"/>
        <v>100</v>
      </c>
      <c r="X41" s="1512"/>
      <c r="Y41" s="3662"/>
      <c r="Z41" s="1513" t="str">
        <f t="shared" si="15"/>
        <v>单套/主力户型建筑面积</v>
      </c>
      <c r="AA41" s="1509">
        <f t="shared" si="3"/>
        <v>1</v>
      </c>
      <c r="AB41" s="1509">
        <f t="shared" si="4"/>
        <v>1</v>
      </c>
      <c r="AC41" s="1509">
        <f t="shared" si="5"/>
        <v>1</v>
      </c>
    </row>
    <row r="42" spans="1:29" ht="15">
      <c r="A42" s="587"/>
      <c r="B42" s="520" t="s">
        <v>728</v>
      </c>
      <c r="C42" s="592" t="s">
        <v>3235</v>
      </c>
      <c r="D42" s="533">
        <v>100</v>
      </c>
      <c r="E42" s="862" t="s">
        <v>3235</v>
      </c>
      <c r="F42" s="568">
        <f>SUMIF(122:122,E42,123:123)-SUMIF(122:122,C42,123:123)+100</f>
        <v>100</v>
      </c>
      <c r="G42" s="592" t="s">
        <v>3235</v>
      </c>
      <c r="H42" s="533">
        <f>SUMIF(122:122,G42,123:123)-SUMIF(122:122,C42,123:123)+100</f>
        <v>100</v>
      </c>
      <c r="I42" s="862" t="s">
        <v>3235</v>
      </c>
      <c r="J42" s="533">
        <f>SUMIF(122:122,I42,123:123)-SUMIF(122:122,C42,123:123)+100</f>
        <v>100</v>
      </c>
      <c r="K42" s="852"/>
      <c r="L42" s="2022"/>
      <c r="M42" s="2014"/>
      <c r="N42" s="2014"/>
      <c r="O42" s="2021"/>
      <c r="P42" s="3662"/>
      <c r="Q42" s="1505" t="str">
        <f t="shared" si="11"/>
        <v>内部装修</v>
      </c>
      <c r="R42" s="1506" t="s">
        <v>11</v>
      </c>
      <c r="S42" s="1507">
        <f t="shared" si="12"/>
        <v>100</v>
      </c>
      <c r="T42" s="1506" t="s">
        <v>11</v>
      </c>
      <c r="U42" s="1507">
        <f t="shared" si="13"/>
        <v>100</v>
      </c>
      <c r="V42" s="1506" t="s">
        <v>11</v>
      </c>
      <c r="W42" s="1507">
        <f t="shared" si="14"/>
        <v>100</v>
      </c>
      <c r="X42" s="1500"/>
      <c r="Y42" s="3662"/>
      <c r="Z42" s="1508" t="str">
        <f t="shared" si="15"/>
        <v>内部装修</v>
      </c>
      <c r="AA42" s="1509">
        <f t="shared" si="3"/>
        <v>1</v>
      </c>
      <c r="AB42" s="1509">
        <f t="shared" si="4"/>
        <v>1</v>
      </c>
      <c r="AC42" s="1509">
        <f t="shared" si="5"/>
        <v>1</v>
      </c>
    </row>
    <row r="43" spans="1:29" ht="27">
      <c r="A43" s="587"/>
      <c r="B43" s="520" t="s">
        <v>729</v>
      </c>
      <c r="C43" s="592" t="s">
        <v>3229</v>
      </c>
      <c r="D43" s="533">
        <v>100</v>
      </c>
      <c r="E43" s="862" t="s">
        <v>3229</v>
      </c>
      <c r="F43" s="568">
        <f>SUMIF(124:124,E43,125:125)-SUMIF(124:124,C43,125:125)+100</f>
        <v>100</v>
      </c>
      <c r="G43" s="592" t="s">
        <v>3229</v>
      </c>
      <c r="H43" s="533">
        <f>SUMIF(124:124,G43,125:125)-SUMIF(124:124,C43,125:125)+100</f>
        <v>100</v>
      </c>
      <c r="I43" s="862" t="s">
        <v>3229</v>
      </c>
      <c r="J43" s="533">
        <f>SUMIF(124:124,I43,125:125)-SUMIF(124:124,C43,125:125)+100</f>
        <v>100</v>
      </c>
      <c r="K43" s="852"/>
      <c r="L43" s="2022"/>
      <c r="M43" s="2014"/>
      <c r="N43" s="2014"/>
      <c r="O43" s="2021"/>
      <c r="P43" s="3662"/>
      <c r="Q43" s="1505" t="str">
        <f t="shared" si="11"/>
        <v>内部装修维护情况</v>
      </c>
      <c r="R43" s="1506" t="s">
        <v>11</v>
      </c>
      <c r="S43" s="1507">
        <f t="shared" si="12"/>
        <v>100</v>
      </c>
      <c r="T43" s="1506" t="s">
        <v>11</v>
      </c>
      <c r="U43" s="1507">
        <f t="shared" si="13"/>
        <v>100</v>
      </c>
      <c r="V43" s="1506" t="s">
        <v>11</v>
      </c>
      <c r="W43" s="1507">
        <f t="shared" si="14"/>
        <v>100</v>
      </c>
      <c r="X43" s="1500"/>
      <c r="Y43" s="3662"/>
      <c r="Z43" s="1508" t="str">
        <f t="shared" si="15"/>
        <v>内部装修维护情况</v>
      </c>
      <c r="AA43" s="1509">
        <f t="shared" si="3"/>
        <v>1</v>
      </c>
      <c r="AB43" s="1509">
        <f t="shared" si="4"/>
        <v>1</v>
      </c>
      <c r="AC43" s="1509">
        <f t="shared" si="5"/>
        <v>1</v>
      </c>
    </row>
    <row r="44" spans="1:29" s="1201" customFormat="1" ht="15.75" thickBot="1">
      <c r="A44" s="593"/>
      <c r="B44" s="3311" t="s">
        <v>3243</v>
      </c>
      <c r="C44" s="868" t="str">
        <f>C126</f>
        <v>待实施</v>
      </c>
      <c r="D44" s="252">
        <v>100</v>
      </c>
      <c r="E44" s="868" t="str">
        <f>D126</f>
        <v>已实施</v>
      </c>
      <c r="F44" s="851">
        <f>SUMIF(126:126,E44,127:127)-SUMIF(126:126,C44,127:127)+100</f>
        <v>105</v>
      </c>
      <c r="G44" s="868" t="str">
        <f>E44</f>
        <v>已实施</v>
      </c>
      <c r="H44" s="252">
        <f>SUMIF(126:126,G44,127:127)-SUMIF(126:126,C44,127:127)+100</f>
        <v>105</v>
      </c>
      <c r="I44" s="868" t="str">
        <f>E44</f>
        <v>已实施</v>
      </c>
      <c r="J44" s="252">
        <f>SUMIF(126:126,I44,127:127)-SUMIF(126:126,C44,127:127)+100</f>
        <v>105</v>
      </c>
      <c r="K44" s="853"/>
      <c r="L44" s="2015"/>
      <c r="M44" s="2016"/>
      <c r="N44" s="2016"/>
      <c r="O44" s="2017"/>
      <c r="P44" s="3662"/>
      <c r="Q44" s="1132" t="str">
        <f t="shared" si="11"/>
        <v>规划实施优先程度</v>
      </c>
      <c r="R44" s="1501" t="s">
        <v>11</v>
      </c>
      <c r="S44" s="1502">
        <f t="shared" si="12"/>
        <v>105</v>
      </c>
      <c r="T44" s="1501" t="s">
        <v>11</v>
      </c>
      <c r="U44" s="1502">
        <f t="shared" si="13"/>
        <v>105</v>
      </c>
      <c r="V44" s="1501" t="s">
        <v>11</v>
      </c>
      <c r="W44" s="1502">
        <f t="shared" si="14"/>
        <v>105</v>
      </c>
      <c r="X44" s="1503"/>
      <c r="Y44" s="3662"/>
      <c r="Z44" s="1131" t="str">
        <f t="shared" si="15"/>
        <v>规划实施优先程度</v>
      </c>
      <c r="AA44" s="1504">
        <f t="shared" si="3"/>
        <v>0.95238095238095233</v>
      </c>
      <c r="AB44" s="1504">
        <f t="shared" si="4"/>
        <v>0.95238095238095233</v>
      </c>
      <c r="AC44" s="1504">
        <f t="shared" si="5"/>
        <v>0.95238095238095233</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662"/>
      <c r="Q45" s="1505">
        <f t="shared" si="11"/>
        <v>111</v>
      </c>
      <c r="R45" s="1506" t="s">
        <v>11</v>
      </c>
      <c r="S45" s="1507">
        <f t="shared" si="12"/>
        <v>100</v>
      </c>
      <c r="T45" s="1506" t="s">
        <v>11</v>
      </c>
      <c r="U45" s="1507">
        <f t="shared" si="13"/>
        <v>100</v>
      </c>
      <c r="V45" s="1506" t="s">
        <v>11</v>
      </c>
      <c r="W45" s="1507">
        <f t="shared" si="14"/>
        <v>100</v>
      </c>
      <c r="X45" s="1500"/>
      <c r="Y45" s="3662"/>
      <c r="Z45" s="1508">
        <f t="shared" si="15"/>
        <v>111</v>
      </c>
      <c r="AA45" s="1509">
        <f t="shared" si="3"/>
        <v>1</v>
      </c>
      <c r="AB45" s="1509">
        <f t="shared" si="4"/>
        <v>1</v>
      </c>
      <c r="AC45" s="1509">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744"/>
      <c r="Q46" s="1505">
        <f t="shared" si="11"/>
        <v>111</v>
      </c>
      <c r="R46" s="1506" t="s">
        <v>10</v>
      </c>
      <c r="S46" s="1507">
        <f t="shared" si="12"/>
        <v>100</v>
      </c>
      <c r="T46" s="1506" t="s">
        <v>10</v>
      </c>
      <c r="U46" s="1507">
        <f t="shared" si="13"/>
        <v>100</v>
      </c>
      <c r="V46" s="1506" t="s">
        <v>10</v>
      </c>
      <c r="W46" s="1507">
        <f t="shared" si="14"/>
        <v>100</v>
      </c>
      <c r="X46" s="1500"/>
      <c r="Y46" s="3744"/>
      <c r="Z46" s="1508">
        <f t="shared" si="15"/>
        <v>111</v>
      </c>
      <c r="AA46" s="1509">
        <f t="shared" si="3"/>
        <v>1</v>
      </c>
      <c r="AB46" s="1509">
        <f t="shared" si="4"/>
        <v>1</v>
      </c>
      <c r="AC46" s="1509">
        <f t="shared" si="5"/>
        <v>1</v>
      </c>
    </row>
    <row r="47" spans="1:29" ht="15">
      <c r="A47" s="600" t="s">
        <v>730</v>
      </c>
      <c r="B47" s="875"/>
      <c r="C47" s="2467" t="s">
        <v>9</v>
      </c>
      <c r="D47" s="2468"/>
      <c r="E47" s="2469">
        <f>'住宅案例-天津'!D3</f>
        <v>2.2000000000000002</v>
      </c>
      <c r="F47" s="2470"/>
      <c r="G47" s="2471">
        <f>'住宅案例-天津'!D4</f>
        <v>1.8</v>
      </c>
      <c r="H47" s="2472"/>
      <c r="I47" s="2469">
        <f>'住宅案例-天津'!D5</f>
        <v>1.7</v>
      </c>
      <c r="J47" s="2472"/>
      <c r="K47" s="1535"/>
      <c r="L47" s="2024"/>
      <c r="M47" s="2025"/>
      <c r="N47" s="2014"/>
      <c r="O47" s="2025"/>
      <c r="P47" s="3625" t="str">
        <f>A47</f>
        <v>成交单价（元/平方米）</v>
      </c>
      <c r="Q47" s="3625"/>
      <c r="R47" s="3743">
        <f>E47</f>
        <v>2.2000000000000002</v>
      </c>
      <c r="S47" s="3743"/>
      <c r="T47" s="3743">
        <f>G47</f>
        <v>1.8</v>
      </c>
      <c r="U47" s="3743"/>
      <c r="V47" s="3743">
        <f>I47</f>
        <v>1.7</v>
      </c>
      <c r="W47" s="3743"/>
      <c r="X47" s="1495"/>
      <c r="Y47" s="1514"/>
      <c r="Z47" s="1495"/>
      <c r="AA47" s="1495"/>
      <c r="AB47" s="1495"/>
      <c r="AC47" s="1495"/>
    </row>
    <row r="48" spans="1:29" ht="15.75" thickBot="1">
      <c r="A48" s="608" t="s">
        <v>2733</v>
      </c>
      <c r="B48" s="876"/>
      <c r="C48" s="2473">
        <f>R49</f>
        <v>1.9</v>
      </c>
      <c r="D48" s="3011" t="s">
        <v>2957</v>
      </c>
      <c r="E48" s="2474">
        <f>R48</f>
        <v>2.1</v>
      </c>
      <c r="F48" s="3012"/>
      <c r="G48" s="2473">
        <f>T48</f>
        <v>1.9</v>
      </c>
      <c r="H48" s="3012"/>
      <c r="I48" s="2474">
        <f>V48</f>
        <v>1.8</v>
      </c>
      <c r="J48" s="3012"/>
      <c r="K48" s="3020">
        <f>F48+H48+J48</f>
        <v>0</v>
      </c>
      <c r="L48" s="2024"/>
      <c r="M48" s="2025"/>
      <c r="N48" s="2025"/>
      <c r="O48" s="2025"/>
      <c r="P48" s="3625" t="str">
        <f>A48</f>
        <v>比较价格（元/平方米）</v>
      </c>
      <c r="Q48" s="3625"/>
      <c r="R48" s="3743">
        <f>IF(F1="售价",ROUND(PRODUCT(R47,AA7:AA46),0),ROUND(PRODUCT(R47,AA7:AA46),1))</f>
        <v>2.1</v>
      </c>
      <c r="S48" s="3743"/>
      <c r="T48" s="3743">
        <f>IF(F1="售价",ROUND(PRODUCT(T47,AB7:AB46),0),ROUND(PRODUCT(T47,AB7:AB46),1))</f>
        <v>1.9</v>
      </c>
      <c r="U48" s="3743"/>
      <c r="V48" s="3743">
        <f>IF(F1="售价",ROUND(PRODUCT(V47,AC7:AC46),0),ROUND(PRODUCT(V47,AC7:AC46),1))</f>
        <v>1.8</v>
      </c>
      <c r="W48" s="3743"/>
      <c r="X48" s="1495"/>
      <c r="Y48" s="1495"/>
      <c r="Z48" s="1495"/>
      <c r="AA48" s="1495"/>
      <c r="AB48" s="1495"/>
      <c r="AC48" s="1495"/>
    </row>
    <row r="49" spans="1:29" ht="15.75" thickBot="1">
      <c r="A49" s="612" t="s">
        <v>3246</v>
      </c>
      <c r="B49" s="613"/>
      <c r="C49" s="2475">
        <f>R49</f>
        <v>1.9</v>
      </c>
      <c r="D49" s="2475"/>
      <c r="E49" s="2475"/>
      <c r="F49" s="2475"/>
      <c r="G49" s="2475"/>
      <c r="H49" s="2475"/>
      <c r="I49" s="2475"/>
      <c r="J49" s="2475"/>
      <c r="K49" s="1536"/>
      <c r="L49" s="2024"/>
      <c r="M49" s="2025"/>
      <c r="N49" s="2025"/>
      <c r="O49" s="2025"/>
      <c r="P49" s="3622" t="str">
        <f>A49</f>
        <v>估价对象住宅用房的比较价格（楼面单价，元/平方米）</v>
      </c>
      <c r="Q49" s="3623"/>
      <c r="R49" s="3742">
        <f>IF(F1="售价",ROUND(IF(D48="简单平均",AVERAGE(R48:V48),R48*F48+T48*H48+V48*J48),0),ROUND(IF(D48="简单平均",AVERAGE(R48:V48),R48*F48+T48*H48+V48*J48),1))</f>
        <v>1.9</v>
      </c>
      <c r="S49" s="3742"/>
      <c r="T49" s="3742"/>
      <c r="U49" s="3742"/>
      <c r="V49" s="3742"/>
      <c r="W49" s="3742"/>
      <c r="X49" s="1495"/>
      <c r="Y49" s="1495"/>
      <c r="Z49" s="1495"/>
      <c r="AA49" s="1495"/>
      <c r="AB49" s="1495"/>
      <c r="AC49" s="1495"/>
    </row>
    <row r="50" spans="1:29">
      <c r="A50" s="3209"/>
      <c r="B50" s="3209"/>
      <c r="C50" s="3209"/>
      <c r="D50" s="3209"/>
      <c r="E50" s="3209"/>
      <c r="F50" s="3209"/>
      <c r="G50" s="3211"/>
      <c r="H50" s="3209"/>
      <c r="I50" s="3209"/>
      <c r="J50" s="3209"/>
      <c r="K50" s="3212"/>
      <c r="L50" s="2029"/>
      <c r="M50" s="2025"/>
      <c r="N50" s="2025"/>
      <c r="O50" s="2025"/>
      <c r="P50" s="2025"/>
      <c r="Q50" s="2025"/>
      <c r="R50" s="2025"/>
      <c r="S50" s="2025"/>
      <c r="T50" s="2025"/>
      <c r="U50" s="2025"/>
      <c r="V50" s="2025"/>
      <c r="W50" s="2025"/>
      <c r="X50" s="2025"/>
      <c r="Y50" s="2025"/>
      <c r="Z50" s="2025"/>
      <c r="AA50" s="2025"/>
      <c r="AB50" s="2025"/>
      <c r="AC50" s="2025"/>
    </row>
    <row r="51" spans="1:29">
      <c r="A51" s="3209"/>
      <c r="B51" s="3209"/>
      <c r="C51" s="3209"/>
      <c r="D51" s="3209"/>
      <c r="E51" s="3209"/>
      <c r="F51" s="3209"/>
      <c r="G51" s="3209"/>
      <c r="H51" s="3209"/>
      <c r="I51" s="3209"/>
      <c r="J51" s="3209"/>
      <c r="K51" s="3212"/>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9"/>
      <c r="B52" s="3209"/>
      <c r="C52" s="615" t="s">
        <v>551</v>
      </c>
      <c r="D52" s="616"/>
      <c r="E52" s="617">
        <f>IF(E47&lt;E48,E48/E47-1,E47/E48-1)</f>
        <v>4.7619047619047672E-2</v>
      </c>
      <c r="F52" s="618" t="str">
        <f>IF(OR(E52&gt;=0.3,E52&lt;=-0.3),"超过30%","")</f>
        <v/>
      </c>
      <c r="G52" s="617">
        <f>IF(G47&lt;G48,G48/G47-1,G47/G48-1)</f>
        <v>5.555555555555558E-2</v>
      </c>
      <c r="H52" s="618" t="str">
        <f>IF(OR(G52&gt;=0.3,G52&lt;=-0.3),"超过30%","")</f>
        <v/>
      </c>
      <c r="I52" s="617">
        <f>IF(I47&lt;I48,I48/I47-1,I47/I48-1)</f>
        <v>5.8823529411764719E-2</v>
      </c>
      <c r="J52" s="618" t="str">
        <f>IF(OR(I52&gt;=0.3,I52&lt;=-0.3),"超过30%","")</f>
        <v/>
      </c>
      <c r="K52" s="3212"/>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552</v>
      </c>
      <c r="D53" s="619"/>
      <c r="E53" s="617">
        <f>IF(E48&lt;G48,G48/E48-1,E48/G48-1)</f>
        <v>0.10526315789473695</v>
      </c>
      <c r="F53" s="618" t="str">
        <f>IF(OR(E53&gt;=0.2,E53&lt;=-0.2),"超过20%","")</f>
        <v/>
      </c>
      <c r="G53" s="617">
        <f>IF(G48&lt;I48,I48/G48-1,G48/I48-1)</f>
        <v>5.555555555555558E-2</v>
      </c>
      <c r="H53" s="618" t="str">
        <f>IF(OR(G53&gt;=0.2,G53&lt;=-0.2),"超过20%","")</f>
        <v/>
      </c>
      <c r="I53" s="617">
        <f>IF(I48&lt;E48,E48/I48-1,I48/E48-1)</f>
        <v>0.16666666666666674</v>
      </c>
      <c r="J53" s="618" t="str">
        <f>IF(OR(I53&gt;=0.2,I53&lt;=-0.2),"超过20%","")</f>
        <v/>
      </c>
      <c r="K53" s="3212"/>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0"/>
      <c r="B54" s="3210"/>
      <c r="C54" s="615" t="s">
        <v>553</v>
      </c>
      <c r="D54" s="619"/>
      <c r="E54" s="617">
        <f>IF(E47&lt;G47,G47/E47-1,E47/G47-1)</f>
        <v>0.22222222222222232</v>
      </c>
      <c r="F54" s="618" t="str">
        <f>IF(OR(E54&gt;=0.3,E54&lt;=-0.3),"超过30%","")</f>
        <v/>
      </c>
      <c r="G54" s="617">
        <f>IF(G47&lt;I47,I47/G47-1,G47/I47-1)</f>
        <v>5.8823529411764719E-2</v>
      </c>
      <c r="H54" s="618" t="str">
        <f>IF(OR(G54&gt;=0.3,G54&lt;=-0.3),"超过30%","")</f>
        <v/>
      </c>
      <c r="I54" s="617">
        <f>IF(I47&lt;E47,E47/I47-1,I47/E47-1)</f>
        <v>0.29411764705882359</v>
      </c>
      <c r="J54" s="618" t="str">
        <f>IF(OR(I54&gt;=0.3,I54&lt;=-0.3),"超过30%","")</f>
        <v/>
      </c>
      <c r="K54" s="3213"/>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8" t="str">
        <f>YEAR(C7)&amp;"-"&amp;MONTH(C7)</f>
        <v>2020-10</v>
      </c>
      <c r="D58" s="2518">
        <f>EDATE(C58,-1)</f>
        <v>44075</v>
      </c>
      <c r="E58" s="2518">
        <f t="shared" ref="E58:O58" si="16">EDATE(D58,-1)</f>
        <v>44044</v>
      </c>
      <c r="F58" s="2518">
        <f t="shared" si="16"/>
        <v>44013</v>
      </c>
      <c r="G58" s="2518">
        <f t="shared" si="16"/>
        <v>43983</v>
      </c>
      <c r="H58" s="2518">
        <f t="shared" si="16"/>
        <v>43952</v>
      </c>
      <c r="I58" s="2518">
        <f t="shared" si="16"/>
        <v>43922</v>
      </c>
      <c r="J58" s="2518">
        <f t="shared" si="16"/>
        <v>43891</v>
      </c>
      <c r="K58" s="2518">
        <f t="shared" si="16"/>
        <v>43862</v>
      </c>
      <c r="L58" s="2518">
        <f t="shared" si="16"/>
        <v>43831</v>
      </c>
      <c r="M58" s="2518">
        <f t="shared" si="16"/>
        <v>43800</v>
      </c>
      <c r="N58" s="2518">
        <f t="shared" si="16"/>
        <v>43770</v>
      </c>
      <c r="O58" s="2518">
        <f t="shared" si="16"/>
        <v>43739</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1（含）-3</v>
      </c>
      <c r="D67" s="673" t="str">
        <f t="shared" ref="D67:L67" si="18">D68&amp;"（含）"&amp;"-"&amp;E68</f>
        <v>3（含）-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1</v>
      </c>
      <c r="D68" s="534">
        <v>3</v>
      </c>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97</v>
      </c>
      <c r="E77" s="670">
        <f>D77-$K15</f>
        <v>94</v>
      </c>
      <c r="F77" s="670">
        <f>E77-$K15</f>
        <v>91</v>
      </c>
      <c r="G77" s="670">
        <f>F77-$K15</f>
        <v>88</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97</v>
      </c>
      <c r="E79" s="670">
        <f>D79-$K17</f>
        <v>94</v>
      </c>
      <c r="F79" s="670">
        <f>E79-$K17</f>
        <v>91</v>
      </c>
      <c r="G79" s="670">
        <f>F79-$K17</f>
        <v>88</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2531</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97</v>
      </c>
      <c r="E81" s="670">
        <f>D81-$K19</f>
        <v>94</v>
      </c>
      <c r="F81" s="670">
        <f>E81-$K19</f>
        <v>91</v>
      </c>
      <c r="G81" s="670">
        <f>F81-$K19</f>
        <v>88</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8" t="s">
        <v>2532</v>
      </c>
      <c r="C82" s="2439" t="s">
        <v>2533</v>
      </c>
      <c r="D82" s="2439" t="s">
        <v>2534</v>
      </c>
      <c r="E82" s="2439" t="s">
        <v>2535</v>
      </c>
      <c r="F82" s="2439" t="s">
        <v>2536</v>
      </c>
      <c r="G82" s="2439" t="s">
        <v>2537</v>
      </c>
      <c r="H82" s="665"/>
      <c r="I82" s="665"/>
      <c r="J82" s="665"/>
      <c r="K82" s="665"/>
      <c r="L82" s="665"/>
      <c r="M82" s="2442"/>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308" t="s">
        <v>3232</v>
      </c>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1(含)-10000</v>
      </c>
      <c r="D102" s="699" t="str">
        <f t="shared" ref="D102:L102" si="23">D103&amp;"(含)"&amp;"-"&amp;E103</f>
        <v>10000(含)-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1</v>
      </c>
      <c r="D103" s="721">
        <v>10000</v>
      </c>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v>100</v>
      </c>
      <c r="D104" s="662"/>
      <c r="E104" s="662"/>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309" t="s">
        <v>3237</v>
      </c>
      <c r="D109" s="3309" t="s">
        <v>3238</v>
      </c>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309" t="s">
        <v>3240</v>
      </c>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2530</v>
      </c>
      <c r="C116" s="3309" t="s">
        <v>3241</v>
      </c>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3310" t="s">
        <v>3242</v>
      </c>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309" t="s">
        <v>3234</v>
      </c>
      <c r="D122" s="3309" t="s">
        <v>3236</v>
      </c>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t="str">
        <f>B44</f>
        <v>规划实施优先程度</v>
      </c>
      <c r="C126" s="3309" t="s">
        <v>3245</v>
      </c>
      <c r="D126" s="3309" t="s">
        <v>3244</v>
      </c>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v>100</v>
      </c>
      <c r="D127" s="662">
        <v>105</v>
      </c>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2246</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2247</v>
      </c>
      <c r="C137" s="1831"/>
      <c r="D137" s="1831"/>
      <c r="E137" s="1831"/>
      <c r="F137" s="1831"/>
      <c r="G137" s="1832"/>
      <c r="H137" s="1833"/>
      <c r="I137" s="1834" t="s">
        <v>2248</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2249</v>
      </c>
      <c r="D138" s="1837" t="s">
        <v>2250</v>
      </c>
      <c r="E138" s="1838" t="s">
        <v>2251</v>
      </c>
      <c r="F138" s="1839" t="s">
        <v>2252</v>
      </c>
      <c r="G138" s="1837" t="s">
        <v>2253</v>
      </c>
      <c r="H138" s="1840" t="s">
        <v>2254</v>
      </c>
      <c r="I138" s="1841"/>
      <c r="J138" s="1837" t="s">
        <v>2255</v>
      </c>
      <c r="K138" s="1840" t="s">
        <v>2256</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2257</v>
      </c>
      <c r="E139" s="1811">
        <v>100</v>
      </c>
      <c r="F139" s="1812">
        <v>102.5</v>
      </c>
      <c r="G139" s="1842" t="s">
        <v>2258</v>
      </c>
      <c r="H139" s="1813">
        <v>105</v>
      </c>
      <c r="I139" s="1843" t="s">
        <v>2259</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2260</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2261</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2262</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2263</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2264</v>
      </c>
      <c r="E144" s="1817">
        <v>102</v>
      </c>
      <c r="F144" s="1823">
        <v>100</v>
      </c>
      <c r="G144" s="1846" t="s">
        <v>2264</v>
      </c>
      <c r="H144" s="1819">
        <v>105</v>
      </c>
      <c r="I144" s="1845" t="s">
        <v>2263</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2265</v>
      </c>
      <c r="C145" s="1824">
        <f>ROUND(MAX(C139:C144)/MIN(C139:C144)-1,3)</f>
        <v>7.2999999999999995E-2</v>
      </c>
      <c r="D145" s="1848"/>
      <c r="E145" s="1848"/>
      <c r="F145" s="1849" t="s">
        <v>2266</v>
      </c>
      <c r="G145" s="1850"/>
      <c r="H145" s="1851"/>
      <c r="I145" s="1852" t="s">
        <v>2263</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2274</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2275</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85" zoomScaleNormal="60" zoomScaleSheetLayoutView="85" workbookViewId="0">
      <selection activeCell="N23" sqref="N23"/>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1"/>
      <c r="G1" s="1530" t="s">
        <v>715</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461</v>
      </c>
      <c r="B2" s="838">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thickBot="1">
      <c r="A3" s="502" t="s">
        <v>513</v>
      </c>
      <c r="B3" s="503">
        <f>C49</f>
        <v>4.3</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631" t="s">
        <v>516</v>
      </c>
      <c r="D4" s="3632"/>
      <c r="E4" s="3665" t="s">
        <v>517</v>
      </c>
      <c r="F4" s="3666"/>
      <c r="G4" s="3631" t="s">
        <v>518</v>
      </c>
      <c r="H4" s="3632"/>
      <c r="I4" s="3631" t="s">
        <v>519</v>
      </c>
      <c r="J4" s="3632"/>
      <c r="K4" s="507" t="s">
        <v>520</v>
      </c>
      <c r="L4" s="2013"/>
      <c r="M4" s="2014"/>
      <c r="N4" s="2014"/>
      <c r="O4" s="2014"/>
      <c r="P4" s="3633" t="s">
        <v>521</v>
      </c>
      <c r="Q4" s="3634"/>
      <c r="R4" s="3639" t="s">
        <v>517</v>
      </c>
      <c r="S4" s="3640"/>
      <c r="T4" s="3639" t="s">
        <v>518</v>
      </c>
      <c r="U4" s="3640"/>
      <c r="V4" s="3626" t="s">
        <v>519</v>
      </c>
      <c r="W4" s="3626"/>
      <c r="X4" s="1500"/>
      <c r="Y4" s="3639" t="s">
        <v>521</v>
      </c>
      <c r="Z4" s="3640"/>
      <c r="AA4" s="3628" t="s">
        <v>517</v>
      </c>
      <c r="AB4" s="3626" t="s">
        <v>518</v>
      </c>
      <c r="AC4" s="3628" t="s">
        <v>519</v>
      </c>
    </row>
    <row r="5" spans="1:29" ht="15">
      <c r="A5" s="508"/>
      <c r="B5" s="509"/>
      <c r="C5" s="3647" t="s">
        <v>2886</v>
      </c>
      <c r="D5" s="3648"/>
      <c r="E5" s="3749" t="s">
        <v>3290</v>
      </c>
      <c r="F5" s="3750"/>
      <c r="G5" s="3749" t="s">
        <v>3291</v>
      </c>
      <c r="H5" s="3750"/>
      <c r="I5" s="3749" t="s">
        <v>3292</v>
      </c>
      <c r="J5" s="3750"/>
      <c r="K5" s="507"/>
      <c r="L5" s="2013"/>
      <c r="M5" s="2014"/>
      <c r="N5" s="2014"/>
      <c r="O5" s="2014"/>
      <c r="P5" s="3635"/>
      <c r="Q5" s="3636"/>
      <c r="R5" s="3641"/>
      <c r="S5" s="3642"/>
      <c r="T5" s="3641"/>
      <c r="U5" s="3642"/>
      <c r="V5" s="3626"/>
      <c r="W5" s="3626"/>
      <c r="X5" s="1500"/>
      <c r="Y5" s="3641"/>
      <c r="Z5" s="3642"/>
      <c r="AA5" s="3629"/>
      <c r="AB5" s="3626"/>
      <c r="AC5" s="3629"/>
    </row>
    <row r="6" spans="1:29" ht="15.75" thickBot="1">
      <c r="A6" s="510"/>
      <c r="B6" s="511"/>
      <c r="C6" s="3645" t="s">
        <v>2890</v>
      </c>
      <c r="D6" s="3646"/>
      <c r="E6" s="3747" t="s">
        <v>3293</v>
      </c>
      <c r="F6" s="3748"/>
      <c r="G6" s="3747" t="s">
        <v>3293</v>
      </c>
      <c r="H6" s="3748"/>
      <c r="I6" s="3747" t="s">
        <v>3293</v>
      </c>
      <c r="J6" s="3748"/>
      <c r="K6" s="507" t="s">
        <v>522</v>
      </c>
      <c r="L6" s="2013"/>
      <c r="M6" s="2014"/>
      <c r="N6" s="2014"/>
      <c r="O6" s="2014"/>
      <c r="P6" s="3637"/>
      <c r="Q6" s="3638"/>
      <c r="R6" s="3641"/>
      <c r="S6" s="3642"/>
      <c r="T6" s="3643"/>
      <c r="U6" s="3644"/>
      <c r="V6" s="3626"/>
      <c r="W6" s="3626"/>
      <c r="X6" s="1500"/>
      <c r="Y6" s="3643"/>
      <c r="Z6" s="3644"/>
      <c r="AA6" s="3630"/>
      <c r="AB6" s="3626"/>
      <c r="AC6" s="3630"/>
    </row>
    <row r="7" spans="1:29" s="1201" customFormat="1" ht="15.75" thickBot="1">
      <c r="A7" s="2626"/>
      <c r="B7" s="2633" t="s">
        <v>523</v>
      </c>
      <c r="C7" s="512">
        <f>'数据-取费表'!B2</f>
        <v>44125</v>
      </c>
      <c r="D7" s="513">
        <v>100</v>
      </c>
      <c r="E7" s="514">
        <f>C7</f>
        <v>44125</v>
      </c>
      <c r="F7" s="515">
        <f>SUMIF(58:58,YEAR(E7)&amp;"-"&amp;MONTH(E7),59:59)</f>
        <v>100</v>
      </c>
      <c r="G7" s="514">
        <f>C7</f>
        <v>44125</v>
      </c>
      <c r="H7" s="513">
        <f>SUMIF(58:58,YEAR(G7)&amp;"-"&amp;MONTH(G7),59:59)</f>
        <v>100</v>
      </c>
      <c r="I7" s="514">
        <f>C7</f>
        <v>44125</v>
      </c>
      <c r="J7" s="513">
        <f>SUMIF(58:58,YEAR(I7)&amp;"-"&amp;MONTH(I7),59:59)</f>
        <v>100</v>
      </c>
      <c r="K7" s="517"/>
      <c r="L7" s="2015"/>
      <c r="M7" s="2016"/>
      <c r="N7" s="2016"/>
      <c r="O7" s="2016"/>
      <c r="P7" s="3656" t="s">
        <v>524</v>
      </c>
      <c r="Q7" s="3658"/>
      <c r="R7" s="1501" t="s">
        <v>8</v>
      </c>
      <c r="S7" s="1502">
        <f t="shared" ref="S7:S15" si="0">F7</f>
        <v>100</v>
      </c>
      <c r="T7" s="1501" t="s">
        <v>8</v>
      </c>
      <c r="U7" s="1502">
        <f t="shared" ref="U7:U15" si="1">H7</f>
        <v>100</v>
      </c>
      <c r="V7" s="1501" t="s">
        <v>8</v>
      </c>
      <c r="W7" s="1502">
        <f t="shared" ref="W7:W15" si="2">J7</f>
        <v>100</v>
      </c>
      <c r="X7" s="1503"/>
      <c r="Y7" s="3656" t="s">
        <v>524</v>
      </c>
      <c r="Z7" s="3657"/>
      <c r="AA7" s="1504">
        <f>D7/F7</f>
        <v>1</v>
      </c>
      <c r="AB7" s="1504">
        <f>D7/H7</f>
        <v>1</v>
      </c>
      <c r="AC7" s="1504">
        <f>D7/J7</f>
        <v>1</v>
      </c>
    </row>
    <row r="8" spans="1:29" s="1201" customFormat="1" ht="15.75" thickBot="1">
      <c r="A8" s="2627"/>
      <c r="B8" s="2634" t="s">
        <v>525</v>
      </c>
      <c r="C8" s="518" t="s">
        <v>570</v>
      </c>
      <c r="D8" s="513">
        <v>100</v>
      </c>
      <c r="E8" s="518" t="s">
        <v>3220</v>
      </c>
      <c r="F8" s="515">
        <f>SUMIF(61:61,E8,62:62)-SUMIF(61:61,C8,62:62)+100</f>
        <v>100</v>
      </c>
      <c r="G8" s="518" t="s">
        <v>3220</v>
      </c>
      <c r="H8" s="513">
        <f>SUMIF(61:61,G8,62:62)-SUMIF(61:61,C8,62:62)+100</f>
        <v>100</v>
      </c>
      <c r="I8" s="518" t="s">
        <v>3220</v>
      </c>
      <c r="J8" s="513">
        <f>SUMIF(61:61,I8,62:62)-SUMIF(61:61,C8,62:62)+100</f>
        <v>100</v>
      </c>
      <c r="K8" s="517"/>
      <c r="L8" s="2015"/>
      <c r="M8" s="2016"/>
      <c r="N8" s="2016"/>
      <c r="O8" s="2016"/>
      <c r="P8" s="3656" t="s">
        <v>527</v>
      </c>
      <c r="Q8" s="3657"/>
      <c r="R8" s="1501" t="s">
        <v>8</v>
      </c>
      <c r="S8" s="1502">
        <f t="shared" si="0"/>
        <v>100</v>
      </c>
      <c r="T8" s="1501" t="s">
        <v>8</v>
      </c>
      <c r="U8" s="1502">
        <f t="shared" si="1"/>
        <v>100</v>
      </c>
      <c r="V8" s="1501" t="s">
        <v>8</v>
      </c>
      <c r="W8" s="1502">
        <f t="shared" si="2"/>
        <v>100</v>
      </c>
      <c r="X8" s="1503"/>
      <c r="Y8" s="3656" t="s">
        <v>527</v>
      </c>
      <c r="Z8" s="3657"/>
      <c r="AA8" s="1504">
        <f t="shared" ref="AA8:AA46" si="3">D8/F8</f>
        <v>1</v>
      </c>
      <c r="AB8" s="1504">
        <f t="shared" ref="AB8:AB46" si="4">D8/H8</f>
        <v>1</v>
      </c>
      <c r="AC8" s="1504">
        <f t="shared" ref="AC8:AC46" si="5">D8/J8</f>
        <v>1</v>
      </c>
    </row>
    <row r="9" spans="1:29" s="1201" customFormat="1" ht="15">
      <c r="A9" s="2628"/>
      <c r="B9" s="2635" t="s">
        <v>2729</v>
      </c>
      <c r="C9" s="3302" t="s">
        <v>3295</v>
      </c>
      <c r="D9" s="251">
        <v>100</v>
      </c>
      <c r="E9" s="848" t="s">
        <v>3294</v>
      </c>
      <c r="F9" s="251">
        <f>SUMIF(63:63,E9,64:64)-SUMIF(63:63,C9,64:64)+100</f>
        <v>100</v>
      </c>
      <c r="G9" s="846" t="s">
        <v>3294</v>
      </c>
      <c r="H9" s="251">
        <f>SUMIF(63:63,G9,64:64)-SUMIF(63:63,C9,64:64)+100</f>
        <v>100</v>
      </c>
      <c r="I9" s="846" t="s">
        <v>3294</v>
      </c>
      <c r="J9" s="251">
        <f>SUMIF(63:63,I9,64:64)-SUMIF(63:63,C9,64:64)+100</f>
        <v>100</v>
      </c>
      <c r="K9" s="517"/>
      <c r="L9" s="2015"/>
      <c r="M9" s="2016"/>
      <c r="N9" s="2016"/>
      <c r="O9" s="2017"/>
      <c r="P9" s="3625" t="s">
        <v>529</v>
      </c>
      <c r="Q9" s="1132" t="str">
        <f t="shared" ref="Q9:Q15" si="6">B9</f>
        <v>用途</v>
      </c>
      <c r="R9" s="1501" t="s">
        <v>8</v>
      </c>
      <c r="S9" s="1502">
        <f t="shared" si="0"/>
        <v>100</v>
      </c>
      <c r="T9" s="1501" t="s">
        <v>8</v>
      </c>
      <c r="U9" s="1502">
        <f t="shared" si="1"/>
        <v>100</v>
      </c>
      <c r="V9" s="1501" t="s">
        <v>8</v>
      </c>
      <c r="W9" s="1502">
        <f t="shared" si="2"/>
        <v>100</v>
      </c>
      <c r="X9" s="1503"/>
      <c r="Y9" s="3530" t="s">
        <v>530</v>
      </c>
      <c r="Z9" s="1131" t="str">
        <f t="shared" ref="Z9:Z15" si="7">Q9</f>
        <v>用途</v>
      </c>
      <c r="AA9" s="1504">
        <f t="shared" si="3"/>
        <v>1</v>
      </c>
      <c r="AB9" s="1504">
        <f t="shared" si="4"/>
        <v>1</v>
      </c>
      <c r="AC9" s="1504">
        <f t="shared" si="5"/>
        <v>1</v>
      </c>
    </row>
    <row r="10" spans="1:29" s="1290" customFormat="1" ht="27.75" thickBot="1">
      <c r="A10" s="2629"/>
      <c r="B10" s="2634" t="s">
        <v>2730</v>
      </c>
      <c r="C10" s="849" t="s">
        <v>3277</v>
      </c>
      <c r="D10" s="252">
        <v>100</v>
      </c>
      <c r="E10" s="849" t="s">
        <v>3277</v>
      </c>
      <c r="F10" s="252">
        <f>SUMIF(65:65,E10,66:66)-SUMIF(65:65,C10,66:66)+100</f>
        <v>100</v>
      </c>
      <c r="G10" s="850" t="s">
        <v>3277</v>
      </c>
      <c r="H10" s="252">
        <f>SUMIF(65:65,G10,66:66)-SUMIF(65:65,C10,66:66)+100</f>
        <v>100</v>
      </c>
      <c r="I10" s="849" t="s">
        <v>3277</v>
      </c>
      <c r="J10" s="252">
        <f>SUMIF(65:65,I10,66:66)-SUMIF(65:65,C10,66:66)+100</f>
        <v>100</v>
      </c>
      <c r="K10" s="577"/>
      <c r="L10" s="2018"/>
      <c r="M10" s="2057"/>
      <c r="N10" s="2057"/>
      <c r="O10" s="2019"/>
      <c r="P10" s="3625"/>
      <c r="Q10" s="1132" t="str">
        <f t="shared" si="6"/>
        <v>土地使用年限（年）</v>
      </c>
      <c r="R10" s="1501" t="s">
        <v>8</v>
      </c>
      <c r="S10" s="1502">
        <f t="shared" si="0"/>
        <v>100</v>
      </c>
      <c r="T10" s="1501" t="s">
        <v>8</v>
      </c>
      <c r="U10" s="1502">
        <f t="shared" si="1"/>
        <v>100</v>
      </c>
      <c r="V10" s="1501" t="s">
        <v>8</v>
      </c>
      <c r="W10" s="1502">
        <f t="shared" si="2"/>
        <v>100</v>
      </c>
      <c r="X10" s="1503"/>
      <c r="Y10" s="3530"/>
      <c r="Z10" s="1131" t="str">
        <f t="shared" si="7"/>
        <v>土地使用年限（年）</v>
      </c>
      <c r="AA10" s="1504">
        <f t="shared" si="3"/>
        <v>1</v>
      </c>
      <c r="AB10" s="1504">
        <f t="shared" si="4"/>
        <v>1</v>
      </c>
      <c r="AC10" s="1504">
        <f t="shared" si="5"/>
        <v>1</v>
      </c>
    </row>
    <row r="11" spans="1:29" ht="15" hidden="1">
      <c r="A11" s="2630"/>
      <c r="B11" s="2634" t="s">
        <v>2731</v>
      </c>
      <c r="C11" s="526">
        <v>2</v>
      </c>
      <c r="D11" s="252">
        <v>100</v>
      </c>
      <c r="E11" s="526">
        <f>C11</f>
        <v>2</v>
      </c>
      <c r="F11" s="252">
        <f>LOOKUP(E11,68:68,69:69)-LOOKUP(C11,68:68,69:69)+100</f>
        <v>100</v>
      </c>
      <c r="G11" s="527">
        <f>C11</f>
        <v>2</v>
      </c>
      <c r="H11" s="252">
        <f>LOOKUP(G11,68:68,69:69)-LOOKUP(C11,68:68,69:69)+100</f>
        <v>100</v>
      </c>
      <c r="I11" s="526">
        <f>C11</f>
        <v>2</v>
      </c>
      <c r="J11" s="252">
        <f>LOOKUP(I11,68:68,69:69)-LOOKUP(C11,68:68,69:69)+100</f>
        <v>100</v>
      </c>
      <c r="K11" s="577"/>
      <c r="L11" s="2020"/>
      <c r="M11" s="2014"/>
      <c r="N11" s="2014"/>
      <c r="O11" s="2021"/>
      <c r="P11" s="3625"/>
      <c r="Q11" s="1132" t="str">
        <f t="shared" si="6"/>
        <v>容积率</v>
      </c>
      <c r="R11" s="1501" t="s">
        <v>8</v>
      </c>
      <c r="S11" s="1502">
        <f t="shared" si="0"/>
        <v>100</v>
      </c>
      <c r="T11" s="1501" t="s">
        <v>8</v>
      </c>
      <c r="U11" s="1502">
        <f t="shared" si="1"/>
        <v>100</v>
      </c>
      <c r="V11" s="1501" t="s">
        <v>8</v>
      </c>
      <c r="W11" s="1502">
        <f t="shared" si="2"/>
        <v>100</v>
      </c>
      <c r="X11" s="1503"/>
      <c r="Y11" s="3530"/>
      <c r="Z11" s="1131" t="str">
        <f t="shared" si="7"/>
        <v>容积率</v>
      </c>
      <c r="AA11" s="1504">
        <f t="shared" si="3"/>
        <v>1</v>
      </c>
      <c r="AB11" s="1504">
        <f t="shared" si="4"/>
        <v>1</v>
      </c>
      <c r="AC11" s="1504">
        <f t="shared" si="5"/>
        <v>1</v>
      </c>
    </row>
    <row r="12" spans="1:29" s="1201" customFormat="1" ht="15" hidden="1">
      <c r="A12" s="2631"/>
      <c r="B12" s="2637">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625"/>
      <c r="Q12" s="1132">
        <f t="shared" si="6"/>
        <v>111</v>
      </c>
      <c r="R12" s="1501" t="s">
        <v>8</v>
      </c>
      <c r="S12" s="1502">
        <f t="shared" si="0"/>
        <v>100</v>
      </c>
      <c r="T12" s="1501" t="s">
        <v>8</v>
      </c>
      <c r="U12" s="1502">
        <f t="shared" si="1"/>
        <v>100</v>
      </c>
      <c r="V12" s="1501" t="s">
        <v>8</v>
      </c>
      <c r="W12" s="1502">
        <f t="shared" si="2"/>
        <v>100</v>
      </c>
      <c r="X12" s="1503"/>
      <c r="Y12" s="3530"/>
      <c r="Z12" s="1131">
        <f t="shared" si="7"/>
        <v>111</v>
      </c>
      <c r="AA12" s="1504">
        <f>D12/F12</f>
        <v>1</v>
      </c>
      <c r="AB12" s="1504">
        <f>D12/H12</f>
        <v>1</v>
      </c>
      <c r="AC12" s="1504">
        <f>D12/J12</f>
        <v>1</v>
      </c>
    </row>
    <row r="13" spans="1:29" ht="15" hidden="1">
      <c r="A13" s="2631"/>
      <c r="B13" s="2637">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625"/>
      <c r="Q13" s="1132">
        <f t="shared" si="6"/>
        <v>111</v>
      </c>
      <c r="R13" s="1501" t="s">
        <v>8</v>
      </c>
      <c r="S13" s="1502">
        <f t="shared" si="0"/>
        <v>100</v>
      </c>
      <c r="T13" s="1501" t="s">
        <v>8</v>
      </c>
      <c r="U13" s="1502">
        <f t="shared" si="1"/>
        <v>100</v>
      </c>
      <c r="V13" s="1501" t="s">
        <v>8</v>
      </c>
      <c r="W13" s="1502">
        <f t="shared" si="2"/>
        <v>100</v>
      </c>
      <c r="X13" s="1503"/>
      <c r="Y13" s="3530"/>
      <c r="Z13" s="1131">
        <f t="shared" si="7"/>
        <v>111</v>
      </c>
      <c r="AA13" s="1504">
        <f t="shared" si="3"/>
        <v>1</v>
      </c>
      <c r="AB13" s="1504">
        <f t="shared" si="4"/>
        <v>1</v>
      </c>
      <c r="AC13" s="1504">
        <f t="shared" si="5"/>
        <v>1</v>
      </c>
    </row>
    <row r="14" spans="1:29" ht="15.75" hidden="1" thickBot="1">
      <c r="A14" s="2632"/>
      <c r="B14" s="2638">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625"/>
      <c r="Q14" s="1132">
        <f t="shared" si="6"/>
        <v>111</v>
      </c>
      <c r="R14" s="1501" t="s">
        <v>8</v>
      </c>
      <c r="S14" s="1502">
        <f t="shared" si="0"/>
        <v>100</v>
      </c>
      <c r="T14" s="1501" t="s">
        <v>8</v>
      </c>
      <c r="U14" s="1502">
        <f t="shared" si="1"/>
        <v>100</v>
      </c>
      <c r="V14" s="1501" t="s">
        <v>8</v>
      </c>
      <c r="W14" s="1502">
        <f t="shared" si="2"/>
        <v>100</v>
      </c>
      <c r="X14" s="1503"/>
      <c r="Y14" s="3530"/>
      <c r="Z14" s="1131">
        <f t="shared" si="7"/>
        <v>111</v>
      </c>
      <c r="AA14" s="1504">
        <f t="shared" si="3"/>
        <v>1</v>
      </c>
      <c r="AB14" s="1504">
        <f t="shared" si="4"/>
        <v>1</v>
      </c>
      <c r="AC14" s="1504">
        <f t="shared" si="5"/>
        <v>1</v>
      </c>
    </row>
    <row r="15" spans="1:29" ht="28.5">
      <c r="A15" s="2624" t="s">
        <v>2727</v>
      </c>
      <c r="B15" s="163" t="s">
        <v>535</v>
      </c>
      <c r="C15" s="855" t="str">
        <f>估价对象房地状况!C4</f>
        <v>现状差，未来较好</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659" t="s">
        <v>534</v>
      </c>
      <c r="Q15" s="1505" t="str">
        <f t="shared" si="6"/>
        <v>商业繁华度</v>
      </c>
      <c r="R15" s="1506" t="s">
        <v>8</v>
      </c>
      <c r="S15" s="1507">
        <f t="shared" si="0"/>
        <v>100</v>
      </c>
      <c r="T15" s="1506" t="s">
        <v>8</v>
      </c>
      <c r="U15" s="1507">
        <f t="shared" si="1"/>
        <v>100</v>
      </c>
      <c r="V15" s="1506" t="s">
        <v>8</v>
      </c>
      <c r="W15" s="1507">
        <f t="shared" si="2"/>
        <v>100</v>
      </c>
      <c r="X15" s="1500"/>
      <c r="Y15" s="3659" t="s">
        <v>534</v>
      </c>
      <c r="Z15" s="1508" t="str">
        <f t="shared" si="7"/>
        <v>商业繁华度</v>
      </c>
      <c r="AA15" s="1509">
        <f t="shared" si="3"/>
        <v>1</v>
      </c>
      <c r="AB15" s="1509">
        <f t="shared" si="4"/>
        <v>1</v>
      </c>
      <c r="AC15" s="1509">
        <f t="shared" si="5"/>
        <v>1</v>
      </c>
    </row>
    <row r="16" spans="1:29" ht="15">
      <c r="A16" s="525"/>
      <c r="B16" s="857"/>
      <c r="C16" s="569" t="s">
        <v>3229</v>
      </c>
      <c r="D16" s="548"/>
      <c r="E16" s="569" t="s">
        <v>3229</v>
      </c>
      <c r="F16" s="550"/>
      <c r="G16" s="569" t="s">
        <v>3229</v>
      </c>
      <c r="H16" s="552"/>
      <c r="I16" s="569" t="s">
        <v>3229</v>
      </c>
      <c r="J16" s="548"/>
      <c r="K16" s="887"/>
      <c r="L16" s="2022"/>
      <c r="M16" s="2014"/>
      <c r="N16" s="2014"/>
      <c r="O16" s="2021"/>
      <c r="P16" s="3660"/>
      <c r="Q16" s="1505"/>
      <c r="R16" s="1506"/>
      <c r="S16" s="1507"/>
      <c r="T16" s="1506"/>
      <c r="U16" s="1507"/>
      <c r="V16" s="1506"/>
      <c r="W16" s="1507"/>
      <c r="X16" s="1500"/>
      <c r="Y16" s="3660"/>
      <c r="Z16" s="1508"/>
      <c r="AA16" s="1509">
        <v>1</v>
      </c>
      <c r="AB16" s="1509">
        <v>1</v>
      </c>
      <c r="AC16" s="1509">
        <v>1</v>
      </c>
    </row>
    <row r="17" spans="1:29" ht="33" customHeight="1">
      <c r="A17" s="525"/>
      <c r="B17" s="859" t="s">
        <v>296</v>
      </c>
      <c r="C17" s="860" t="str">
        <f>估价对象房地状况!C6</f>
        <v>现状差，未来较好</v>
      </c>
      <c r="D17" s="552">
        <v>100</v>
      </c>
      <c r="E17" s="555"/>
      <c r="F17" s="556">
        <f>SUMIF(78:78,E18,79:79)-SUMIF(78:78,C18,79:79)+100</f>
        <v>100</v>
      </c>
      <c r="G17" s="557"/>
      <c r="H17" s="558">
        <f>SUMIF(78:78,G18,79:79)-SUMIF(78:78,C18,79:79)+100</f>
        <v>100</v>
      </c>
      <c r="I17" s="555"/>
      <c r="J17" s="558">
        <f>SUMIF(78:78,I18,79:79)-SUMIF(78:78,C18,79:79)+100</f>
        <v>100</v>
      </c>
      <c r="K17" s="886">
        <v>3</v>
      </c>
      <c r="L17" s="3323" t="s">
        <v>3358</v>
      </c>
      <c r="M17" s="3323" t="s">
        <v>3359</v>
      </c>
      <c r="N17" s="3323" t="s">
        <v>3359</v>
      </c>
      <c r="O17" s="2021"/>
      <c r="P17" s="3660"/>
      <c r="Q17" s="1505" t="str">
        <f>B17</f>
        <v>交通便捷度</v>
      </c>
      <c r="R17" s="1506" t="s">
        <v>8</v>
      </c>
      <c r="S17" s="1507">
        <f>F17</f>
        <v>100</v>
      </c>
      <c r="T17" s="1506" t="s">
        <v>8</v>
      </c>
      <c r="U17" s="1507">
        <f>H17</f>
        <v>100</v>
      </c>
      <c r="V17" s="1506" t="s">
        <v>8</v>
      </c>
      <c r="W17" s="1507">
        <f>J17</f>
        <v>100</v>
      </c>
      <c r="X17" s="1500"/>
      <c r="Y17" s="3660"/>
      <c r="Z17" s="1508" t="str">
        <f>Q17</f>
        <v>交通便捷度</v>
      </c>
      <c r="AA17" s="1509">
        <f t="shared" si="3"/>
        <v>1</v>
      </c>
      <c r="AB17" s="1509">
        <f t="shared" si="4"/>
        <v>1</v>
      </c>
      <c r="AC17" s="1509">
        <f t="shared" si="5"/>
        <v>1</v>
      </c>
    </row>
    <row r="18" spans="1:29" ht="15">
      <c r="A18" s="525"/>
      <c r="B18" s="588"/>
      <c r="C18" s="861" t="s">
        <v>3229</v>
      </c>
      <c r="D18" s="552"/>
      <c r="E18" s="561" t="s">
        <v>3229</v>
      </c>
      <c r="F18" s="556"/>
      <c r="G18" s="562" t="s">
        <v>3229</v>
      </c>
      <c r="H18" s="548"/>
      <c r="I18" s="561" t="s">
        <v>3229</v>
      </c>
      <c r="J18" s="548"/>
      <c r="K18" s="887"/>
      <c r="L18" s="2014">
        <v>1</v>
      </c>
      <c r="M18" s="2014">
        <v>1</v>
      </c>
      <c r="N18" s="2014">
        <f>ROUND($C$49*M18,1)</f>
        <v>4.3</v>
      </c>
      <c r="O18" s="2021"/>
      <c r="P18" s="3660"/>
      <c r="Q18" s="1505"/>
      <c r="R18" s="1506"/>
      <c r="S18" s="1507"/>
      <c r="T18" s="1506"/>
      <c r="U18" s="1507"/>
      <c r="V18" s="1506"/>
      <c r="W18" s="1507"/>
      <c r="X18" s="1500"/>
      <c r="Y18" s="3660"/>
      <c r="Z18" s="1508"/>
      <c r="AA18" s="1509">
        <v>1</v>
      </c>
      <c r="AB18" s="1509">
        <v>1</v>
      </c>
      <c r="AC18" s="1509">
        <v>1</v>
      </c>
    </row>
    <row r="19" spans="1:29" ht="15">
      <c r="A19" s="525"/>
      <c r="B19" s="2441" t="s">
        <v>2520</v>
      </c>
      <c r="C19" s="860" t="str">
        <f>估价对象房地状况!C7</f>
        <v>现状差，未来好</v>
      </c>
      <c r="D19" s="558">
        <v>100</v>
      </c>
      <c r="E19" s="563"/>
      <c r="F19" s="564">
        <f>SUMIF(80:80,E20,81:81)-SUMIF(80:80,C20,81:81)+100</f>
        <v>97</v>
      </c>
      <c r="G19" s="565"/>
      <c r="H19" s="552">
        <f>SUMIF(80:80,G20,81:81)-SUMIF(80:80,C20,81:81)+100</f>
        <v>97</v>
      </c>
      <c r="I19" s="563"/>
      <c r="J19" s="552">
        <f>SUMIF(80:80,I20,81:81)-SUMIF(80:80,C20,81:81)+100</f>
        <v>97</v>
      </c>
      <c r="K19" s="886">
        <v>3</v>
      </c>
      <c r="L19" s="2014">
        <v>2</v>
      </c>
      <c r="M19" s="2014">
        <v>0.6</v>
      </c>
      <c r="N19" s="2014">
        <f t="shared" ref="N19:N21" si="8">ROUND($C$49*M19,1)</f>
        <v>2.6</v>
      </c>
      <c r="O19" s="2021"/>
      <c r="P19" s="3660"/>
      <c r="Q19" s="1505" t="str">
        <f>B19</f>
        <v>公共配套设施</v>
      </c>
      <c r="R19" s="1506" t="s">
        <v>8</v>
      </c>
      <c r="S19" s="1507">
        <f>F19</f>
        <v>97</v>
      </c>
      <c r="T19" s="1506" t="s">
        <v>8</v>
      </c>
      <c r="U19" s="1507">
        <f>H19</f>
        <v>97</v>
      </c>
      <c r="V19" s="1506" t="s">
        <v>8</v>
      </c>
      <c r="W19" s="1507">
        <f>J19</f>
        <v>97</v>
      </c>
      <c r="X19" s="1500"/>
      <c r="Y19" s="3660"/>
      <c r="Z19" s="1508" t="str">
        <f>Q19</f>
        <v>公共配套设施</v>
      </c>
      <c r="AA19" s="1509">
        <f t="shared" si="3"/>
        <v>1.0309278350515463</v>
      </c>
      <c r="AB19" s="1509">
        <f t="shared" si="4"/>
        <v>1.0309278350515463</v>
      </c>
      <c r="AC19" s="1509">
        <f t="shared" si="5"/>
        <v>1.0309278350515463</v>
      </c>
    </row>
    <row r="20" spans="1:29" ht="15">
      <c r="A20" s="525"/>
      <c r="B20" s="588"/>
      <c r="C20" s="569" t="s">
        <v>3227</v>
      </c>
      <c r="D20" s="548"/>
      <c r="E20" s="549" t="s">
        <v>3229</v>
      </c>
      <c r="F20" s="550"/>
      <c r="G20" s="551" t="s">
        <v>3229</v>
      </c>
      <c r="H20" s="548"/>
      <c r="I20" s="549" t="s">
        <v>3229</v>
      </c>
      <c r="J20" s="548"/>
      <c r="K20" s="887"/>
      <c r="L20" s="2014">
        <v>3</v>
      </c>
      <c r="M20" s="2014">
        <v>0.5</v>
      </c>
      <c r="N20" s="2014">
        <f t="shared" si="8"/>
        <v>2.2000000000000002</v>
      </c>
      <c r="O20" s="2021"/>
      <c r="P20" s="3660"/>
      <c r="Q20" s="1505"/>
      <c r="R20" s="1506"/>
      <c r="S20" s="1507"/>
      <c r="T20" s="1506"/>
      <c r="U20" s="1507"/>
      <c r="V20" s="1506"/>
      <c r="W20" s="1507"/>
      <c r="X20" s="1500"/>
      <c r="Y20" s="3660"/>
      <c r="Z20" s="1508"/>
      <c r="AA20" s="1509">
        <v>1</v>
      </c>
      <c r="AB20" s="1509">
        <v>1</v>
      </c>
      <c r="AC20" s="1509">
        <v>1</v>
      </c>
    </row>
    <row r="21" spans="1:29" ht="19.5" customHeight="1">
      <c r="A21" s="525"/>
      <c r="B21" s="2434" t="s">
        <v>2532</v>
      </c>
      <c r="C21" s="860" t="str">
        <f>估价对象房地状况!C8</f>
        <v>七桶</v>
      </c>
      <c r="D21" s="558">
        <v>100</v>
      </c>
      <c r="E21" s="565"/>
      <c r="F21" s="564">
        <f>SUMIF(82:82,E22,83:83)-SUMIF(82:82,C22,83:83)+100</f>
        <v>100</v>
      </c>
      <c r="G21" s="565"/>
      <c r="H21" s="558">
        <f>SUMIF(82:82,G22,83:83)-SUMIF(82:82,C22,83:83)+100</f>
        <v>100</v>
      </c>
      <c r="I21" s="563"/>
      <c r="J21" s="558">
        <f>SUMIF(82:82,I22,83:83)-SUMIF(82:82,C22,83:83)+100</f>
        <v>100</v>
      </c>
      <c r="K21" s="886"/>
      <c r="L21" s="2014">
        <v>4</v>
      </c>
      <c r="M21" s="2014">
        <v>0.5</v>
      </c>
      <c r="N21" s="2014">
        <f t="shared" si="8"/>
        <v>2.2000000000000002</v>
      </c>
      <c r="O21" s="2021"/>
      <c r="P21" s="3660"/>
      <c r="Q21" s="2426" t="str">
        <f>B21</f>
        <v>基础设施水平</v>
      </c>
      <c r="R21" s="1506" t="s">
        <v>8</v>
      </c>
      <c r="S21" s="1507">
        <f>F21</f>
        <v>100</v>
      </c>
      <c r="T21" s="1506" t="s">
        <v>8</v>
      </c>
      <c r="U21" s="1507">
        <f>H21</f>
        <v>100</v>
      </c>
      <c r="V21" s="1506" t="s">
        <v>8</v>
      </c>
      <c r="W21" s="1507">
        <f>J21</f>
        <v>100</v>
      </c>
      <c r="X21" s="2428"/>
      <c r="Y21" s="3660"/>
      <c r="Z21" s="2427" t="str">
        <f>Q21</f>
        <v>基础设施水平</v>
      </c>
      <c r="AA21" s="1509">
        <f t="shared" ref="AA21" si="9">D21/F21</f>
        <v>1</v>
      </c>
      <c r="AB21" s="1509">
        <f t="shared" ref="AB21" si="10">D21/H21</f>
        <v>1</v>
      </c>
      <c r="AC21" s="1509">
        <f t="shared" ref="AC21" si="11">D21/J21</f>
        <v>1</v>
      </c>
    </row>
    <row r="22" spans="1:29" ht="15">
      <c r="A22" s="525"/>
      <c r="B22" s="910"/>
      <c r="C22" s="861" t="s">
        <v>3228</v>
      </c>
      <c r="D22" s="548"/>
      <c r="E22" s="569" t="s">
        <v>3228</v>
      </c>
      <c r="F22" s="550"/>
      <c r="G22" s="569" t="s">
        <v>3228</v>
      </c>
      <c r="H22" s="548"/>
      <c r="I22" s="569" t="s">
        <v>3228</v>
      </c>
      <c r="J22" s="548"/>
      <c r="K22" s="2443"/>
      <c r="L22" s="2014" t="s">
        <v>3360</v>
      </c>
      <c r="M22" s="2014" t="s">
        <v>3361</v>
      </c>
      <c r="N22" s="2014">
        <f>ROUND(AVERAGE(N18:N21),1)</f>
        <v>2.8</v>
      </c>
      <c r="O22" s="2021"/>
      <c r="P22" s="3660"/>
      <c r="Q22" s="2426"/>
      <c r="R22" s="1506"/>
      <c r="S22" s="1507"/>
      <c r="T22" s="1506"/>
      <c r="U22" s="1507"/>
      <c r="V22" s="1506"/>
      <c r="W22" s="1507"/>
      <c r="X22" s="2428"/>
      <c r="Y22" s="3660"/>
      <c r="Z22" s="2427"/>
      <c r="AA22" s="1509">
        <v>1</v>
      </c>
      <c r="AB22" s="1509">
        <v>1</v>
      </c>
      <c r="AC22" s="1509">
        <v>1</v>
      </c>
    </row>
    <row r="23" spans="1:29" ht="28.5">
      <c r="A23" s="525"/>
      <c r="B23" s="859" t="s">
        <v>297</v>
      </c>
      <c r="C23" s="888" t="str">
        <f>估价对象房地状况!C9</f>
        <v>现状一般，未来较好</v>
      </c>
      <c r="D23" s="552">
        <v>100</v>
      </c>
      <c r="E23" s="555"/>
      <c r="F23" s="556">
        <f>SUMIF(84:84,E24,85:85)-SUMIF(84:84,C24,85:85)+100</f>
        <v>97</v>
      </c>
      <c r="G23" s="557"/>
      <c r="H23" s="552">
        <f>SUMIF(84:84,G24,85:85)-SUMIF(84:84,C24,85:85)+100</f>
        <v>97</v>
      </c>
      <c r="I23" s="555"/>
      <c r="J23" s="552">
        <f>SUMIF(84:84,I24,85:85)-SUMIF(84:84,C24,85:85)+100</f>
        <v>97</v>
      </c>
      <c r="K23" s="886">
        <v>3</v>
      </c>
      <c r="L23" s="2014" t="s">
        <v>3362</v>
      </c>
      <c r="M23" s="2014" t="s">
        <v>3361</v>
      </c>
      <c r="N23" s="2014">
        <f>ROUND(AVERAGE(N18:N19),1)</f>
        <v>3.5</v>
      </c>
      <c r="O23" s="2021"/>
      <c r="P23" s="3660"/>
      <c r="Q23" s="1505" t="str">
        <f>B23</f>
        <v>自然及人文环境</v>
      </c>
      <c r="R23" s="1506" t="s">
        <v>8</v>
      </c>
      <c r="S23" s="1507">
        <f>F23</f>
        <v>97</v>
      </c>
      <c r="T23" s="1506" t="s">
        <v>8</v>
      </c>
      <c r="U23" s="1507">
        <f>H23</f>
        <v>97</v>
      </c>
      <c r="V23" s="1506" t="s">
        <v>8</v>
      </c>
      <c r="W23" s="1507">
        <f>J23</f>
        <v>97</v>
      </c>
      <c r="X23" s="1500"/>
      <c r="Y23" s="3660"/>
      <c r="Z23" s="1508" t="str">
        <f>Q23</f>
        <v>自然及人文环境</v>
      </c>
      <c r="AA23" s="1509">
        <f t="shared" si="3"/>
        <v>1.0309278350515463</v>
      </c>
      <c r="AB23" s="1509">
        <f t="shared" si="4"/>
        <v>1.0309278350515463</v>
      </c>
      <c r="AC23" s="1509">
        <f t="shared" si="5"/>
        <v>1.0309278350515463</v>
      </c>
    </row>
    <row r="24" spans="1:29" ht="15">
      <c r="A24" s="525"/>
      <c r="B24" s="588"/>
      <c r="C24" s="569" t="s">
        <v>3229</v>
      </c>
      <c r="D24" s="548"/>
      <c r="E24" s="549" t="s">
        <v>3230</v>
      </c>
      <c r="F24" s="550"/>
      <c r="G24" s="551" t="s">
        <v>3230</v>
      </c>
      <c r="H24" s="548"/>
      <c r="I24" s="549" t="s">
        <v>3230</v>
      </c>
      <c r="J24" s="548"/>
      <c r="K24" s="887"/>
      <c r="L24" s="2022"/>
      <c r="M24" s="2014"/>
      <c r="N24" s="2014"/>
      <c r="O24" s="2021"/>
      <c r="P24" s="3660"/>
      <c r="Q24" s="1505"/>
      <c r="R24" s="1506"/>
      <c r="S24" s="1507"/>
      <c r="T24" s="1506"/>
      <c r="U24" s="1507"/>
      <c r="V24" s="1506"/>
      <c r="W24" s="1507"/>
      <c r="X24" s="1500"/>
      <c r="Y24" s="3660"/>
      <c r="Z24" s="1508"/>
      <c r="AA24" s="1509">
        <v>1</v>
      </c>
      <c r="AB24" s="1509">
        <v>1</v>
      </c>
      <c r="AC24" s="1509">
        <v>1</v>
      </c>
    </row>
    <row r="25" spans="1:29" ht="29.25" thickBot="1">
      <c r="A25" s="525"/>
      <c r="B25" s="520" t="s">
        <v>541</v>
      </c>
      <c r="C25" s="576" t="s">
        <v>3296</v>
      </c>
      <c r="D25" s="533">
        <v>100</v>
      </c>
      <c r="E25" s="576" t="s">
        <v>3229</v>
      </c>
      <c r="F25" s="568">
        <f>SUMIF(86:86,E25,87:87)-SUMIF(86:86,C25,87:87)+100</f>
        <v>100</v>
      </c>
      <c r="G25" s="576" t="s">
        <v>3229</v>
      </c>
      <c r="H25" s="533">
        <f>SUMIF(86:86,G25,87:87)-SUMIF(86:86,C25,87:87)+100</f>
        <v>100</v>
      </c>
      <c r="I25" s="576" t="s">
        <v>3229</v>
      </c>
      <c r="J25" s="533">
        <f>SUMIF(86:86,I25,87:87)-SUMIF(86:86,C25,87:87)+100</f>
        <v>100</v>
      </c>
      <c r="K25" s="577"/>
      <c r="L25" s="2022"/>
      <c r="M25" s="2014"/>
      <c r="N25" s="2014"/>
      <c r="O25" s="2021"/>
      <c r="P25" s="3660"/>
      <c r="Q25" s="1505" t="str">
        <f t="shared" ref="Q25:Q46" si="12">B25</f>
        <v>临街状况</v>
      </c>
      <c r="R25" s="1506" t="s">
        <v>8</v>
      </c>
      <c r="S25" s="1507">
        <f>F25</f>
        <v>100</v>
      </c>
      <c r="T25" s="1506" t="s">
        <v>8</v>
      </c>
      <c r="U25" s="1507">
        <f>H25</f>
        <v>100</v>
      </c>
      <c r="V25" s="1506" t="s">
        <v>8</v>
      </c>
      <c r="W25" s="1507">
        <f>J25</f>
        <v>100</v>
      </c>
      <c r="X25" s="1500"/>
      <c r="Y25" s="3660"/>
      <c r="Z25" s="1508" t="str">
        <f>Q25</f>
        <v>临街状况</v>
      </c>
      <c r="AA25" s="1509">
        <f t="shared" si="3"/>
        <v>1</v>
      </c>
      <c r="AB25" s="1509">
        <f t="shared" si="4"/>
        <v>1</v>
      </c>
      <c r="AC25" s="1509">
        <f t="shared" si="5"/>
        <v>1</v>
      </c>
    </row>
    <row r="26" spans="1:29" ht="15" hidden="1">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660"/>
      <c r="Q26" s="1505" t="str">
        <f t="shared" si="12"/>
        <v>平面位置/可视性</v>
      </c>
      <c r="R26" s="1506" t="s">
        <v>8</v>
      </c>
      <c r="S26" s="1507">
        <f>F26</f>
        <v>100</v>
      </c>
      <c r="T26" s="1506" t="s">
        <v>8</v>
      </c>
      <c r="U26" s="1507">
        <f>H26</f>
        <v>100</v>
      </c>
      <c r="V26" s="1506" t="s">
        <v>8</v>
      </c>
      <c r="W26" s="1507">
        <f>J26</f>
        <v>100</v>
      </c>
      <c r="X26" s="1500"/>
      <c r="Y26" s="3660"/>
      <c r="Z26" s="1508" t="str">
        <f>Q26</f>
        <v>平面位置/可视性</v>
      </c>
      <c r="AA26" s="1509">
        <f t="shared" si="3"/>
        <v>1</v>
      </c>
      <c r="AB26" s="1509">
        <f t="shared" si="4"/>
        <v>1</v>
      </c>
      <c r="AC26" s="1509">
        <f t="shared" si="5"/>
        <v>1</v>
      </c>
    </row>
    <row r="27" spans="1:29" s="1201" customFormat="1" ht="15" hidden="1">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660"/>
      <c r="Q27" s="1132" t="str">
        <f t="shared" si="12"/>
        <v>人流量</v>
      </c>
      <c r="R27" s="1501" t="s">
        <v>8</v>
      </c>
      <c r="S27" s="1502">
        <f>F27</f>
        <v>100</v>
      </c>
      <c r="T27" s="1501" t="s">
        <v>8</v>
      </c>
      <c r="U27" s="1502">
        <f>H27</f>
        <v>100</v>
      </c>
      <c r="V27" s="1501" t="s">
        <v>8</v>
      </c>
      <c r="W27" s="1502">
        <f>J27</f>
        <v>100</v>
      </c>
      <c r="X27" s="1503"/>
      <c r="Y27" s="3660"/>
      <c r="Z27" s="1131" t="str">
        <f>Q27</f>
        <v>人流量</v>
      </c>
      <c r="AA27" s="1509">
        <f>D27/F27</f>
        <v>1</v>
      </c>
      <c r="AB27" s="1509">
        <f>D27/H27</f>
        <v>1</v>
      </c>
      <c r="AC27" s="1509">
        <f>D27/J27</f>
        <v>1</v>
      </c>
    </row>
    <row r="28" spans="1:29" ht="15" hidden="1">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660"/>
      <c r="Q28" s="1505" t="str">
        <f t="shared" si="12"/>
        <v>楼层</v>
      </c>
      <c r="R28" s="1506" t="s">
        <v>8</v>
      </c>
      <c r="S28" s="1507">
        <f t="shared" ref="S28:S46" si="13">F28</f>
        <v>100</v>
      </c>
      <c r="T28" s="1506" t="s">
        <v>8</v>
      </c>
      <c r="U28" s="1507">
        <f t="shared" ref="U28:U46" si="14">H28</f>
        <v>100</v>
      </c>
      <c r="V28" s="1506" t="s">
        <v>8</v>
      </c>
      <c r="W28" s="1507">
        <f t="shared" ref="W28:W46" si="15">J28</f>
        <v>100</v>
      </c>
      <c r="X28" s="1500"/>
      <c r="Y28" s="3660"/>
      <c r="Z28" s="1508" t="str">
        <f t="shared" ref="Z28:Z46" si="16">Q28</f>
        <v>楼层</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660"/>
      <c r="Q29" s="1505">
        <f t="shared" si="12"/>
        <v>111</v>
      </c>
      <c r="R29" s="1506" t="s">
        <v>8</v>
      </c>
      <c r="S29" s="1507">
        <f t="shared" si="13"/>
        <v>100</v>
      </c>
      <c r="T29" s="1506" t="s">
        <v>8</v>
      </c>
      <c r="U29" s="1507">
        <f t="shared" si="14"/>
        <v>100</v>
      </c>
      <c r="V29" s="1506" t="s">
        <v>8</v>
      </c>
      <c r="W29" s="1507">
        <f t="shared" si="15"/>
        <v>100</v>
      </c>
      <c r="X29" s="1500"/>
      <c r="Y29" s="3660"/>
      <c r="Z29" s="1508">
        <f t="shared" si="16"/>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660"/>
      <c r="Q30" s="1505">
        <f t="shared" si="12"/>
        <v>111</v>
      </c>
      <c r="R30" s="1506" t="s">
        <v>8</v>
      </c>
      <c r="S30" s="1507">
        <f t="shared" si="13"/>
        <v>100</v>
      </c>
      <c r="T30" s="1506" t="s">
        <v>8</v>
      </c>
      <c r="U30" s="1507">
        <f t="shared" si="14"/>
        <v>100</v>
      </c>
      <c r="V30" s="1506" t="s">
        <v>8</v>
      </c>
      <c r="W30" s="1507">
        <f t="shared" si="15"/>
        <v>100</v>
      </c>
      <c r="X30" s="1500"/>
      <c r="Y30" s="3660"/>
      <c r="Z30" s="1508">
        <f t="shared" si="16"/>
        <v>111</v>
      </c>
      <c r="AA30" s="1509">
        <f t="shared" si="3"/>
        <v>1</v>
      </c>
      <c r="AB30" s="1509">
        <f t="shared" si="4"/>
        <v>1</v>
      </c>
      <c r="AC30" s="1509">
        <f t="shared" si="5"/>
        <v>1</v>
      </c>
    </row>
    <row r="31" spans="1:29" ht="15.75" hidden="1"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660"/>
      <c r="Q31" s="1505">
        <f t="shared" si="12"/>
        <v>111</v>
      </c>
      <c r="R31" s="1506" t="s">
        <v>8</v>
      </c>
      <c r="S31" s="1507">
        <f t="shared" si="13"/>
        <v>100</v>
      </c>
      <c r="T31" s="1506" t="s">
        <v>8</v>
      </c>
      <c r="U31" s="1507">
        <f t="shared" si="14"/>
        <v>100</v>
      </c>
      <c r="V31" s="1506" t="s">
        <v>8</v>
      </c>
      <c r="W31" s="1507">
        <f t="shared" si="15"/>
        <v>100</v>
      </c>
      <c r="X31" s="1500"/>
      <c r="Y31" s="3660"/>
      <c r="Z31" s="1508">
        <f t="shared" si="16"/>
        <v>111</v>
      </c>
      <c r="AA31" s="1509">
        <f t="shared" si="3"/>
        <v>1</v>
      </c>
      <c r="AB31" s="1509">
        <f t="shared" si="4"/>
        <v>1</v>
      </c>
      <c r="AC31" s="1509">
        <f t="shared" si="5"/>
        <v>1</v>
      </c>
    </row>
    <row r="32" spans="1:29" ht="15">
      <c r="A32" s="2621" t="s">
        <v>2728</v>
      </c>
      <c r="B32" s="169" t="s">
        <v>756</v>
      </c>
      <c r="C32" s="866" t="s">
        <v>3301</v>
      </c>
      <c r="D32" s="590">
        <v>100</v>
      </c>
      <c r="E32" s="866" t="s">
        <v>3299</v>
      </c>
      <c r="F32" s="568">
        <f>SUMIF(100:100,E32,101:101)-SUMIF(100:100,C32,101:101)+100</f>
        <v>105</v>
      </c>
      <c r="G32" s="866" t="s">
        <v>3301</v>
      </c>
      <c r="H32" s="533">
        <f>SUMIF(100:100,G32,101:101)-SUMIF(100:100,C32,101:101)+100</f>
        <v>100</v>
      </c>
      <c r="I32" s="866" t="s">
        <v>3301</v>
      </c>
      <c r="J32" s="590">
        <f>SUMIF(100:100,I32,101:101)-SUMIF(100:100,C32,101:101)+100</f>
        <v>100</v>
      </c>
      <c r="K32" s="577">
        <v>5</v>
      </c>
      <c r="L32" s="2022"/>
      <c r="M32" s="2014"/>
      <c r="N32" s="2014"/>
      <c r="O32" s="2021"/>
      <c r="P32" s="3661" t="s">
        <v>544</v>
      </c>
      <c r="Q32" s="1505" t="str">
        <f t="shared" si="12"/>
        <v>商业类型</v>
      </c>
      <c r="R32" s="1506" t="s">
        <v>8</v>
      </c>
      <c r="S32" s="1507">
        <f t="shared" si="13"/>
        <v>105</v>
      </c>
      <c r="T32" s="1506" t="s">
        <v>8</v>
      </c>
      <c r="U32" s="1507">
        <f t="shared" si="14"/>
        <v>100</v>
      </c>
      <c r="V32" s="1506" t="s">
        <v>8</v>
      </c>
      <c r="W32" s="1507">
        <f t="shared" si="15"/>
        <v>100</v>
      </c>
      <c r="X32" s="1500"/>
      <c r="Y32" s="3662" t="s">
        <v>544</v>
      </c>
      <c r="Z32" s="1508" t="str">
        <f t="shared" si="16"/>
        <v>商业类型</v>
      </c>
      <c r="AA32" s="1509">
        <f t="shared" si="3"/>
        <v>0.95238095238095233</v>
      </c>
      <c r="AB32" s="1509">
        <f t="shared" si="4"/>
        <v>1</v>
      </c>
      <c r="AC32" s="1509">
        <f t="shared" si="5"/>
        <v>1</v>
      </c>
    </row>
    <row r="33" spans="1:29" s="1291" customFormat="1" ht="15" hidden="1">
      <c r="A33" s="596"/>
      <c r="B33" s="520" t="s">
        <v>720</v>
      </c>
      <c r="C33" s="868">
        <v>1</v>
      </c>
      <c r="D33" s="252">
        <v>100</v>
      </c>
      <c r="E33" s="527">
        <f>C33</f>
        <v>1</v>
      </c>
      <c r="F33" s="851">
        <f>LOOKUP(E33,103:103,104:104)-LOOKUP(C33,103:103,104:104)+100</f>
        <v>100</v>
      </c>
      <c r="G33" s="526">
        <f>C33</f>
        <v>1</v>
      </c>
      <c r="H33" s="252">
        <f>LOOKUP(G33,103:103,104:104)-LOOKUP(C33,103:103,104:104)+100</f>
        <v>100</v>
      </c>
      <c r="I33" s="526">
        <f>C33</f>
        <v>1</v>
      </c>
      <c r="J33" s="252">
        <f>LOOKUP(I33,103:103,104:104)-LOOKUP(C33,103:103,104:104)+100</f>
        <v>100</v>
      </c>
      <c r="K33" s="574"/>
      <c r="L33" s="2020"/>
      <c r="M33" s="2050"/>
      <c r="N33" s="2050"/>
      <c r="O33" s="2023"/>
      <c r="P33" s="3662"/>
      <c r="Q33" s="1534" t="str">
        <f t="shared" si="12"/>
        <v>项目建筑规模</v>
      </c>
      <c r="R33" s="1510" t="s">
        <v>8</v>
      </c>
      <c r="S33" s="1511">
        <f t="shared" si="13"/>
        <v>100</v>
      </c>
      <c r="T33" s="1510" t="s">
        <v>8</v>
      </c>
      <c r="U33" s="1511">
        <f t="shared" si="14"/>
        <v>100</v>
      </c>
      <c r="V33" s="1510" t="s">
        <v>8</v>
      </c>
      <c r="W33" s="1511">
        <f t="shared" si="15"/>
        <v>100</v>
      </c>
      <c r="X33" s="1512"/>
      <c r="Y33" s="3662"/>
      <c r="Z33" s="1513" t="str">
        <f t="shared" si="16"/>
        <v>项目建筑规模</v>
      </c>
      <c r="AA33" s="1509">
        <f t="shared" si="3"/>
        <v>1</v>
      </c>
      <c r="AB33" s="1509">
        <f t="shared" si="4"/>
        <v>1</v>
      </c>
      <c r="AC33" s="1509">
        <f t="shared" si="5"/>
        <v>1</v>
      </c>
    </row>
    <row r="34" spans="1:29" ht="15">
      <c r="A34" s="587"/>
      <c r="B34" s="520" t="s">
        <v>721</v>
      </c>
      <c r="C34" s="869" t="s">
        <v>3310</v>
      </c>
      <c r="D34" s="533">
        <v>100</v>
      </c>
      <c r="E34" s="870" t="s">
        <v>3310</v>
      </c>
      <c r="F34" s="568">
        <f>SUMIF(105:105,E34,106:106)-SUMIF(105:105,C34,106:106)+100</f>
        <v>100</v>
      </c>
      <c r="G34" s="869" t="s">
        <v>3310</v>
      </c>
      <c r="H34" s="533">
        <f>SUMIF(105:105,G34,106:106)-SUMIF(105:105,C34,106:106)+100</f>
        <v>100</v>
      </c>
      <c r="I34" s="869" t="s">
        <v>3310</v>
      </c>
      <c r="J34" s="533">
        <f>SUMIF(105:105,I34,106:106)-SUMIF(105:105,C34,106:106)+100</f>
        <v>100</v>
      </c>
      <c r="K34" s="577"/>
      <c r="L34" s="2022"/>
      <c r="M34" s="2014"/>
      <c r="N34" s="2014"/>
      <c r="O34" s="2021"/>
      <c r="P34" s="3662"/>
      <c r="Q34" s="1505" t="str">
        <f t="shared" si="12"/>
        <v>建筑结构</v>
      </c>
      <c r="R34" s="1506" t="s">
        <v>8</v>
      </c>
      <c r="S34" s="1507">
        <f t="shared" si="13"/>
        <v>100</v>
      </c>
      <c r="T34" s="1506" t="s">
        <v>8</v>
      </c>
      <c r="U34" s="1507">
        <f t="shared" si="14"/>
        <v>100</v>
      </c>
      <c r="V34" s="1506" t="s">
        <v>8</v>
      </c>
      <c r="W34" s="1507">
        <f t="shared" si="15"/>
        <v>100</v>
      </c>
      <c r="X34" s="1500"/>
      <c r="Y34" s="3662"/>
      <c r="Z34" s="1508" t="str">
        <f t="shared" si="16"/>
        <v>建筑结构</v>
      </c>
      <c r="AA34" s="1509">
        <f t="shared" si="3"/>
        <v>1</v>
      </c>
      <c r="AB34" s="1509">
        <f t="shared" si="4"/>
        <v>1</v>
      </c>
      <c r="AC34" s="1509">
        <f t="shared" si="5"/>
        <v>1</v>
      </c>
    </row>
    <row r="35" spans="1:29" ht="15" hidden="1">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662"/>
      <c r="Q35" s="1505" t="str">
        <f t="shared" si="12"/>
        <v>公共部分装修</v>
      </c>
      <c r="R35" s="1506" t="s">
        <v>8</v>
      </c>
      <c r="S35" s="1507">
        <f t="shared" si="13"/>
        <v>100</v>
      </c>
      <c r="T35" s="1506" t="s">
        <v>8</v>
      </c>
      <c r="U35" s="1507">
        <f t="shared" si="14"/>
        <v>100</v>
      </c>
      <c r="V35" s="1506" t="s">
        <v>8</v>
      </c>
      <c r="W35" s="1507">
        <f t="shared" si="15"/>
        <v>100</v>
      </c>
      <c r="X35" s="1500"/>
      <c r="Y35" s="3662"/>
      <c r="Z35" s="1508" t="str">
        <f t="shared" si="16"/>
        <v>公共部分装修</v>
      </c>
      <c r="AA35" s="1509">
        <f t="shared" si="3"/>
        <v>1</v>
      </c>
      <c r="AB35" s="1509">
        <f t="shared" si="4"/>
        <v>1</v>
      </c>
      <c r="AC35" s="1509">
        <f t="shared" si="5"/>
        <v>1</v>
      </c>
    </row>
    <row r="36" spans="1:29" ht="15">
      <c r="A36" s="587"/>
      <c r="B36" s="520" t="s">
        <v>758</v>
      </c>
      <c r="C36" s="871">
        <v>1</v>
      </c>
      <c r="D36" s="533">
        <v>100</v>
      </c>
      <c r="E36" s="871">
        <v>0.85</v>
      </c>
      <c r="F36" s="568">
        <f>LOOKUP(E36,110:110,111:111)-LOOKUP(C36,110:110,111:111)+100</f>
        <v>98</v>
      </c>
      <c r="G36" s="871">
        <f>E36</f>
        <v>0.85</v>
      </c>
      <c r="H36" s="568">
        <f>LOOKUP(G36,110:110,111:111)-LOOKUP(C36,110:110,111:111)+100</f>
        <v>98</v>
      </c>
      <c r="I36" s="871">
        <f>E36</f>
        <v>0.85</v>
      </c>
      <c r="J36" s="533">
        <f>LOOKUP(I36,110:110,111:111)-LOOKUP(C36,110:110,111:111)+100</f>
        <v>98</v>
      </c>
      <c r="K36" s="577">
        <v>2</v>
      </c>
      <c r="L36" s="2022"/>
      <c r="M36" s="2014"/>
      <c r="N36" s="2014"/>
      <c r="O36" s="2021"/>
      <c r="P36" s="3662"/>
      <c r="Q36" s="1505" t="str">
        <f t="shared" si="12"/>
        <v>成新度</v>
      </c>
      <c r="R36" s="1506" t="s">
        <v>8</v>
      </c>
      <c r="S36" s="1507">
        <f t="shared" si="13"/>
        <v>98</v>
      </c>
      <c r="T36" s="1506" t="s">
        <v>8</v>
      </c>
      <c r="U36" s="1507">
        <f t="shared" si="14"/>
        <v>98</v>
      </c>
      <c r="V36" s="1506" t="s">
        <v>8</v>
      </c>
      <c r="W36" s="1507">
        <f t="shared" si="15"/>
        <v>98</v>
      </c>
      <c r="X36" s="1500"/>
      <c r="Y36" s="3662"/>
      <c r="Z36" s="1508" t="str">
        <f t="shared" si="16"/>
        <v>成新度</v>
      </c>
      <c r="AA36" s="1509">
        <f t="shared" si="3"/>
        <v>1.0204081632653061</v>
      </c>
      <c r="AB36" s="1509">
        <f t="shared" si="4"/>
        <v>1.0204081632653061</v>
      </c>
      <c r="AC36" s="1509">
        <f t="shared" si="5"/>
        <v>1.0204081632653061</v>
      </c>
    </row>
    <row r="37" spans="1:29" s="1201" customFormat="1" ht="15" hidden="1">
      <c r="A37" s="593"/>
      <c r="B37" s="1807" t="s">
        <v>2539</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662"/>
      <c r="Q37" s="1132" t="str">
        <f t="shared" si="12"/>
        <v>市政基础设施</v>
      </c>
      <c r="R37" s="1501" t="s">
        <v>8</v>
      </c>
      <c r="S37" s="1502">
        <f t="shared" si="13"/>
        <v>100</v>
      </c>
      <c r="T37" s="1501" t="s">
        <v>8</v>
      </c>
      <c r="U37" s="1502">
        <f t="shared" si="14"/>
        <v>100</v>
      </c>
      <c r="V37" s="1501" t="s">
        <v>8</v>
      </c>
      <c r="W37" s="1502">
        <f t="shared" si="15"/>
        <v>100</v>
      </c>
      <c r="X37" s="1503"/>
      <c r="Y37" s="3662"/>
      <c r="Z37" s="1131" t="str">
        <f t="shared" si="16"/>
        <v>市政基础设施</v>
      </c>
      <c r="AA37" s="1504">
        <f t="shared" si="3"/>
        <v>1</v>
      </c>
      <c r="AB37" s="1504">
        <f t="shared" si="4"/>
        <v>1</v>
      </c>
      <c r="AC37" s="1504">
        <f t="shared" si="5"/>
        <v>1</v>
      </c>
    </row>
    <row r="38" spans="1:29" ht="15" hidden="1">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662" t="s">
        <v>760</v>
      </c>
      <c r="Q38" s="1505" t="str">
        <f t="shared" si="12"/>
        <v>业态</v>
      </c>
      <c r="R38" s="1506" t="s">
        <v>8</v>
      </c>
      <c r="S38" s="1507">
        <f t="shared" si="13"/>
        <v>100</v>
      </c>
      <c r="T38" s="1506" t="s">
        <v>8</v>
      </c>
      <c r="U38" s="1507">
        <f t="shared" si="14"/>
        <v>100</v>
      </c>
      <c r="V38" s="1506" t="s">
        <v>8</v>
      </c>
      <c r="W38" s="1507">
        <f t="shared" si="15"/>
        <v>100</v>
      </c>
      <c r="X38" s="1500"/>
      <c r="Y38" s="3662" t="s">
        <v>760</v>
      </c>
      <c r="Z38" s="1508" t="str">
        <f t="shared" si="16"/>
        <v>业态</v>
      </c>
      <c r="AA38" s="1509">
        <f t="shared" si="3"/>
        <v>1</v>
      </c>
      <c r="AB38" s="1509">
        <f t="shared" si="4"/>
        <v>1</v>
      </c>
      <c r="AC38" s="1509">
        <f t="shared" si="5"/>
        <v>1</v>
      </c>
    </row>
    <row r="39" spans="1:29" ht="15" hidden="1">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62"/>
      <c r="Q39" s="1505" t="str">
        <f t="shared" si="12"/>
        <v>层高</v>
      </c>
      <c r="R39" s="1506" t="s">
        <v>8</v>
      </c>
      <c r="S39" s="1507">
        <f t="shared" si="13"/>
        <v>100</v>
      </c>
      <c r="T39" s="1506" t="s">
        <v>8</v>
      </c>
      <c r="U39" s="1507">
        <f t="shared" si="14"/>
        <v>100</v>
      </c>
      <c r="V39" s="1506" t="s">
        <v>8</v>
      </c>
      <c r="W39" s="1507">
        <f t="shared" si="15"/>
        <v>100</v>
      </c>
      <c r="X39" s="1500"/>
      <c r="Y39" s="3662"/>
      <c r="Z39" s="1508" t="str">
        <f t="shared" si="16"/>
        <v>层高</v>
      </c>
      <c r="AA39" s="1509">
        <f t="shared" si="3"/>
        <v>1</v>
      </c>
      <c r="AB39" s="1509">
        <f t="shared" si="4"/>
        <v>1</v>
      </c>
      <c r="AC39" s="1509">
        <f t="shared" si="5"/>
        <v>1</v>
      </c>
    </row>
    <row r="40" spans="1:29" ht="15" hidden="1">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662"/>
      <c r="Q40" s="1505" t="str">
        <f t="shared" si="12"/>
        <v>单套建筑面积</v>
      </c>
      <c r="R40" s="1506" t="s">
        <v>8</v>
      </c>
      <c r="S40" s="1507">
        <f t="shared" si="13"/>
        <v>100</v>
      </c>
      <c r="T40" s="1506" t="s">
        <v>8</v>
      </c>
      <c r="U40" s="1507">
        <f t="shared" si="14"/>
        <v>100</v>
      </c>
      <c r="V40" s="1506" t="s">
        <v>8</v>
      </c>
      <c r="W40" s="1507">
        <f t="shared" si="15"/>
        <v>100</v>
      </c>
      <c r="X40" s="1500"/>
      <c r="Y40" s="3662"/>
      <c r="Z40" s="1508" t="str">
        <f t="shared" si="16"/>
        <v>单套建筑面积</v>
      </c>
      <c r="AA40" s="1509">
        <f t="shared" si="3"/>
        <v>1</v>
      </c>
      <c r="AB40" s="1509">
        <f t="shared" si="4"/>
        <v>1</v>
      </c>
      <c r="AC40" s="1509">
        <f t="shared" si="5"/>
        <v>1</v>
      </c>
    </row>
    <row r="41" spans="1:29" s="1291" customFormat="1" ht="15" hidden="1">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662"/>
      <c r="Q41" s="1534" t="str">
        <f t="shared" si="12"/>
        <v>进深比</v>
      </c>
      <c r="R41" s="1510" t="s">
        <v>8</v>
      </c>
      <c r="S41" s="1511">
        <f t="shared" si="13"/>
        <v>100</v>
      </c>
      <c r="T41" s="1510" t="s">
        <v>8</v>
      </c>
      <c r="U41" s="1511">
        <f t="shared" si="14"/>
        <v>100</v>
      </c>
      <c r="V41" s="1510" t="s">
        <v>8</v>
      </c>
      <c r="W41" s="1511">
        <f t="shared" si="15"/>
        <v>100</v>
      </c>
      <c r="X41" s="1512"/>
      <c r="Y41" s="3662"/>
      <c r="Z41" s="1513" t="str">
        <f t="shared" si="16"/>
        <v>进深比</v>
      </c>
      <c r="AA41" s="1509">
        <f t="shared" si="3"/>
        <v>1</v>
      </c>
      <c r="AB41" s="1509">
        <f t="shared" si="4"/>
        <v>1</v>
      </c>
      <c r="AC41" s="1509">
        <f t="shared" si="5"/>
        <v>1</v>
      </c>
    </row>
    <row r="42" spans="1:29" ht="15">
      <c r="A42" s="587"/>
      <c r="B42" s="520" t="s">
        <v>764</v>
      </c>
      <c r="C42" s="592" t="s">
        <v>3306</v>
      </c>
      <c r="D42" s="533">
        <v>100</v>
      </c>
      <c r="E42" s="592" t="s">
        <v>3304</v>
      </c>
      <c r="F42" s="568">
        <f>SUMIF(122:122,E42,123:123)-SUMIF(122:122,C42,123:123)+100</f>
        <v>102</v>
      </c>
      <c r="G42" s="592" t="s">
        <v>3304</v>
      </c>
      <c r="H42" s="533">
        <f>SUMIF(122:122,G42,123:123)-SUMIF(122:122,C42,123:123)+100</f>
        <v>102</v>
      </c>
      <c r="I42" s="592" t="s">
        <v>3304</v>
      </c>
      <c r="J42" s="533">
        <f>SUMIF(122:122,I42,123:123)-SUMIF(122:122,C42,123:123)+100</f>
        <v>102</v>
      </c>
      <c r="K42" s="577">
        <v>2</v>
      </c>
      <c r="L42" s="2022"/>
      <c r="M42" s="2014"/>
      <c r="N42" s="2014"/>
      <c r="O42" s="2021"/>
      <c r="P42" s="3662"/>
      <c r="Q42" s="1505" t="str">
        <f t="shared" si="12"/>
        <v>内部装修</v>
      </c>
      <c r="R42" s="1506" t="s">
        <v>8</v>
      </c>
      <c r="S42" s="1507">
        <f t="shared" si="13"/>
        <v>102</v>
      </c>
      <c r="T42" s="1506" t="s">
        <v>8</v>
      </c>
      <c r="U42" s="1507">
        <f t="shared" si="14"/>
        <v>102</v>
      </c>
      <c r="V42" s="1506" t="s">
        <v>8</v>
      </c>
      <c r="W42" s="1507">
        <f t="shared" si="15"/>
        <v>102</v>
      </c>
      <c r="X42" s="1500"/>
      <c r="Y42" s="3662"/>
      <c r="Z42" s="1508" t="str">
        <f t="shared" si="16"/>
        <v>内部装修</v>
      </c>
      <c r="AA42" s="1509">
        <f t="shared" si="3"/>
        <v>0.98039215686274506</v>
      </c>
      <c r="AB42" s="1509">
        <f t="shared" si="4"/>
        <v>0.98039215686274506</v>
      </c>
      <c r="AC42" s="1509">
        <f t="shared" si="5"/>
        <v>0.98039215686274506</v>
      </c>
    </row>
    <row r="43" spans="1:29" ht="27" hidden="1">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662"/>
      <c r="Q43" s="1505" t="str">
        <f t="shared" si="12"/>
        <v>内部装修维护情况</v>
      </c>
      <c r="R43" s="1506" t="s">
        <v>8</v>
      </c>
      <c r="S43" s="1507">
        <f t="shared" si="13"/>
        <v>100</v>
      </c>
      <c r="T43" s="1506" t="s">
        <v>8</v>
      </c>
      <c r="U43" s="1507">
        <f t="shared" si="14"/>
        <v>100</v>
      </c>
      <c r="V43" s="1506" t="s">
        <v>8</v>
      </c>
      <c r="W43" s="1507">
        <f t="shared" si="15"/>
        <v>100</v>
      </c>
      <c r="X43" s="1500"/>
      <c r="Y43" s="3662"/>
      <c r="Z43" s="1508" t="str">
        <f t="shared" si="16"/>
        <v>内部装修维护情况</v>
      </c>
      <c r="AA43" s="1509">
        <f t="shared" si="3"/>
        <v>1</v>
      </c>
      <c r="AB43" s="1509">
        <f t="shared" si="4"/>
        <v>1</v>
      </c>
      <c r="AC43" s="1509">
        <f t="shared" si="5"/>
        <v>1</v>
      </c>
    </row>
    <row r="44" spans="1:29" s="1201" customFormat="1" ht="15">
      <c r="A44" s="593"/>
      <c r="B44" s="865" t="str">
        <f>'不动产比较法-住宅'!B44</f>
        <v>规划实施优先程度</v>
      </c>
      <c r="C44" s="868" t="str">
        <f>C126</f>
        <v>待实施</v>
      </c>
      <c r="D44" s="252">
        <v>100</v>
      </c>
      <c r="E44" s="532" t="str">
        <f>D126</f>
        <v>已实施</v>
      </c>
      <c r="F44" s="851">
        <f>SUMIF(126:126,E44,127:127)-SUMIF(126:126,C44,127:127)+100</f>
        <v>105</v>
      </c>
      <c r="G44" s="532" t="str">
        <f>E44</f>
        <v>已实施</v>
      </c>
      <c r="H44" s="252">
        <f>SUMIF(126:126,G44,127:127)-SUMIF(126:126,C44,127:127)+100</f>
        <v>105</v>
      </c>
      <c r="I44" s="532" t="str">
        <f>E44</f>
        <v>已实施</v>
      </c>
      <c r="J44" s="252">
        <f>SUMIF(126:126,I44,127:127)-SUMIF(126:126,C44,127:127)+100</f>
        <v>105</v>
      </c>
      <c r="K44" s="574"/>
      <c r="L44" s="2015"/>
      <c r="M44" s="2016"/>
      <c r="N44" s="2016"/>
      <c r="O44" s="2017"/>
      <c r="P44" s="3662"/>
      <c r="Q44" s="1132" t="str">
        <f t="shared" si="12"/>
        <v>规划实施优先程度</v>
      </c>
      <c r="R44" s="1501" t="s">
        <v>8</v>
      </c>
      <c r="S44" s="1502">
        <f t="shared" si="13"/>
        <v>105</v>
      </c>
      <c r="T44" s="1501" t="s">
        <v>8</v>
      </c>
      <c r="U44" s="1502">
        <f t="shared" si="14"/>
        <v>105</v>
      </c>
      <c r="V44" s="1501" t="s">
        <v>8</v>
      </c>
      <c r="W44" s="1502">
        <f t="shared" si="15"/>
        <v>105</v>
      </c>
      <c r="X44" s="1503"/>
      <c r="Y44" s="3662"/>
      <c r="Z44" s="1131" t="str">
        <f t="shared" si="16"/>
        <v>规划实施优先程度</v>
      </c>
      <c r="AA44" s="1504">
        <f t="shared" si="3"/>
        <v>0.95238095238095233</v>
      </c>
      <c r="AB44" s="1504">
        <f t="shared" si="4"/>
        <v>0.95238095238095233</v>
      </c>
      <c r="AC44" s="1504">
        <f t="shared" si="5"/>
        <v>0.95238095238095233</v>
      </c>
    </row>
    <row r="45" spans="1:29" ht="15">
      <c r="A45" s="587"/>
      <c r="B45" s="3311" t="s">
        <v>3308</v>
      </c>
      <c r="C45" s="532" t="str">
        <f>C128</f>
        <v>好</v>
      </c>
      <c r="D45" s="533">
        <v>100</v>
      </c>
      <c r="E45" s="3317" t="s">
        <v>3298</v>
      </c>
      <c r="F45" s="568">
        <f>SUMIF(128:128,E45,129:129)-SUMIF(128:128,C45,129:129)+100</f>
        <v>95</v>
      </c>
      <c r="G45" s="532" t="str">
        <f>E45</f>
        <v>较好</v>
      </c>
      <c r="H45" s="533">
        <f>SUMIF(128:128,G45,129:129)-SUMIF(128:128,C45,129:129)+100</f>
        <v>95</v>
      </c>
      <c r="I45" s="532" t="str">
        <f>E45</f>
        <v>较好</v>
      </c>
      <c r="J45" s="533">
        <f>SUMIF(128:128,I45,129:129)-SUMIF(128:128,C45,129:129)+100</f>
        <v>95</v>
      </c>
      <c r="K45" s="574"/>
      <c r="L45" s="2022"/>
      <c r="M45" s="2014"/>
      <c r="N45" s="2014"/>
      <c r="O45" s="2021"/>
      <c r="P45" s="3662"/>
      <c r="Q45" s="1505" t="str">
        <f t="shared" si="12"/>
        <v>设施设备</v>
      </c>
      <c r="R45" s="1506" t="s">
        <v>8</v>
      </c>
      <c r="S45" s="1507">
        <f t="shared" si="13"/>
        <v>95</v>
      </c>
      <c r="T45" s="1506" t="s">
        <v>8</v>
      </c>
      <c r="U45" s="1507">
        <f t="shared" si="14"/>
        <v>95</v>
      </c>
      <c r="V45" s="1506" t="s">
        <v>8</v>
      </c>
      <c r="W45" s="1507">
        <f t="shared" si="15"/>
        <v>95</v>
      </c>
      <c r="X45" s="1500"/>
      <c r="Y45" s="3662"/>
      <c r="Z45" s="1508" t="str">
        <f t="shared" si="16"/>
        <v>设施设备</v>
      </c>
      <c r="AA45" s="1509">
        <f t="shared" si="3"/>
        <v>1.0526315789473684</v>
      </c>
      <c r="AB45" s="1509">
        <f t="shared" si="4"/>
        <v>1.0526315789473684</v>
      </c>
      <c r="AC45" s="1509">
        <f t="shared" si="5"/>
        <v>1.0526315789473684</v>
      </c>
    </row>
    <row r="46" spans="1:29" ht="15.75" thickBot="1">
      <c r="A46" s="874"/>
      <c r="B46" s="3316" t="s">
        <v>3309</v>
      </c>
      <c r="C46" s="538" t="s">
        <v>3355</v>
      </c>
      <c r="D46" s="539">
        <v>100</v>
      </c>
      <c r="E46" s="532" t="s">
        <v>3357</v>
      </c>
      <c r="F46" s="854">
        <f>SUMIF(130:130,E46,131:131)-SUMIF(130:130,C46,131:131)+100</f>
        <v>95</v>
      </c>
      <c r="G46" s="532" t="str">
        <f>C46</f>
        <v>1层</v>
      </c>
      <c r="H46" s="539">
        <f>SUMIF(130:130,G46,131:131)-SUMIF(130:130,C46,131:131)+100</f>
        <v>100</v>
      </c>
      <c r="I46" s="532" t="str">
        <f>C46</f>
        <v>1层</v>
      </c>
      <c r="J46" s="539">
        <f>SUMIF(130:130,I46,131:131)-SUMIF(130:130,C46,131:131)+100</f>
        <v>100</v>
      </c>
      <c r="K46" s="574"/>
      <c r="L46" s="2022"/>
      <c r="M46" s="2014"/>
      <c r="N46" s="2014"/>
      <c r="O46" s="2021"/>
      <c r="P46" s="3744"/>
      <c r="Q46" s="1505" t="str">
        <f t="shared" si="12"/>
        <v>楼层</v>
      </c>
      <c r="R46" s="1506" t="s">
        <v>8</v>
      </c>
      <c r="S46" s="1507">
        <f t="shared" si="13"/>
        <v>95</v>
      </c>
      <c r="T46" s="1506" t="s">
        <v>8</v>
      </c>
      <c r="U46" s="1507">
        <f t="shared" si="14"/>
        <v>100</v>
      </c>
      <c r="V46" s="1506" t="s">
        <v>8</v>
      </c>
      <c r="W46" s="1507">
        <f t="shared" si="15"/>
        <v>100</v>
      </c>
      <c r="X46" s="1500"/>
      <c r="Y46" s="3744"/>
      <c r="Z46" s="1508" t="str">
        <f t="shared" si="16"/>
        <v>楼层</v>
      </c>
      <c r="AA46" s="1509">
        <f t="shared" si="3"/>
        <v>1.0526315789473684</v>
      </c>
      <c r="AB46" s="1509">
        <f t="shared" si="4"/>
        <v>1</v>
      </c>
      <c r="AC46" s="1509">
        <f t="shared" si="5"/>
        <v>1</v>
      </c>
    </row>
    <row r="47" spans="1:29" ht="15">
      <c r="A47" s="600" t="s">
        <v>730</v>
      </c>
      <c r="B47" s="875"/>
      <c r="C47" s="2467" t="s">
        <v>1</v>
      </c>
      <c r="D47" s="2468"/>
      <c r="E47" s="2469">
        <v>4.08</v>
      </c>
      <c r="F47" s="2470"/>
      <c r="G47" s="2471">
        <v>4</v>
      </c>
      <c r="H47" s="2472"/>
      <c r="I47" s="2469">
        <v>4</v>
      </c>
      <c r="J47" s="2472"/>
      <c r="K47" s="1539"/>
      <c r="L47" s="2024"/>
      <c r="M47" s="2025"/>
      <c r="N47" s="2014"/>
      <c r="O47" s="2025"/>
      <c r="P47" s="3625" t="str">
        <f>A47</f>
        <v>成交单价（元/平方米）</v>
      </c>
      <c r="Q47" s="3625"/>
      <c r="R47" s="3743">
        <f>E47</f>
        <v>4.08</v>
      </c>
      <c r="S47" s="3743"/>
      <c r="T47" s="3743">
        <f>G47</f>
        <v>4</v>
      </c>
      <c r="U47" s="3743"/>
      <c r="V47" s="3743">
        <f>I47</f>
        <v>4</v>
      </c>
      <c r="W47" s="3743"/>
      <c r="X47" s="1495"/>
      <c r="Y47" s="1514"/>
      <c r="Z47" s="1495"/>
      <c r="AA47" s="1495"/>
      <c r="AB47" s="1495"/>
      <c r="AC47" s="1495"/>
    </row>
    <row r="48" spans="1:29" ht="15.75" thickBot="1">
      <c r="A48" s="608" t="s">
        <v>2733</v>
      </c>
      <c r="B48" s="876"/>
      <c r="C48" s="2473">
        <f>R49</f>
        <v>4.3</v>
      </c>
      <c r="D48" s="3011" t="s">
        <v>2957</v>
      </c>
      <c r="E48" s="2474">
        <f>R48</f>
        <v>4.4000000000000004</v>
      </c>
      <c r="F48" s="3012"/>
      <c r="G48" s="2473">
        <f>T48</f>
        <v>4.3</v>
      </c>
      <c r="H48" s="3012"/>
      <c r="I48" s="2474">
        <f>V48</f>
        <v>4.3</v>
      </c>
      <c r="J48" s="3012"/>
      <c r="K48" s="3020">
        <f>F48+H48+J48</f>
        <v>0</v>
      </c>
      <c r="L48" s="2024"/>
      <c r="M48" s="2025"/>
      <c r="N48" s="2014"/>
      <c r="O48" s="2025"/>
      <c r="P48" s="3625" t="str">
        <f>A48</f>
        <v>比较价格（元/平方米）</v>
      </c>
      <c r="Q48" s="3625"/>
      <c r="R48" s="3743">
        <f>IF(F1="售价",ROUND(PRODUCT(R47,AA7:AA46),0),ROUND(PRODUCT(R47,AA7:AA46),1))</f>
        <v>4.4000000000000004</v>
      </c>
      <c r="S48" s="3743"/>
      <c r="T48" s="3743">
        <f>IF(F1="售价",ROUND(PRODUCT(T47,AB7:AB46),0),ROUND(PRODUCT(T47,AB7:AB46),1))</f>
        <v>4.3</v>
      </c>
      <c r="U48" s="3743"/>
      <c r="V48" s="3743">
        <f>IF(F1="售价",ROUND(PRODUCT(V47,AC7:AC46),0),ROUND(PRODUCT(V47,AC7:AC46),1))</f>
        <v>4.3</v>
      </c>
      <c r="W48" s="3743"/>
      <c r="X48" s="1495"/>
      <c r="Y48" s="1495"/>
      <c r="Z48" s="1495"/>
      <c r="AA48" s="1495"/>
      <c r="AB48" s="1495"/>
      <c r="AC48" s="1495"/>
    </row>
    <row r="49" spans="1:29" ht="15.75" thickBot="1">
      <c r="A49" s="612" t="s">
        <v>3314</v>
      </c>
      <c r="B49" s="613"/>
      <c r="C49" s="2475">
        <f>R49</f>
        <v>4.3</v>
      </c>
      <c r="D49" s="2475"/>
      <c r="E49" s="2475"/>
      <c r="F49" s="2475"/>
      <c r="G49" s="2475"/>
      <c r="H49" s="2475"/>
      <c r="I49" s="2475"/>
      <c r="J49" s="2475"/>
      <c r="K49" s="1540"/>
      <c r="L49" s="2024"/>
      <c r="M49" s="2025"/>
      <c r="N49" s="2014"/>
      <c r="O49" s="2025"/>
      <c r="P49" s="3622" t="str">
        <f>A49</f>
        <v>估价对象商业用房的比较价格（楼面单价，元/平方米）</v>
      </c>
      <c r="Q49" s="3623"/>
      <c r="R49" s="3742">
        <f>IF(F1="售价",ROUND(IF(D48="简单平均",AVERAGE(R48:V48),R48*F48+T48*H48+V48*J48),0),ROUND(IF(D48="简单平均",AVERAGE(R48:V48),R48*F48+T48*H48+V48*J48),1))</f>
        <v>4.3</v>
      </c>
      <c r="S49" s="3742"/>
      <c r="T49" s="3742"/>
      <c r="U49" s="3742"/>
      <c r="V49" s="3742"/>
      <c r="W49" s="3742"/>
      <c r="X49" s="1495"/>
      <c r="Y49" s="1495"/>
      <c r="Z49" s="1495"/>
      <c r="AA49" s="1495"/>
      <c r="AB49" s="1495"/>
      <c r="AC49" s="1495"/>
    </row>
    <row r="50" spans="1:29">
      <c r="A50" s="3209"/>
      <c r="B50" s="3209"/>
      <c r="C50" s="3209"/>
      <c r="D50" s="3209"/>
      <c r="E50" s="3209"/>
      <c r="F50" s="3209"/>
      <c r="G50" s="3211"/>
      <c r="H50" s="3209"/>
      <c r="I50" s="3209"/>
      <c r="J50" s="3209"/>
      <c r="K50" s="3212"/>
      <c r="L50" s="2029"/>
      <c r="M50" s="2025"/>
      <c r="N50" s="2025"/>
      <c r="O50" s="2025"/>
      <c r="P50" s="2025"/>
      <c r="Q50" s="2025"/>
      <c r="R50" s="2025"/>
      <c r="S50" s="2025"/>
      <c r="T50" s="2025"/>
      <c r="U50" s="2025"/>
      <c r="V50" s="2025"/>
      <c r="W50" s="2025"/>
      <c r="X50" s="2025"/>
      <c r="Y50" s="2025"/>
      <c r="Z50" s="2025"/>
      <c r="AA50" s="2025"/>
      <c r="AB50" s="2025"/>
      <c r="AC50" s="2025"/>
    </row>
    <row r="51" spans="1:29">
      <c r="A51" s="3209"/>
      <c r="B51" s="3209"/>
      <c r="C51" s="3209"/>
      <c r="D51" s="3209"/>
      <c r="E51" s="3209"/>
      <c r="F51" s="3209"/>
      <c r="G51" s="3209"/>
      <c r="H51" s="3209"/>
      <c r="I51" s="3209"/>
      <c r="J51" s="3209"/>
      <c r="K51" s="3212"/>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9"/>
      <c r="B52" s="3209"/>
      <c r="C52" s="615" t="s">
        <v>551</v>
      </c>
      <c r="D52" s="616"/>
      <c r="E52" s="617">
        <f>IF(E47&lt;E48,E48/E47-1,E47/E48-1)</f>
        <v>7.8431372549019773E-2</v>
      </c>
      <c r="F52" s="618" t="str">
        <f>IF(OR(E52&gt;=0.3,E52&lt;=-0.3),"超过30%","")</f>
        <v/>
      </c>
      <c r="G52" s="617">
        <f>IF(G47&lt;G48,G48/G47-1,G47/G48-1)</f>
        <v>7.4999999999999956E-2</v>
      </c>
      <c r="H52" s="618" t="str">
        <f>IF(OR(G52&gt;=0.3,G52&lt;=-0.3),"超过30%","")</f>
        <v/>
      </c>
      <c r="I52" s="617">
        <f>IF(I47&lt;I48,I48/I47-1,I47/I48-1)</f>
        <v>7.4999999999999956E-2</v>
      </c>
      <c r="J52" s="618" t="str">
        <f>IF(OR(I52&gt;=0.3,I52&lt;=-0.3),"超过30%","")</f>
        <v/>
      </c>
      <c r="K52" s="3212"/>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9"/>
      <c r="B53" s="3209"/>
      <c r="C53" s="615" t="s">
        <v>552</v>
      </c>
      <c r="D53" s="619"/>
      <c r="E53" s="617">
        <f>IF(E48&lt;G48,G48/E48-1,E48/G48-1)</f>
        <v>2.3255813953488413E-2</v>
      </c>
      <c r="F53" s="618" t="str">
        <f>IF(OR(E53&gt;=0.2,E53&lt;=-0.2),"超过20%","")</f>
        <v/>
      </c>
      <c r="G53" s="617">
        <f>IF(G48&lt;I48,I48/G48-1,G48/I48-1)</f>
        <v>0</v>
      </c>
      <c r="H53" s="618" t="str">
        <f>IF(OR(G53&gt;=0.2,G53&lt;=-0.2),"超过20%","")</f>
        <v/>
      </c>
      <c r="I53" s="617">
        <f>IF(I48&lt;E48,E48/I48-1,I48/E48-1)</f>
        <v>2.3255813953488413E-2</v>
      </c>
      <c r="J53" s="618" t="str">
        <f>IF(OR(I53&gt;=0.2,I53&lt;=-0.2),"超过20%","")</f>
        <v/>
      </c>
      <c r="K53" s="3212"/>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0"/>
      <c r="B54" s="3210"/>
      <c r="C54" s="615" t="s">
        <v>553</v>
      </c>
      <c r="D54" s="619"/>
      <c r="E54" s="617">
        <f>IF(E47&lt;G47,G47/E47-1,E47/G47-1)</f>
        <v>2.0000000000000018E-2</v>
      </c>
      <c r="F54" s="618" t="str">
        <f>IF(OR(E54&gt;=0.3,E54&lt;=-0.3),"超过30%","")</f>
        <v/>
      </c>
      <c r="G54" s="617">
        <f>IF(G47&lt;I47,I47/G47-1,G47/I47-1)</f>
        <v>0</v>
      </c>
      <c r="H54" s="618" t="str">
        <f>IF(OR(G54&gt;=0.3,G54&lt;=-0.3),"超过30%","")</f>
        <v/>
      </c>
      <c r="I54" s="617">
        <f>IF(I47&lt;E47,E47/I47-1,I47/E47-1)</f>
        <v>2.0000000000000018E-2</v>
      </c>
      <c r="J54" s="618" t="str">
        <f>IF(OR(I54&gt;=0.3,I54&lt;=-0.3),"超过30%","")</f>
        <v/>
      </c>
      <c r="K54" s="3213"/>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6" t="str">
        <f>YEAR(C7)&amp;"-"&amp;MONTH(C7)</f>
        <v>2020-10</v>
      </c>
      <c r="D58" s="2518">
        <f>EDATE(C58,-1)</f>
        <v>44075</v>
      </c>
      <c r="E58" s="2518">
        <f t="shared" ref="E58:O58" si="17">EDATE(D58,-1)</f>
        <v>44044</v>
      </c>
      <c r="F58" s="2518">
        <f t="shared" si="17"/>
        <v>44013</v>
      </c>
      <c r="G58" s="2518">
        <f t="shared" si="17"/>
        <v>43983</v>
      </c>
      <c r="H58" s="2518">
        <f t="shared" si="17"/>
        <v>43952</v>
      </c>
      <c r="I58" s="2518">
        <f t="shared" si="17"/>
        <v>43922</v>
      </c>
      <c r="J58" s="2518">
        <f t="shared" si="17"/>
        <v>43891</v>
      </c>
      <c r="K58" s="2518">
        <f t="shared" si="17"/>
        <v>43862</v>
      </c>
      <c r="L58" s="2518">
        <f t="shared" si="17"/>
        <v>43831</v>
      </c>
      <c r="M58" s="2518">
        <f t="shared" si="17"/>
        <v>43800</v>
      </c>
      <c r="N58" s="2518">
        <f t="shared" si="17"/>
        <v>43770</v>
      </c>
      <c r="O58" s="2518">
        <f t="shared" si="17"/>
        <v>43739</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t="str">
        <f>C9</f>
        <v>商业</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1（含）-3</v>
      </c>
      <c r="D67" s="673" t="str">
        <f t="shared" ref="D67:L67" si="18">D68&amp;"（含）"&amp;"-"&amp;E68</f>
        <v>3（含）-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1</v>
      </c>
      <c r="D68" s="534">
        <v>3</v>
      </c>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97</v>
      </c>
      <c r="E79" s="670">
        <f>D79-$K17</f>
        <v>94</v>
      </c>
      <c r="F79" s="670">
        <f>E79-$K17</f>
        <v>91</v>
      </c>
      <c r="G79" s="670">
        <f>F79-$K17</f>
        <v>88</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2531</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97</v>
      </c>
      <c r="E81" s="670">
        <f>D81-$K19</f>
        <v>94</v>
      </c>
      <c r="F81" s="670">
        <f>E81-$K19</f>
        <v>91</v>
      </c>
      <c r="G81" s="670">
        <f>F81-$K19</f>
        <v>88</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8" t="s">
        <v>2532</v>
      </c>
      <c r="C82" s="2439" t="s">
        <v>2533</v>
      </c>
      <c r="D82" s="2439" t="s">
        <v>2534</v>
      </c>
      <c r="E82" s="2439" t="s">
        <v>2535</v>
      </c>
      <c r="F82" s="2439" t="s">
        <v>2536</v>
      </c>
      <c r="G82" s="2439" t="s">
        <v>2537</v>
      </c>
      <c r="H82" s="665"/>
      <c r="I82" s="665"/>
      <c r="J82" s="665"/>
      <c r="K82" s="665"/>
      <c r="L82" s="665"/>
      <c r="M82" s="2442"/>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97</v>
      </c>
      <c r="E85" s="670">
        <f>D85-$K23</f>
        <v>94</v>
      </c>
      <c r="F85" s="670">
        <f>E85-$K23</f>
        <v>91</v>
      </c>
      <c r="G85" s="670">
        <f>F85-$K23</f>
        <v>88</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27.75" thickTop="1">
      <c r="A86" s="700"/>
      <c r="B86" s="664" t="s">
        <v>765</v>
      </c>
      <c r="C86" s="3309" t="s">
        <v>3297</v>
      </c>
      <c r="D86" s="3309" t="s">
        <v>3298</v>
      </c>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20">C87-$K25</f>
        <v>100</v>
      </c>
      <c r="E87" s="670">
        <f t="shared" si="20"/>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1">D91-$K27</f>
        <v>100</v>
      </c>
      <c r="F91" s="670">
        <f t="shared" si="21"/>
        <v>100</v>
      </c>
      <c r="G91" s="670">
        <f t="shared" si="21"/>
        <v>100</v>
      </c>
      <c r="H91" s="670">
        <f t="shared" si="21"/>
        <v>100</v>
      </c>
      <c r="I91" s="670">
        <f t="shared" si="21"/>
        <v>100</v>
      </c>
      <c r="J91" s="670">
        <f t="shared" si="21"/>
        <v>100</v>
      </c>
      <c r="K91" s="670">
        <f t="shared" si="21"/>
        <v>100</v>
      </c>
      <c r="L91" s="670">
        <f t="shared" si="21"/>
        <v>100</v>
      </c>
      <c r="M91" s="670">
        <f t="shared" si="21"/>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3308" t="s">
        <v>3300</v>
      </c>
      <c r="D100" s="3308" t="s">
        <v>3302</v>
      </c>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95</v>
      </c>
      <c r="E101" s="670">
        <f t="shared" si="22"/>
        <v>90</v>
      </c>
      <c r="F101" s="670">
        <f t="shared" si="22"/>
        <v>85</v>
      </c>
      <c r="G101" s="670">
        <f t="shared" si="22"/>
        <v>80</v>
      </c>
      <c r="H101" s="670">
        <f t="shared" si="22"/>
        <v>75</v>
      </c>
      <c r="I101" s="670">
        <f t="shared" si="22"/>
        <v>70</v>
      </c>
      <c r="J101" s="670">
        <f t="shared" si="22"/>
        <v>65</v>
      </c>
      <c r="K101" s="670">
        <f t="shared" si="22"/>
        <v>60</v>
      </c>
      <c r="L101" s="670">
        <f t="shared" si="22"/>
        <v>55</v>
      </c>
      <c r="M101" s="671">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1(含)-10000</v>
      </c>
      <c r="D102" s="699" t="str">
        <f t="shared" ref="D102:L102" si="23">D103&amp;"(含)"&amp;"-"&amp;E103</f>
        <v>10000(含)-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v>1</v>
      </c>
      <c r="D103" s="721">
        <v>10000</v>
      </c>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309" t="s">
        <v>3303</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1">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1">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102</v>
      </c>
      <c r="E111" s="670">
        <f t="shared" ref="E111:M111" si="26">D111+$K36</f>
        <v>104</v>
      </c>
      <c r="F111" s="670">
        <f t="shared" si="26"/>
        <v>106</v>
      </c>
      <c r="G111" s="670">
        <f t="shared" si="26"/>
        <v>108</v>
      </c>
      <c r="H111" s="670">
        <f t="shared" si="26"/>
        <v>110</v>
      </c>
      <c r="I111" s="670">
        <f t="shared" si="26"/>
        <v>112</v>
      </c>
      <c r="J111" s="670">
        <f t="shared" si="26"/>
        <v>114</v>
      </c>
      <c r="K111" s="670">
        <f t="shared" si="26"/>
        <v>116</v>
      </c>
      <c r="L111" s="670">
        <f t="shared" si="26"/>
        <v>118</v>
      </c>
      <c r="M111" s="670">
        <f t="shared" si="26"/>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2530</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7">D113-$K37</f>
        <v>100</v>
      </c>
      <c r="F113" s="670">
        <f t="shared" si="27"/>
        <v>100</v>
      </c>
      <c r="G113" s="670">
        <f t="shared" si="27"/>
        <v>100</v>
      </c>
      <c r="H113" s="670">
        <f t="shared" si="27"/>
        <v>100</v>
      </c>
      <c r="I113" s="670">
        <f t="shared" si="27"/>
        <v>100</v>
      </c>
      <c r="J113" s="670">
        <f t="shared" si="27"/>
        <v>100</v>
      </c>
      <c r="K113" s="670">
        <f t="shared" si="27"/>
        <v>100</v>
      </c>
      <c r="L113" s="670">
        <f t="shared" si="27"/>
        <v>100</v>
      </c>
      <c r="M113" s="670">
        <f t="shared" si="27"/>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8">C115-$K38</f>
        <v>100</v>
      </c>
      <c r="E115" s="670">
        <f t="shared" si="28"/>
        <v>100</v>
      </c>
      <c r="F115" s="670">
        <f t="shared" si="28"/>
        <v>100</v>
      </c>
      <c r="G115" s="670">
        <f t="shared" si="28"/>
        <v>100</v>
      </c>
      <c r="H115" s="670">
        <f t="shared" si="28"/>
        <v>100</v>
      </c>
      <c r="I115" s="670">
        <f t="shared" si="28"/>
        <v>100</v>
      </c>
      <c r="J115" s="670">
        <f t="shared" si="28"/>
        <v>100</v>
      </c>
      <c r="K115" s="670">
        <f t="shared" si="28"/>
        <v>100</v>
      </c>
      <c r="L115" s="670">
        <f t="shared" si="28"/>
        <v>100</v>
      </c>
      <c r="M115" s="671">
        <f t="shared" si="28"/>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9">D121-$K41</f>
        <v>100</v>
      </c>
      <c r="F121" s="670">
        <f t="shared" si="29"/>
        <v>100</v>
      </c>
      <c r="G121" s="670">
        <f t="shared" si="29"/>
        <v>100</v>
      </c>
      <c r="H121" s="670">
        <f t="shared" si="29"/>
        <v>100</v>
      </c>
      <c r="I121" s="670">
        <f t="shared" si="29"/>
        <v>100</v>
      </c>
      <c r="J121" s="670">
        <f t="shared" si="29"/>
        <v>100</v>
      </c>
      <c r="K121" s="670">
        <f t="shared" si="29"/>
        <v>100</v>
      </c>
      <c r="L121" s="670">
        <f t="shared" si="29"/>
        <v>100</v>
      </c>
      <c r="M121" s="671">
        <f t="shared" si="29"/>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309" t="s">
        <v>3305</v>
      </c>
      <c r="D122" s="3309" t="s">
        <v>3307</v>
      </c>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30">C123-$K42</f>
        <v>98</v>
      </c>
      <c r="E123" s="670">
        <f t="shared" si="30"/>
        <v>96</v>
      </c>
      <c r="F123" s="670">
        <f t="shared" si="30"/>
        <v>94</v>
      </c>
      <c r="G123" s="670">
        <f t="shared" si="30"/>
        <v>92</v>
      </c>
      <c r="H123" s="670">
        <f t="shared" si="30"/>
        <v>90</v>
      </c>
      <c r="I123" s="670">
        <f t="shared" si="30"/>
        <v>88</v>
      </c>
      <c r="J123" s="670">
        <f t="shared" si="30"/>
        <v>86</v>
      </c>
      <c r="K123" s="670">
        <f t="shared" si="30"/>
        <v>84</v>
      </c>
      <c r="L123" s="670">
        <f t="shared" si="30"/>
        <v>82</v>
      </c>
      <c r="M123" s="671">
        <f t="shared" si="30"/>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t="str">
        <f>B44</f>
        <v>规划实施优先程度</v>
      </c>
      <c r="C126" s="679" t="str">
        <f>'不动产比较法-住宅'!C126</f>
        <v>待实施</v>
      </c>
      <c r="D126" s="3309" t="s">
        <v>3311</v>
      </c>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v>100</v>
      </c>
      <c r="D127" s="662">
        <v>105</v>
      </c>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t="str">
        <f>B45</f>
        <v>设施设备</v>
      </c>
      <c r="C128" s="3309" t="s">
        <v>3312</v>
      </c>
      <c r="D128" s="3309" t="s">
        <v>3298</v>
      </c>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v>100</v>
      </c>
      <c r="D129" s="662">
        <v>95</v>
      </c>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t="str">
        <f>B46</f>
        <v>楼层</v>
      </c>
      <c r="C130" s="679" t="s">
        <v>3313</v>
      </c>
      <c r="D130" s="679" t="s">
        <v>3356</v>
      </c>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v>95</v>
      </c>
      <c r="D131" s="691">
        <v>100</v>
      </c>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heetViews>
  <sheetFormatPr defaultColWidth="11" defaultRowHeight="13.5"/>
  <cols>
    <col min="1" max="16384" width="11" style="3314"/>
  </cols>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11" t="s">
        <v>2026</v>
      </c>
      <c r="B1" s="3411"/>
      <c r="C1" s="3411"/>
      <c r="D1" s="3411"/>
      <c r="E1" s="3411"/>
      <c r="F1" s="3411"/>
      <c r="G1" s="3411"/>
      <c r="H1" s="3411"/>
      <c r="I1" s="3411"/>
      <c r="J1" s="3411"/>
      <c r="K1" s="3411"/>
      <c r="L1" s="3411"/>
      <c r="M1" s="3411"/>
      <c r="N1" s="3411"/>
      <c r="O1" s="3411"/>
      <c r="P1" s="3411"/>
      <c r="Q1" s="3411"/>
      <c r="R1" s="3411"/>
    </row>
    <row r="2" spans="1:18">
      <c r="A2" s="1720" t="s">
        <v>2028</v>
      </c>
      <c r="B2" s="1720"/>
      <c r="C2" s="1720"/>
      <c r="D2" s="1720"/>
      <c r="E2" s="1720"/>
      <c r="F2" s="1720"/>
      <c r="G2" s="1720"/>
      <c r="H2" s="1720"/>
      <c r="I2" s="1721"/>
      <c r="J2" s="1721"/>
      <c r="K2" s="1722" t="str">
        <f>"估价期日："&amp;TEXT(项目基本情况!D3,"yyyy年m月d日;;")</f>
        <v>估价期日：2020年10月21日</v>
      </c>
      <c r="L2" s="1720"/>
      <c r="M2" s="1720"/>
      <c r="N2" s="1720"/>
      <c r="O2" s="1720"/>
      <c r="P2" s="1720"/>
      <c r="Q2" s="1720"/>
      <c r="R2" s="1722" t="str">
        <f>"估价期日的国有建设用地使用权性质："&amp;项目基本情况!B16</f>
        <v>估价期日的国有建设用地使用权性质：出让</v>
      </c>
    </row>
    <row r="3" spans="1:18" ht="23.25" customHeight="1">
      <c r="A3" s="3412" t="s">
        <v>2017</v>
      </c>
      <c r="B3" s="3412" t="s">
        <v>2704</v>
      </c>
      <c r="C3" s="3413" t="s">
        <v>2018</v>
      </c>
      <c r="D3" s="3412" t="s">
        <v>2708</v>
      </c>
      <c r="E3" s="3415" t="s">
        <v>2019</v>
      </c>
      <c r="F3" s="3415"/>
      <c r="G3" s="3415"/>
      <c r="H3" s="3415" t="s">
        <v>2020</v>
      </c>
      <c r="I3" s="3415"/>
      <c r="J3" s="3415"/>
      <c r="K3" s="3413" t="s">
        <v>2021</v>
      </c>
      <c r="L3" s="3413" t="s">
        <v>2022</v>
      </c>
      <c r="M3" s="3412" t="s">
        <v>2705</v>
      </c>
      <c r="N3" s="3414" t="str">
        <f>"（分摊）"&amp;项目基本情况!B16&amp;"国有建设用地使用权面积/㎡"</f>
        <v>（分摊）出让国有建设用地使用权面积/㎡</v>
      </c>
      <c r="O3" s="3412" t="s">
        <v>2051</v>
      </c>
      <c r="P3" s="3413" t="s">
        <v>2031</v>
      </c>
      <c r="Q3" s="3413" t="s">
        <v>2052</v>
      </c>
      <c r="R3" s="3413" t="s">
        <v>2023</v>
      </c>
    </row>
    <row r="4" spans="1:18" ht="36.75" customHeight="1">
      <c r="A4" s="3412"/>
      <c r="B4" s="3412"/>
      <c r="C4" s="3413"/>
      <c r="D4" s="3412"/>
      <c r="E4" s="2488" t="s">
        <v>2030</v>
      </c>
      <c r="F4" s="2488" t="s">
        <v>2717</v>
      </c>
      <c r="G4" s="2488" t="s">
        <v>2024</v>
      </c>
      <c r="H4" s="2488" t="s">
        <v>2025</v>
      </c>
      <c r="I4" s="2488" t="s">
        <v>2718</v>
      </c>
      <c r="J4" s="2488" t="s">
        <v>2024</v>
      </c>
      <c r="K4" s="3413"/>
      <c r="L4" s="3413"/>
      <c r="M4" s="3412"/>
      <c r="N4" s="3414"/>
      <c r="O4" s="3412"/>
      <c r="P4" s="3413"/>
      <c r="Q4" s="3413"/>
      <c r="R4" s="3413"/>
    </row>
    <row r="5" spans="1:18" ht="135" customHeight="1">
      <c r="A5" s="1855" t="s">
        <v>2628</v>
      </c>
      <c r="B5" s="2581" t="s">
        <v>2626</v>
      </c>
      <c r="C5" s="2487">
        <v>22</v>
      </c>
      <c r="D5" s="2486" t="s">
        <v>2627</v>
      </c>
      <c r="E5" s="1723">
        <f>项目基本情况!B12</f>
        <v>0</v>
      </c>
      <c r="F5" s="2486">
        <v>258</v>
      </c>
      <c r="G5" s="1723">
        <f>项目基本情况!B13</f>
        <v>0</v>
      </c>
      <c r="H5" s="2486">
        <v>1.5</v>
      </c>
      <c r="I5" s="2486">
        <v>1.5</v>
      </c>
      <c r="J5" s="2486">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98307</v>
      </c>
      <c r="O5" s="1723">
        <f>项目基本情况!C21</f>
        <v>196602</v>
      </c>
      <c r="P5" s="1723">
        <f ca="1">结果表!E42</f>
        <v>1751</v>
      </c>
      <c r="Q5" s="1723">
        <f ca="1">结果表!D42</f>
        <v>876</v>
      </c>
      <c r="R5" s="1724">
        <f ca="1">结果表!C42</f>
        <v>17216</v>
      </c>
    </row>
    <row r="6" spans="1:18">
      <c r="A6" s="3416" t="str">
        <f>IF(项目基本情况!B9="市场价格","——","抵押价格")</f>
        <v>——</v>
      </c>
      <c r="B6" s="3417"/>
      <c r="C6" s="3417"/>
      <c r="D6" s="3417"/>
      <c r="E6" s="3417"/>
      <c r="F6" s="3417"/>
      <c r="G6" s="3417"/>
      <c r="H6" s="3417"/>
      <c r="I6" s="3417"/>
      <c r="J6" s="3417"/>
      <c r="K6" s="3417"/>
      <c r="L6" s="3417"/>
      <c r="M6" s="3417"/>
      <c r="N6" s="3417"/>
      <c r="O6" s="3417"/>
      <c r="P6" s="3417"/>
      <c r="Q6" s="3418"/>
      <c r="R6" s="1725" t="str">
        <f>结果表!O39</f>
        <v>——</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1725" t="str">
        <f>结果表!O40</f>
        <v>——</v>
      </c>
    </row>
    <row r="8" spans="1:18">
      <c r="A8" s="3416" t="str">
        <f>IF(项目基本情况!B9="市场价格","——",项目基本情况!E9)</f>
        <v>——</v>
      </c>
      <c r="B8" s="3417"/>
      <c r="C8" s="3417"/>
      <c r="D8" s="3417"/>
      <c r="E8" s="3417"/>
      <c r="F8" s="3417"/>
      <c r="G8" s="3417"/>
      <c r="H8" s="3417"/>
      <c r="I8" s="3417"/>
      <c r="J8" s="3417"/>
      <c r="K8" s="3417"/>
      <c r="L8" s="3417"/>
      <c r="M8" s="3417"/>
      <c r="N8" s="3417"/>
      <c r="O8" s="3417"/>
      <c r="P8" s="3417"/>
      <c r="Q8" s="3418"/>
      <c r="R8" s="1725" t="str">
        <f>结果表!O41</f>
        <v>——</v>
      </c>
    </row>
    <row r="9" spans="1:18">
      <c r="A9" s="1726" t="s">
        <v>2029</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2016</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85" zoomScaleNormal="60" zoomScaleSheetLayoutView="85" workbookViewId="0">
      <selection activeCell="L19" sqref="L19"/>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209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496" t="s">
        <v>771</v>
      </c>
      <c r="C1" s="497" t="s">
        <v>714</v>
      </c>
      <c r="D1" s="837"/>
      <c r="E1" s="499"/>
      <c r="F1" s="2521"/>
      <c r="G1" s="1530" t="s">
        <v>715</v>
      </c>
      <c r="H1" s="499"/>
      <c r="I1" s="499"/>
      <c r="J1" s="499"/>
      <c r="K1" s="500"/>
      <c r="L1" s="3205"/>
      <c r="M1" s="3206"/>
      <c r="N1" s="3206"/>
      <c r="O1" s="3206"/>
      <c r="P1" s="3269"/>
      <c r="Q1" s="2012"/>
      <c r="R1" s="2012"/>
      <c r="S1" s="2012"/>
      <c r="T1" s="2012"/>
      <c r="U1" s="2012"/>
      <c r="V1" s="2012"/>
      <c r="W1" s="2012"/>
      <c r="X1" s="2012"/>
      <c r="Y1" s="2012"/>
      <c r="Z1" s="2012"/>
      <c r="AA1" s="2012"/>
      <c r="AB1" s="2012"/>
      <c r="AC1" s="3207"/>
    </row>
    <row r="2" spans="1:29" s="1288" customFormat="1" ht="28.5" customHeight="1">
      <c r="A2" s="416" t="s">
        <v>461</v>
      </c>
      <c r="B2" s="838">
        <f>ROUND(B3*D3/10000,0)</f>
        <v>0</v>
      </c>
      <c r="C2" s="2007"/>
      <c r="D2" s="2007"/>
      <c r="E2" s="1942"/>
      <c r="F2" s="2009"/>
      <c r="G2" s="2008"/>
      <c r="H2" s="2008"/>
      <c r="I2" s="2008"/>
      <c r="J2" s="2008"/>
      <c r="K2" s="2008"/>
      <c r="L2" s="2011"/>
      <c r="M2" s="2012"/>
      <c r="N2" s="2012"/>
      <c r="O2" s="2012"/>
      <c r="P2" s="3269"/>
      <c r="Q2" s="2012"/>
      <c r="R2" s="2012"/>
      <c r="S2" s="2012"/>
      <c r="T2" s="2012"/>
      <c r="U2" s="2012"/>
      <c r="V2" s="2012"/>
      <c r="W2" s="2012"/>
      <c r="X2" s="2012"/>
      <c r="Y2" s="2012"/>
      <c r="Z2" s="2012"/>
      <c r="AA2" s="2012"/>
      <c r="AB2" s="2012"/>
      <c r="AC2" s="3207"/>
    </row>
    <row r="3" spans="1:29" s="1288" customFormat="1" ht="28.5" customHeight="1" thickBot="1">
      <c r="A3" s="502" t="s">
        <v>513</v>
      </c>
      <c r="B3" s="503">
        <f>C50</f>
        <v>2.5</v>
      </c>
      <c r="C3" s="840" t="s">
        <v>716</v>
      </c>
      <c r="D3" s="839">
        <f>SUMIF('数据-汇总表'!$C19:$C33,D1,'数据-汇总表'!$E19:$E33)</f>
        <v>0</v>
      </c>
      <c r="E3" s="1942"/>
      <c r="F3" s="2009"/>
      <c r="G3" s="2008"/>
      <c r="H3" s="2008"/>
      <c r="I3" s="2008"/>
      <c r="J3" s="2008"/>
      <c r="K3" s="2010"/>
      <c r="L3" s="2011"/>
      <c r="M3" s="2012"/>
      <c r="N3" s="2012"/>
      <c r="O3" s="2012"/>
      <c r="P3" s="3269"/>
      <c r="Q3" s="2012"/>
      <c r="R3" s="2012"/>
      <c r="S3" s="2012"/>
      <c r="T3" s="2012"/>
      <c r="U3" s="2012"/>
      <c r="V3" s="2012"/>
      <c r="W3" s="2012"/>
      <c r="X3" s="2012"/>
      <c r="Y3" s="2012"/>
      <c r="Z3" s="2012"/>
      <c r="AA3" s="2012"/>
      <c r="AB3" s="2012"/>
      <c r="AC3" s="3207"/>
    </row>
    <row r="4" spans="1:29" ht="15">
      <c r="A4" s="505" t="s">
        <v>515</v>
      </c>
      <c r="B4" s="506"/>
      <c r="C4" s="3631" t="s">
        <v>516</v>
      </c>
      <c r="D4" s="3632"/>
      <c r="E4" s="3665" t="s">
        <v>517</v>
      </c>
      <c r="F4" s="3666"/>
      <c r="G4" s="3631" t="s">
        <v>518</v>
      </c>
      <c r="H4" s="3632"/>
      <c r="I4" s="3631" t="s">
        <v>519</v>
      </c>
      <c r="J4" s="3632"/>
      <c r="K4" s="507" t="s">
        <v>520</v>
      </c>
      <c r="L4" s="2013"/>
      <c r="M4" s="2014"/>
      <c r="N4" s="2014"/>
      <c r="O4" s="2014"/>
      <c r="P4" s="3752" t="s">
        <v>521</v>
      </c>
      <c r="Q4" s="3634"/>
      <c r="R4" s="3639" t="s">
        <v>517</v>
      </c>
      <c r="S4" s="3640"/>
      <c r="T4" s="3639" t="s">
        <v>518</v>
      </c>
      <c r="U4" s="3640"/>
      <c r="V4" s="3626" t="s">
        <v>519</v>
      </c>
      <c r="W4" s="3626"/>
      <c r="X4" s="1500"/>
      <c r="Y4" s="3639" t="s">
        <v>521</v>
      </c>
      <c r="Z4" s="3640"/>
      <c r="AA4" s="3628" t="s">
        <v>517</v>
      </c>
      <c r="AB4" s="3628" t="s">
        <v>518</v>
      </c>
      <c r="AC4" s="3628" t="s">
        <v>519</v>
      </c>
    </row>
    <row r="5" spans="1:29" ht="15">
      <c r="A5" s="508"/>
      <c r="B5" s="509"/>
      <c r="C5" s="3647" t="s">
        <v>2886</v>
      </c>
      <c r="D5" s="3648"/>
      <c r="E5" s="3746" t="s">
        <v>3271</v>
      </c>
      <c r="F5" s="3668"/>
      <c r="G5" s="3745" t="s">
        <v>3272</v>
      </c>
      <c r="H5" s="3648"/>
      <c r="I5" s="3745" t="s">
        <v>3273</v>
      </c>
      <c r="J5" s="3648"/>
      <c r="K5" s="507"/>
      <c r="L5" s="2013"/>
      <c r="M5" s="2014"/>
      <c r="N5" s="2014"/>
      <c r="O5" s="2014"/>
      <c r="P5" s="3753"/>
      <c r="Q5" s="3636"/>
      <c r="R5" s="3641"/>
      <c r="S5" s="3642"/>
      <c r="T5" s="3641"/>
      <c r="U5" s="3642"/>
      <c r="V5" s="3626"/>
      <c r="W5" s="3626"/>
      <c r="X5" s="1500"/>
      <c r="Y5" s="3641"/>
      <c r="Z5" s="3642"/>
      <c r="AA5" s="3629"/>
      <c r="AB5" s="3629"/>
      <c r="AC5" s="3629"/>
    </row>
    <row r="6" spans="1:29" ht="15.75" thickBot="1">
      <c r="A6" s="510"/>
      <c r="B6" s="511"/>
      <c r="C6" s="3645" t="s">
        <v>2890</v>
      </c>
      <c r="D6" s="3646"/>
      <c r="E6" s="3755" t="s">
        <v>3274</v>
      </c>
      <c r="F6" s="3664"/>
      <c r="G6" s="3756" t="str">
        <f>E6</f>
        <v>石家庄</v>
      </c>
      <c r="H6" s="3646"/>
      <c r="I6" s="3645" t="str">
        <f>E6</f>
        <v>石家庄</v>
      </c>
      <c r="J6" s="3646"/>
      <c r="K6" s="507" t="s">
        <v>522</v>
      </c>
      <c r="L6" s="2013"/>
      <c r="M6" s="2014"/>
      <c r="N6" s="2014"/>
      <c r="O6" s="2014"/>
      <c r="P6" s="3754"/>
      <c r="Q6" s="3638"/>
      <c r="R6" s="3641"/>
      <c r="S6" s="3642"/>
      <c r="T6" s="3643"/>
      <c r="U6" s="3644"/>
      <c r="V6" s="3626"/>
      <c r="W6" s="3626"/>
      <c r="X6" s="1500"/>
      <c r="Y6" s="3643"/>
      <c r="Z6" s="3644"/>
      <c r="AA6" s="3630"/>
      <c r="AB6" s="3630"/>
      <c r="AC6" s="3630"/>
    </row>
    <row r="7" spans="1:29" s="1201" customFormat="1" ht="15.75" thickBot="1">
      <c r="A7" s="2626"/>
      <c r="B7" s="2633" t="s">
        <v>523</v>
      </c>
      <c r="C7" s="512">
        <f>'数据-取费表'!B2</f>
        <v>44125</v>
      </c>
      <c r="D7" s="513">
        <v>100</v>
      </c>
      <c r="E7" s="514">
        <f>C7</f>
        <v>44125</v>
      </c>
      <c r="F7" s="515">
        <f>SUMIF(59:59,YEAR(E7)&amp;"-"&amp;MONTH(E7),60:60)</f>
        <v>100</v>
      </c>
      <c r="G7" s="514">
        <f>C7</f>
        <v>44125</v>
      </c>
      <c r="H7" s="513">
        <f>SUMIF(59:59,YEAR(G7)&amp;"-"&amp;MONTH(G7),60:60)</f>
        <v>100</v>
      </c>
      <c r="I7" s="514">
        <f>C7</f>
        <v>44125</v>
      </c>
      <c r="J7" s="513">
        <f>SUMIF(59:59,YEAR(I7)&amp;"-"&amp;MONTH(I7),60:60)</f>
        <v>100</v>
      </c>
      <c r="K7" s="517"/>
      <c r="L7" s="2015"/>
      <c r="M7" s="2016"/>
      <c r="N7" s="2016"/>
      <c r="O7" s="2016"/>
      <c r="P7" s="3658" t="s">
        <v>524</v>
      </c>
      <c r="Q7" s="3658"/>
      <c r="R7" s="1501" t="s">
        <v>8</v>
      </c>
      <c r="S7" s="1502">
        <f t="shared" ref="S7:S15" si="0">F7</f>
        <v>100</v>
      </c>
      <c r="T7" s="1501" t="s">
        <v>8</v>
      </c>
      <c r="U7" s="1502">
        <f t="shared" ref="U7:U15" si="1">H7</f>
        <v>100</v>
      </c>
      <c r="V7" s="1501" t="s">
        <v>8</v>
      </c>
      <c r="W7" s="1502">
        <f t="shared" ref="W7:W15" si="2">J7</f>
        <v>100</v>
      </c>
      <c r="X7" s="1503"/>
      <c r="Y7" s="3656" t="s">
        <v>524</v>
      </c>
      <c r="Z7" s="3657"/>
      <c r="AA7" s="1504">
        <f>D7/F7</f>
        <v>1</v>
      </c>
      <c r="AB7" s="1504">
        <f>D7/H7</f>
        <v>1</v>
      </c>
      <c r="AC7" s="1504">
        <f>D7/J7</f>
        <v>1</v>
      </c>
    </row>
    <row r="8" spans="1:29" s="1201" customFormat="1" ht="15.75" thickBot="1">
      <c r="A8" s="2627"/>
      <c r="B8" s="2634" t="s">
        <v>525</v>
      </c>
      <c r="C8" s="518" t="s">
        <v>570</v>
      </c>
      <c r="D8" s="513">
        <v>100</v>
      </c>
      <c r="E8" s="518" t="s">
        <v>3220</v>
      </c>
      <c r="F8" s="515">
        <f>SUMIF(62:62,E8,63:63)-SUMIF(62:62,C8,63:63)+100</f>
        <v>100</v>
      </c>
      <c r="G8" s="518" t="s">
        <v>3220</v>
      </c>
      <c r="H8" s="513">
        <f>SUMIF(62:62,G8,63:63)-SUMIF(62:62,C8,63:63)+100</f>
        <v>100</v>
      </c>
      <c r="I8" s="518" t="s">
        <v>3220</v>
      </c>
      <c r="J8" s="513">
        <f>SUMIF(62:62,I8,63:63)-SUMIF(62:62,C8,63:63)+100</f>
        <v>100</v>
      </c>
      <c r="K8" s="517"/>
      <c r="L8" s="2015"/>
      <c r="M8" s="2016"/>
      <c r="N8" s="2016"/>
      <c r="O8" s="2016"/>
      <c r="P8" s="3658" t="s">
        <v>527</v>
      </c>
      <c r="Q8" s="3657"/>
      <c r="R8" s="1501" t="s">
        <v>8</v>
      </c>
      <c r="S8" s="1502">
        <f t="shared" si="0"/>
        <v>100</v>
      </c>
      <c r="T8" s="1501" t="s">
        <v>8</v>
      </c>
      <c r="U8" s="1502">
        <f t="shared" si="1"/>
        <v>100</v>
      </c>
      <c r="V8" s="1501" t="s">
        <v>8</v>
      </c>
      <c r="W8" s="1502">
        <f t="shared" si="2"/>
        <v>100</v>
      </c>
      <c r="X8" s="1503"/>
      <c r="Y8" s="3656" t="s">
        <v>527</v>
      </c>
      <c r="Z8" s="3657"/>
      <c r="AA8" s="1504">
        <f t="shared" ref="AA8:AA47" si="3">D8/F8</f>
        <v>1</v>
      </c>
      <c r="AB8" s="1504">
        <f t="shared" ref="AB8:AB47" si="4">D8/H8</f>
        <v>1</v>
      </c>
      <c r="AC8" s="1504">
        <f t="shared" ref="AC8:AC47" si="5">D8/J8</f>
        <v>1</v>
      </c>
    </row>
    <row r="9" spans="1:29" s="1201" customFormat="1" ht="15">
      <c r="A9" s="2628"/>
      <c r="B9" s="2635" t="s">
        <v>2729</v>
      </c>
      <c r="C9" s="3302" t="s">
        <v>3276</v>
      </c>
      <c r="D9" s="251">
        <v>100</v>
      </c>
      <c r="E9" s="848" t="s">
        <v>3275</v>
      </c>
      <c r="F9" s="251">
        <f>SUMIF(64:64,E9,65:65)-SUMIF(64:64,C9,65:65)+100</f>
        <v>100</v>
      </c>
      <c r="G9" s="846" t="s">
        <v>3275</v>
      </c>
      <c r="H9" s="251">
        <f>SUMIF(64:64,G9,65:65)-SUMIF(64:64,C9,65:65)+100</f>
        <v>100</v>
      </c>
      <c r="I9" s="846" t="s">
        <v>3275</v>
      </c>
      <c r="J9" s="251">
        <f>SUMIF(64:64,I9,65:65)-SUMIF(64:64,C9,65:65)+100</f>
        <v>100</v>
      </c>
      <c r="K9" s="517"/>
      <c r="L9" s="2015"/>
      <c r="M9" s="2016"/>
      <c r="N9" s="2016"/>
      <c r="O9" s="2016"/>
      <c r="P9" s="3625" t="s">
        <v>529</v>
      </c>
      <c r="Q9" s="1132" t="str">
        <f t="shared" ref="Q9:Q15" si="6">B9</f>
        <v>用途</v>
      </c>
      <c r="R9" s="1501" t="s">
        <v>8</v>
      </c>
      <c r="S9" s="1502">
        <f t="shared" si="0"/>
        <v>100</v>
      </c>
      <c r="T9" s="1501" t="s">
        <v>8</v>
      </c>
      <c r="U9" s="1502">
        <f t="shared" si="1"/>
        <v>100</v>
      </c>
      <c r="V9" s="1501" t="s">
        <v>8</v>
      </c>
      <c r="W9" s="1502">
        <f t="shared" si="2"/>
        <v>100</v>
      </c>
      <c r="X9" s="1503"/>
      <c r="Y9" s="3530" t="s">
        <v>530</v>
      </c>
      <c r="Z9" s="1131" t="str">
        <f t="shared" ref="Z9:Z15" si="7">Q9</f>
        <v>用途</v>
      </c>
      <c r="AA9" s="1504">
        <f t="shared" si="3"/>
        <v>1</v>
      </c>
      <c r="AB9" s="1504">
        <f t="shared" si="4"/>
        <v>1</v>
      </c>
      <c r="AC9" s="1504">
        <f t="shared" si="5"/>
        <v>1</v>
      </c>
    </row>
    <row r="10" spans="1:29" s="1290" customFormat="1" ht="27.75" thickBot="1">
      <c r="A10" s="2629"/>
      <c r="B10" s="2634" t="s">
        <v>2730</v>
      </c>
      <c r="C10" s="849" t="s">
        <v>3277</v>
      </c>
      <c r="D10" s="252">
        <v>100</v>
      </c>
      <c r="E10" s="849" t="s">
        <v>3277</v>
      </c>
      <c r="F10" s="252">
        <f>SUMIF(66:66,E10,67:67)-SUMIF(66:66,C10,67:67)+100</f>
        <v>100</v>
      </c>
      <c r="G10" s="850" t="s">
        <v>3277</v>
      </c>
      <c r="H10" s="252">
        <f>SUMIF(66:66,G10,67:67)-SUMIF(66:66,C10,67:67)+100</f>
        <v>100</v>
      </c>
      <c r="I10" s="849" t="s">
        <v>3277</v>
      </c>
      <c r="J10" s="252">
        <f>SUMIF(66:66,I10,67:67)-SUMIF(66:66,C10,67:67)+100</f>
        <v>100</v>
      </c>
      <c r="K10" s="577"/>
      <c r="L10" s="2018"/>
      <c r="M10" s="2057"/>
      <c r="N10" s="2057"/>
      <c r="O10" s="2057"/>
      <c r="P10" s="3625"/>
      <c r="Q10" s="1132" t="str">
        <f t="shared" si="6"/>
        <v>土地使用年限（年）</v>
      </c>
      <c r="R10" s="1501" t="s">
        <v>8</v>
      </c>
      <c r="S10" s="1502">
        <f t="shared" si="0"/>
        <v>100</v>
      </c>
      <c r="T10" s="1501" t="s">
        <v>8</v>
      </c>
      <c r="U10" s="1502">
        <f t="shared" si="1"/>
        <v>100</v>
      </c>
      <c r="V10" s="1501" t="s">
        <v>8</v>
      </c>
      <c r="W10" s="1502">
        <f t="shared" si="2"/>
        <v>100</v>
      </c>
      <c r="X10" s="1503"/>
      <c r="Y10" s="3530"/>
      <c r="Z10" s="1131" t="str">
        <f t="shared" si="7"/>
        <v>土地使用年限（年）</v>
      </c>
      <c r="AA10" s="1504">
        <f t="shared" si="3"/>
        <v>1</v>
      </c>
      <c r="AB10" s="1504">
        <f t="shared" si="4"/>
        <v>1</v>
      </c>
      <c r="AC10" s="1504">
        <f t="shared" si="5"/>
        <v>1</v>
      </c>
    </row>
    <row r="11" spans="1:29" ht="15" hidden="1">
      <c r="A11" s="2630"/>
      <c r="B11" s="2634" t="s">
        <v>2731</v>
      </c>
      <c r="C11" s="526">
        <v>2</v>
      </c>
      <c r="D11" s="252">
        <v>100</v>
      </c>
      <c r="E11" s="526">
        <f>C11</f>
        <v>2</v>
      </c>
      <c r="F11" s="252">
        <f>LOOKUP(E11,69:69,70:70)-LOOKUP(C11,69:69,70:70)+100</f>
        <v>100</v>
      </c>
      <c r="G11" s="527">
        <f>C11</f>
        <v>2</v>
      </c>
      <c r="H11" s="252">
        <f>LOOKUP(G11,69:69,70:70)-LOOKUP(C11,69:69,70:70)+100</f>
        <v>100</v>
      </c>
      <c r="I11" s="526">
        <f>C11</f>
        <v>2</v>
      </c>
      <c r="J11" s="252">
        <f>LOOKUP(I11,69:69,70:70)-LOOKUP(C11,69:69,70:70)+100</f>
        <v>100</v>
      </c>
      <c r="K11" s="577"/>
      <c r="L11" s="2020"/>
      <c r="M11" s="2014"/>
      <c r="N11" s="2014"/>
      <c r="O11" s="2014"/>
      <c r="P11" s="3625"/>
      <c r="Q11" s="1132" t="str">
        <f t="shared" si="6"/>
        <v>容积率</v>
      </c>
      <c r="R11" s="1501" t="s">
        <v>8</v>
      </c>
      <c r="S11" s="1502">
        <f t="shared" si="0"/>
        <v>100</v>
      </c>
      <c r="T11" s="1501" t="s">
        <v>8</v>
      </c>
      <c r="U11" s="1502">
        <f t="shared" si="1"/>
        <v>100</v>
      </c>
      <c r="V11" s="1501" t="s">
        <v>8</v>
      </c>
      <c r="W11" s="1502">
        <f t="shared" si="2"/>
        <v>100</v>
      </c>
      <c r="X11" s="1503"/>
      <c r="Y11" s="3530"/>
      <c r="Z11" s="1131" t="str">
        <f t="shared" si="7"/>
        <v>容积率</v>
      </c>
      <c r="AA11" s="1504">
        <f t="shared" si="3"/>
        <v>1</v>
      </c>
      <c r="AB11" s="1504">
        <f t="shared" si="4"/>
        <v>1</v>
      </c>
      <c r="AC11" s="1504">
        <f t="shared" si="5"/>
        <v>1</v>
      </c>
    </row>
    <row r="12" spans="1:29" s="1201" customFormat="1" ht="15" hidden="1">
      <c r="A12" s="2631"/>
      <c r="B12" s="2637">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625"/>
      <c r="Q12" s="1132">
        <f t="shared" si="6"/>
        <v>111</v>
      </c>
      <c r="R12" s="1501" t="s">
        <v>8</v>
      </c>
      <c r="S12" s="1502">
        <f t="shared" si="0"/>
        <v>100</v>
      </c>
      <c r="T12" s="1501" t="s">
        <v>8</v>
      </c>
      <c r="U12" s="1502">
        <f t="shared" si="1"/>
        <v>100</v>
      </c>
      <c r="V12" s="1501" t="s">
        <v>8</v>
      </c>
      <c r="W12" s="1502">
        <f t="shared" si="2"/>
        <v>100</v>
      </c>
      <c r="X12" s="1503"/>
      <c r="Y12" s="3530"/>
      <c r="Z12" s="1131">
        <f t="shared" si="7"/>
        <v>111</v>
      </c>
      <c r="AA12" s="1504">
        <f>D12/F12</f>
        <v>1</v>
      </c>
      <c r="AB12" s="1504">
        <f>D12/H12</f>
        <v>1</v>
      </c>
      <c r="AC12" s="1504">
        <f>D12/J12</f>
        <v>1</v>
      </c>
    </row>
    <row r="13" spans="1:29" ht="15" hidden="1">
      <c r="A13" s="2631"/>
      <c r="B13" s="2637">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625"/>
      <c r="Q13" s="1132">
        <f t="shared" si="6"/>
        <v>111</v>
      </c>
      <c r="R13" s="1501" t="s">
        <v>8</v>
      </c>
      <c r="S13" s="1502">
        <f t="shared" si="0"/>
        <v>100</v>
      </c>
      <c r="T13" s="1501" t="s">
        <v>8</v>
      </c>
      <c r="U13" s="1502">
        <f t="shared" si="1"/>
        <v>100</v>
      </c>
      <c r="V13" s="1501" t="s">
        <v>8</v>
      </c>
      <c r="W13" s="1502">
        <f t="shared" si="2"/>
        <v>100</v>
      </c>
      <c r="X13" s="1503"/>
      <c r="Y13" s="3530"/>
      <c r="Z13" s="1131">
        <f t="shared" si="7"/>
        <v>111</v>
      </c>
      <c r="AA13" s="1504">
        <f t="shared" si="3"/>
        <v>1</v>
      </c>
      <c r="AB13" s="1504">
        <f t="shared" si="4"/>
        <v>1</v>
      </c>
      <c r="AC13" s="1504">
        <f t="shared" si="5"/>
        <v>1</v>
      </c>
    </row>
    <row r="14" spans="1:29" ht="15.75" hidden="1" thickBot="1">
      <c r="A14" s="2632"/>
      <c r="B14" s="2638">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625"/>
      <c r="Q14" s="1132">
        <f t="shared" si="6"/>
        <v>111</v>
      </c>
      <c r="R14" s="1501" t="s">
        <v>8</v>
      </c>
      <c r="S14" s="1502">
        <f t="shared" si="0"/>
        <v>100</v>
      </c>
      <c r="T14" s="1501" t="s">
        <v>8</v>
      </c>
      <c r="U14" s="1502">
        <f t="shared" si="1"/>
        <v>100</v>
      </c>
      <c r="V14" s="1501" t="s">
        <v>8</v>
      </c>
      <c r="W14" s="1502">
        <f t="shared" si="2"/>
        <v>100</v>
      </c>
      <c r="X14" s="1503"/>
      <c r="Y14" s="3530"/>
      <c r="Z14" s="1131">
        <f t="shared" si="7"/>
        <v>111</v>
      </c>
      <c r="AA14" s="1504">
        <f t="shared" si="3"/>
        <v>1</v>
      </c>
      <c r="AB14" s="1504">
        <f t="shared" si="4"/>
        <v>1</v>
      </c>
      <c r="AC14" s="1504">
        <f t="shared" si="5"/>
        <v>1</v>
      </c>
    </row>
    <row r="15" spans="1:29" ht="28.5">
      <c r="A15" s="2624" t="s">
        <v>2727</v>
      </c>
      <c r="B15" s="540" t="s">
        <v>536</v>
      </c>
      <c r="C15" s="541" t="str">
        <f>估价对象房地状况!C5</f>
        <v>现状差，未来较好</v>
      </c>
      <c r="D15" s="542">
        <v>100</v>
      </c>
      <c r="E15" s="545"/>
      <c r="F15" s="542">
        <f>SUMIF(77:77,E16,78:78)-SUMIF(77:77,C16,78:78)+100</f>
        <v>97</v>
      </c>
      <c r="G15" s="543"/>
      <c r="H15" s="542">
        <f>SUMIF(77:77,G16,78:78)-SUMIF(77:77,C16,78:78)+100</f>
        <v>97</v>
      </c>
      <c r="I15" s="543"/>
      <c r="J15" s="542">
        <f>SUMIF(77:77,I16,78:78)-SUMIF(77:77,C16,78:78)+100</f>
        <v>97</v>
      </c>
      <c r="K15" s="886">
        <v>3</v>
      </c>
      <c r="L15" s="2022"/>
      <c r="M15" s="2014"/>
      <c r="N15" s="2014"/>
      <c r="O15" s="2014"/>
      <c r="P15" s="3659" t="s">
        <v>534</v>
      </c>
      <c r="Q15" s="1505" t="str">
        <f t="shared" si="6"/>
        <v>办公集聚程度</v>
      </c>
      <c r="R15" s="1506" t="s">
        <v>8</v>
      </c>
      <c r="S15" s="1507">
        <f t="shared" si="0"/>
        <v>97</v>
      </c>
      <c r="T15" s="1506" t="s">
        <v>8</v>
      </c>
      <c r="U15" s="1507">
        <f t="shared" si="1"/>
        <v>97</v>
      </c>
      <c r="V15" s="1506" t="s">
        <v>8</v>
      </c>
      <c r="W15" s="1507">
        <f t="shared" si="2"/>
        <v>97</v>
      </c>
      <c r="X15" s="1500"/>
      <c r="Y15" s="3659" t="s">
        <v>534</v>
      </c>
      <c r="Z15" s="1508" t="str">
        <f t="shared" si="7"/>
        <v>办公集聚程度</v>
      </c>
      <c r="AA15" s="1509">
        <f t="shared" si="3"/>
        <v>1.0309278350515463</v>
      </c>
      <c r="AB15" s="1509">
        <f t="shared" si="4"/>
        <v>1.0309278350515463</v>
      </c>
      <c r="AC15" s="1509">
        <f t="shared" si="5"/>
        <v>1.0309278350515463</v>
      </c>
    </row>
    <row r="16" spans="1:29" ht="15">
      <c r="A16" s="525"/>
      <c r="B16" s="546"/>
      <c r="C16" s="547" t="s">
        <v>3229</v>
      </c>
      <c r="D16" s="548"/>
      <c r="E16" s="569" t="s">
        <v>3230</v>
      </c>
      <c r="F16" s="548"/>
      <c r="G16" s="547" t="s">
        <v>3230</v>
      </c>
      <c r="H16" s="552"/>
      <c r="I16" s="569" t="s">
        <v>3230</v>
      </c>
      <c r="J16" s="548"/>
      <c r="K16" s="887"/>
      <c r="L16" s="2022"/>
      <c r="M16" s="2014"/>
      <c r="N16" s="2014"/>
      <c r="O16" s="2014"/>
      <c r="P16" s="3660"/>
      <c r="Q16" s="1505"/>
      <c r="R16" s="1506"/>
      <c r="S16" s="1507"/>
      <c r="T16" s="1506"/>
      <c r="U16" s="1507"/>
      <c r="V16" s="1506"/>
      <c r="W16" s="1507"/>
      <c r="X16" s="1500"/>
      <c r="Y16" s="3660"/>
      <c r="Z16" s="1508"/>
      <c r="AA16" s="1509">
        <v>1</v>
      </c>
      <c r="AB16" s="1509">
        <v>1</v>
      </c>
      <c r="AC16" s="1509">
        <v>1</v>
      </c>
    </row>
    <row r="17" spans="1:29" ht="28.5">
      <c r="A17" s="525"/>
      <c r="B17" s="553" t="s">
        <v>296</v>
      </c>
      <c r="C17" s="566" t="str">
        <f>估价对象房地状况!C6</f>
        <v>现状差，未来较好</v>
      </c>
      <c r="D17" s="552">
        <v>100</v>
      </c>
      <c r="E17" s="557"/>
      <c r="F17" s="552">
        <f>SUMIF(79:79,E18,80:80)-SUMIF(79:79,C18,80:80)+100</f>
        <v>100</v>
      </c>
      <c r="G17" s="555"/>
      <c r="H17" s="558">
        <f>SUMIF(79:79,G18,80:80)-SUMIF(79:79,C18,80:80)+100</f>
        <v>100</v>
      </c>
      <c r="I17" s="555"/>
      <c r="J17" s="558">
        <f>SUMIF(79:79,I18,80:80)-SUMIF(79:79,C18,80:80)+100</f>
        <v>100</v>
      </c>
      <c r="K17" s="886">
        <v>3</v>
      </c>
      <c r="L17" s="2022"/>
      <c r="M17" s="2014"/>
      <c r="N17" s="2014"/>
      <c r="O17" s="2014"/>
      <c r="P17" s="3660"/>
      <c r="Q17" s="1505" t="str">
        <f>B17</f>
        <v>交通便捷度</v>
      </c>
      <c r="R17" s="1506" t="s">
        <v>8</v>
      </c>
      <c r="S17" s="1507">
        <f>F17</f>
        <v>100</v>
      </c>
      <c r="T17" s="1506" t="s">
        <v>8</v>
      </c>
      <c r="U17" s="1507">
        <f>H17</f>
        <v>100</v>
      </c>
      <c r="V17" s="1506" t="s">
        <v>8</v>
      </c>
      <c r="W17" s="1507">
        <f>J17</f>
        <v>100</v>
      </c>
      <c r="X17" s="1500"/>
      <c r="Y17" s="3660"/>
      <c r="Z17" s="1508" t="str">
        <f>Q17</f>
        <v>交通便捷度</v>
      </c>
      <c r="AA17" s="1509">
        <f t="shared" si="3"/>
        <v>1</v>
      </c>
      <c r="AB17" s="1509">
        <f t="shared" si="4"/>
        <v>1</v>
      </c>
      <c r="AC17" s="1509">
        <f t="shared" si="5"/>
        <v>1</v>
      </c>
    </row>
    <row r="18" spans="1:29" ht="15">
      <c r="A18" s="525"/>
      <c r="B18" s="559"/>
      <c r="C18" s="560" t="s">
        <v>3229</v>
      </c>
      <c r="D18" s="552"/>
      <c r="E18" s="562" t="s">
        <v>3229</v>
      </c>
      <c r="F18" s="552"/>
      <c r="G18" s="561" t="s">
        <v>3229</v>
      </c>
      <c r="H18" s="548"/>
      <c r="I18" s="561" t="s">
        <v>3229</v>
      </c>
      <c r="J18" s="548"/>
      <c r="K18" s="887"/>
      <c r="L18" s="2022"/>
      <c r="M18" s="2014"/>
      <c r="N18" s="2014"/>
      <c r="O18" s="2014"/>
      <c r="P18" s="3660"/>
      <c r="Q18" s="1505"/>
      <c r="R18" s="1506"/>
      <c r="S18" s="1507"/>
      <c r="T18" s="1506"/>
      <c r="U18" s="1507"/>
      <c r="V18" s="1506"/>
      <c r="W18" s="1507"/>
      <c r="X18" s="1500"/>
      <c r="Y18" s="3660"/>
      <c r="Z18" s="1508"/>
      <c r="AA18" s="1509">
        <v>1</v>
      </c>
      <c r="AB18" s="1509">
        <v>1</v>
      </c>
      <c r="AC18" s="1509">
        <v>1</v>
      </c>
    </row>
    <row r="19" spans="1:29" ht="15">
      <c r="A19" s="525"/>
      <c r="B19" s="2444" t="s">
        <v>2520</v>
      </c>
      <c r="C19" s="566" t="str">
        <f>估价对象房地状况!C7</f>
        <v>现状差，未来好</v>
      </c>
      <c r="D19" s="558">
        <v>100</v>
      </c>
      <c r="E19" s="565"/>
      <c r="F19" s="558">
        <f>SUMIF(81:81,E20,82:82)-SUMIF(81:81,C20,82:82)+100</f>
        <v>97</v>
      </c>
      <c r="G19" s="563"/>
      <c r="H19" s="552">
        <f>SUMIF(81:81,G20,82:82)-SUMIF(81:81,C20,82:82)+100</f>
        <v>97</v>
      </c>
      <c r="I19" s="563"/>
      <c r="J19" s="552">
        <f>SUMIF(81:81,I20,82:82)-SUMIF(81:81,C20,82:82)+100</f>
        <v>97</v>
      </c>
      <c r="K19" s="886">
        <v>3</v>
      </c>
      <c r="L19" s="2022"/>
      <c r="M19" s="2014"/>
      <c r="N19" s="2014"/>
      <c r="O19" s="2014"/>
      <c r="P19" s="3660"/>
      <c r="Q19" s="1505" t="str">
        <f>B19</f>
        <v>公共配套设施</v>
      </c>
      <c r="R19" s="1506" t="s">
        <v>8</v>
      </c>
      <c r="S19" s="1507">
        <f>F19</f>
        <v>97</v>
      </c>
      <c r="T19" s="1506" t="s">
        <v>8</v>
      </c>
      <c r="U19" s="1507">
        <f>H19</f>
        <v>97</v>
      </c>
      <c r="V19" s="1506" t="s">
        <v>8</v>
      </c>
      <c r="W19" s="1507">
        <f>J19</f>
        <v>97</v>
      </c>
      <c r="X19" s="1500"/>
      <c r="Y19" s="3660"/>
      <c r="Z19" s="1508" t="str">
        <f>Q19</f>
        <v>公共配套设施</v>
      </c>
      <c r="AA19" s="1509">
        <f t="shared" si="3"/>
        <v>1.0309278350515463</v>
      </c>
      <c r="AB19" s="1509">
        <f t="shared" si="4"/>
        <v>1.0309278350515463</v>
      </c>
      <c r="AC19" s="1509">
        <f t="shared" si="5"/>
        <v>1.0309278350515463</v>
      </c>
    </row>
    <row r="20" spans="1:29" ht="15">
      <c r="A20" s="525"/>
      <c r="B20" s="559"/>
      <c r="C20" s="547" t="s">
        <v>3227</v>
      </c>
      <c r="D20" s="548"/>
      <c r="E20" s="551" t="s">
        <v>3229</v>
      </c>
      <c r="F20" s="548"/>
      <c r="G20" s="549" t="s">
        <v>3229</v>
      </c>
      <c r="H20" s="548"/>
      <c r="I20" s="549" t="s">
        <v>3229</v>
      </c>
      <c r="J20" s="548"/>
      <c r="K20" s="887"/>
      <c r="L20" s="2022"/>
      <c r="M20" s="2014"/>
      <c r="N20" s="2014"/>
      <c r="O20" s="2014"/>
      <c r="P20" s="3660"/>
      <c r="Q20" s="1505"/>
      <c r="R20" s="1506"/>
      <c r="S20" s="1507"/>
      <c r="T20" s="1506"/>
      <c r="U20" s="1507"/>
      <c r="V20" s="1506"/>
      <c r="W20" s="1507"/>
      <c r="X20" s="1500"/>
      <c r="Y20" s="3660"/>
      <c r="Z20" s="1508"/>
      <c r="AA20" s="1509">
        <v>1</v>
      </c>
      <c r="AB20" s="1509">
        <v>1</v>
      </c>
      <c r="AC20" s="1509">
        <v>1</v>
      </c>
    </row>
    <row r="21" spans="1:29" ht="21.75" customHeight="1">
      <c r="A21" s="525"/>
      <c r="B21" s="2432" t="s">
        <v>2532</v>
      </c>
      <c r="C21" s="566" t="str">
        <f>估价对象房地状况!C8</f>
        <v>七桶</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660"/>
      <c r="Q21" s="2426" t="str">
        <f>B21</f>
        <v>基础设施水平</v>
      </c>
      <c r="R21" s="1506" t="s">
        <v>8</v>
      </c>
      <c r="S21" s="1507">
        <f>F21</f>
        <v>100</v>
      </c>
      <c r="T21" s="1506" t="s">
        <v>8</v>
      </c>
      <c r="U21" s="1507">
        <f>H21</f>
        <v>100</v>
      </c>
      <c r="V21" s="1506" t="s">
        <v>8</v>
      </c>
      <c r="W21" s="1507">
        <f>J21</f>
        <v>100</v>
      </c>
      <c r="X21" s="2428"/>
      <c r="Y21" s="3660"/>
      <c r="Z21" s="2427" t="str">
        <f>Q21</f>
        <v>基础设施水平</v>
      </c>
      <c r="AA21" s="1509">
        <f t="shared" ref="AA21" si="8">D21/F21</f>
        <v>1</v>
      </c>
      <c r="AB21" s="1509">
        <f t="shared" ref="AB21" si="9">D21/H21</f>
        <v>1</v>
      </c>
      <c r="AC21" s="1509">
        <f t="shared" ref="AC21" si="10">D21/J21</f>
        <v>1</v>
      </c>
    </row>
    <row r="22" spans="1:29" ht="15">
      <c r="A22" s="525"/>
      <c r="B22" s="571"/>
      <c r="C22" s="560" t="s">
        <v>3228</v>
      </c>
      <c r="D22" s="548"/>
      <c r="E22" s="569" t="s">
        <v>3228</v>
      </c>
      <c r="F22" s="548"/>
      <c r="G22" s="547" t="s">
        <v>3228</v>
      </c>
      <c r="H22" s="548"/>
      <c r="I22" s="547" t="s">
        <v>3228</v>
      </c>
      <c r="J22" s="548"/>
      <c r="K22" s="2443"/>
      <c r="L22" s="2022"/>
      <c r="M22" s="2014"/>
      <c r="N22" s="2014"/>
      <c r="O22" s="2014"/>
      <c r="P22" s="3660"/>
      <c r="Q22" s="2426"/>
      <c r="R22" s="1506"/>
      <c r="S22" s="1507"/>
      <c r="T22" s="1506"/>
      <c r="U22" s="1507"/>
      <c r="V22" s="1506"/>
      <c r="W22" s="1507"/>
      <c r="X22" s="2428"/>
      <c r="Y22" s="3660"/>
      <c r="Z22" s="2427"/>
      <c r="AA22" s="1509">
        <v>1</v>
      </c>
      <c r="AB22" s="1509">
        <v>1</v>
      </c>
      <c r="AC22" s="1509">
        <v>1</v>
      </c>
    </row>
    <row r="23" spans="1:29" ht="30.75" customHeight="1">
      <c r="A23" s="525"/>
      <c r="B23" s="553" t="s">
        <v>772</v>
      </c>
      <c r="C23" s="566" t="str">
        <f>估价对象房地状况!C9</f>
        <v>现状一般，未来较好</v>
      </c>
      <c r="D23" s="552">
        <v>100</v>
      </c>
      <c r="E23" s="557"/>
      <c r="F23" s="552">
        <f>SUMIF(85:85,E24,86:86)-SUMIF(85:85,C24,86:86)+100</f>
        <v>97</v>
      </c>
      <c r="G23" s="555"/>
      <c r="H23" s="552">
        <f>SUMIF(85:85,G24,86:86)-SUMIF(85:85,C24,86:86)+100</f>
        <v>97</v>
      </c>
      <c r="I23" s="555"/>
      <c r="J23" s="552">
        <f>SUMIF(85:85,I24,86:86)-SUMIF(85:85,C24,86:86)+100</f>
        <v>97</v>
      </c>
      <c r="K23" s="886">
        <v>3</v>
      </c>
      <c r="L23" s="2022"/>
      <c r="M23" s="2014"/>
      <c r="N23" s="2014"/>
      <c r="O23" s="2014"/>
      <c r="P23" s="3660"/>
      <c r="Q23" s="1505" t="str">
        <f>B23</f>
        <v>环境质量</v>
      </c>
      <c r="R23" s="1506" t="s">
        <v>8</v>
      </c>
      <c r="S23" s="1507">
        <f>F23</f>
        <v>97</v>
      </c>
      <c r="T23" s="1506" t="s">
        <v>8</v>
      </c>
      <c r="U23" s="1507">
        <f>H23</f>
        <v>97</v>
      </c>
      <c r="V23" s="1506" t="s">
        <v>8</v>
      </c>
      <c r="W23" s="1507">
        <f>J23</f>
        <v>97</v>
      </c>
      <c r="X23" s="1500"/>
      <c r="Y23" s="3660"/>
      <c r="Z23" s="1508" t="str">
        <f>Q23</f>
        <v>环境质量</v>
      </c>
      <c r="AA23" s="1509">
        <f t="shared" si="3"/>
        <v>1.0309278350515463</v>
      </c>
      <c r="AB23" s="1509">
        <f t="shared" si="4"/>
        <v>1.0309278350515463</v>
      </c>
      <c r="AC23" s="1509">
        <f t="shared" si="5"/>
        <v>1.0309278350515463</v>
      </c>
    </row>
    <row r="24" spans="1:29" ht="15.75" thickBot="1">
      <c r="A24" s="525"/>
      <c r="B24" s="571"/>
      <c r="C24" s="547" t="s">
        <v>3229</v>
      </c>
      <c r="D24" s="548"/>
      <c r="E24" s="551" t="s">
        <v>3230</v>
      </c>
      <c r="F24" s="548"/>
      <c r="G24" s="549" t="s">
        <v>3230</v>
      </c>
      <c r="H24" s="548"/>
      <c r="I24" s="549" t="s">
        <v>3230</v>
      </c>
      <c r="J24" s="548"/>
      <c r="K24" s="887"/>
      <c r="L24" s="2022"/>
      <c r="M24" s="2014"/>
      <c r="N24" s="2014"/>
      <c r="O24" s="2014"/>
      <c r="P24" s="3660"/>
      <c r="Q24" s="1505"/>
      <c r="R24" s="1506"/>
      <c r="S24" s="1507"/>
      <c r="T24" s="1506"/>
      <c r="U24" s="1507"/>
      <c r="V24" s="1506"/>
      <c r="W24" s="1507"/>
      <c r="X24" s="1500"/>
      <c r="Y24" s="3660"/>
      <c r="Z24" s="1508"/>
      <c r="AA24" s="1509">
        <v>1</v>
      </c>
      <c r="AB24" s="1509">
        <v>1</v>
      </c>
      <c r="AC24" s="1509">
        <v>1</v>
      </c>
    </row>
    <row r="25" spans="1:29" ht="27" hidden="1">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660"/>
      <c r="Q25" s="1505" t="str">
        <f>B25</f>
        <v>毗邻道路的类型与等级</v>
      </c>
      <c r="R25" s="1506" t="s">
        <v>8</v>
      </c>
      <c r="S25" s="1507">
        <f>F25</f>
        <v>100</v>
      </c>
      <c r="T25" s="1506" t="s">
        <v>8</v>
      </c>
      <c r="U25" s="1507">
        <f>H25</f>
        <v>100</v>
      </c>
      <c r="V25" s="1506" t="s">
        <v>8</v>
      </c>
      <c r="W25" s="1507">
        <f>J25</f>
        <v>100</v>
      </c>
      <c r="X25" s="1500"/>
      <c r="Y25" s="3660"/>
      <c r="Z25" s="1508" t="str">
        <f>Q25</f>
        <v>毗邻道路的类型与等级</v>
      </c>
      <c r="AA25" s="1509">
        <f t="shared" si="3"/>
        <v>1</v>
      </c>
      <c r="AB25" s="1509">
        <f t="shared" si="4"/>
        <v>1</v>
      </c>
      <c r="AC25" s="1509">
        <f t="shared" si="5"/>
        <v>1</v>
      </c>
    </row>
    <row r="26" spans="1:29" ht="15" hidden="1">
      <c r="A26" s="508"/>
      <c r="B26" s="559"/>
      <c r="C26" s="573"/>
      <c r="D26" s="533"/>
      <c r="E26" s="576"/>
      <c r="F26" s="533"/>
      <c r="G26" s="573"/>
      <c r="H26" s="533"/>
      <c r="I26" s="576"/>
      <c r="J26" s="533"/>
      <c r="K26" s="887"/>
      <c r="L26" s="2022"/>
      <c r="M26" s="2014"/>
      <c r="N26" s="2014"/>
      <c r="O26" s="2014"/>
      <c r="P26" s="3660"/>
      <c r="Q26" s="1505"/>
      <c r="R26" s="1506"/>
      <c r="S26" s="1507"/>
      <c r="T26" s="1506"/>
      <c r="U26" s="1507"/>
      <c r="V26" s="1506"/>
      <c r="W26" s="1507"/>
      <c r="X26" s="1500"/>
      <c r="Y26" s="3660"/>
      <c r="Z26" s="1508"/>
      <c r="AA26" s="1509">
        <v>1</v>
      </c>
      <c r="AB26" s="1509">
        <v>1</v>
      </c>
      <c r="AC26" s="1509">
        <v>1</v>
      </c>
    </row>
    <row r="27" spans="1:29" ht="15" hidden="1">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660"/>
      <c r="Q27" s="1505" t="str">
        <f t="shared" ref="Q27:Q47" si="11">B27</f>
        <v>楼层</v>
      </c>
      <c r="R27" s="1506" t="s">
        <v>8</v>
      </c>
      <c r="S27" s="1507">
        <f>F27</f>
        <v>100</v>
      </c>
      <c r="T27" s="1506" t="s">
        <v>8</v>
      </c>
      <c r="U27" s="1507">
        <f>H27</f>
        <v>100</v>
      </c>
      <c r="V27" s="1506" t="s">
        <v>8</v>
      </c>
      <c r="W27" s="1507">
        <f>J27</f>
        <v>100</v>
      </c>
      <c r="X27" s="1500"/>
      <c r="Y27" s="3660"/>
      <c r="Z27" s="1508" t="str">
        <f>Q27</f>
        <v>楼层</v>
      </c>
      <c r="AA27" s="1509">
        <f t="shared" si="3"/>
        <v>1</v>
      </c>
      <c r="AB27" s="1509">
        <f t="shared" si="4"/>
        <v>1</v>
      </c>
      <c r="AC27" s="1509">
        <f t="shared" si="5"/>
        <v>1</v>
      </c>
    </row>
    <row r="28" spans="1:29" s="1201" customFormat="1" ht="15" hidden="1">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660"/>
      <c r="Q28" s="1132" t="str">
        <f t="shared" si="11"/>
        <v>朝向</v>
      </c>
      <c r="R28" s="1501" t="s">
        <v>8</v>
      </c>
      <c r="S28" s="1502">
        <f>F28</f>
        <v>100</v>
      </c>
      <c r="T28" s="1501" t="s">
        <v>8</v>
      </c>
      <c r="U28" s="1502">
        <f>H28</f>
        <v>100</v>
      </c>
      <c r="V28" s="1501" t="s">
        <v>8</v>
      </c>
      <c r="W28" s="1502">
        <f>J28</f>
        <v>100</v>
      </c>
      <c r="X28" s="1503"/>
      <c r="Y28" s="3660"/>
      <c r="Z28" s="1131" t="str">
        <f>Q28</f>
        <v>朝向</v>
      </c>
      <c r="AA28" s="1509">
        <f>D28/F28</f>
        <v>1</v>
      </c>
      <c r="AB28" s="1509">
        <f>D28/H28</f>
        <v>1</v>
      </c>
      <c r="AC28" s="1509">
        <f>D28/J28</f>
        <v>1</v>
      </c>
    </row>
    <row r="29" spans="1:29" ht="15" hidden="1">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660"/>
      <c r="Q29" s="1505">
        <f t="shared" si="11"/>
        <v>111</v>
      </c>
      <c r="R29" s="1506" t="s">
        <v>8</v>
      </c>
      <c r="S29" s="1507">
        <f t="shared" ref="S29:S47" si="12">F29</f>
        <v>100</v>
      </c>
      <c r="T29" s="1506" t="s">
        <v>8</v>
      </c>
      <c r="U29" s="1507">
        <f t="shared" ref="U29:U47" si="13">H29</f>
        <v>100</v>
      </c>
      <c r="V29" s="1506" t="s">
        <v>8</v>
      </c>
      <c r="W29" s="1507">
        <f t="shared" ref="W29:W47" si="14">J29</f>
        <v>100</v>
      </c>
      <c r="X29" s="1500"/>
      <c r="Y29" s="3660"/>
      <c r="Z29" s="1508">
        <f t="shared" ref="Z29:Z47" si="15">Q29</f>
        <v>111</v>
      </c>
      <c r="AA29" s="1509">
        <f t="shared" si="3"/>
        <v>1</v>
      </c>
      <c r="AB29" s="1509">
        <f t="shared" si="4"/>
        <v>1</v>
      </c>
      <c r="AC29" s="1509">
        <f t="shared" si="5"/>
        <v>1</v>
      </c>
    </row>
    <row r="30" spans="1:29" ht="15" hidden="1">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660"/>
      <c r="Q30" s="1505">
        <f t="shared" si="11"/>
        <v>111</v>
      </c>
      <c r="R30" s="1506" t="s">
        <v>8</v>
      </c>
      <c r="S30" s="1507">
        <f t="shared" si="12"/>
        <v>100</v>
      </c>
      <c r="T30" s="1506" t="s">
        <v>8</v>
      </c>
      <c r="U30" s="1507">
        <f t="shared" si="13"/>
        <v>100</v>
      </c>
      <c r="V30" s="1506" t="s">
        <v>8</v>
      </c>
      <c r="W30" s="1507">
        <f t="shared" si="14"/>
        <v>100</v>
      </c>
      <c r="X30" s="1500"/>
      <c r="Y30" s="3660"/>
      <c r="Z30" s="1508">
        <f t="shared" si="15"/>
        <v>111</v>
      </c>
      <c r="AA30" s="1509">
        <f t="shared" si="3"/>
        <v>1</v>
      </c>
      <c r="AB30" s="1509">
        <f t="shared" si="4"/>
        <v>1</v>
      </c>
      <c r="AC30" s="1509">
        <f t="shared" si="5"/>
        <v>1</v>
      </c>
    </row>
    <row r="31" spans="1:29" ht="15" hidden="1">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660"/>
      <c r="Q31" s="1505">
        <f t="shared" si="11"/>
        <v>111</v>
      </c>
      <c r="R31" s="1506" t="s">
        <v>8</v>
      </c>
      <c r="S31" s="1507">
        <f t="shared" si="12"/>
        <v>100</v>
      </c>
      <c r="T31" s="1506" t="s">
        <v>8</v>
      </c>
      <c r="U31" s="1507">
        <f t="shared" si="13"/>
        <v>100</v>
      </c>
      <c r="V31" s="1506" t="s">
        <v>8</v>
      </c>
      <c r="W31" s="1507">
        <f t="shared" si="14"/>
        <v>100</v>
      </c>
      <c r="X31" s="1500"/>
      <c r="Y31" s="3660"/>
      <c r="Z31" s="1508">
        <f t="shared" si="15"/>
        <v>111</v>
      </c>
      <c r="AA31" s="1509">
        <f t="shared" si="3"/>
        <v>1</v>
      </c>
      <c r="AB31" s="1509">
        <f t="shared" si="4"/>
        <v>1</v>
      </c>
      <c r="AC31" s="1509">
        <f t="shared" si="5"/>
        <v>1</v>
      </c>
    </row>
    <row r="32" spans="1:29" ht="15.75" hidden="1"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660"/>
      <c r="Q32" s="1505">
        <f t="shared" si="11"/>
        <v>111</v>
      </c>
      <c r="R32" s="1506" t="s">
        <v>8</v>
      </c>
      <c r="S32" s="1507">
        <f t="shared" si="12"/>
        <v>100</v>
      </c>
      <c r="T32" s="1506" t="s">
        <v>8</v>
      </c>
      <c r="U32" s="1507">
        <f t="shared" si="13"/>
        <v>100</v>
      </c>
      <c r="V32" s="1506" t="s">
        <v>8</v>
      </c>
      <c r="W32" s="1507">
        <f t="shared" si="14"/>
        <v>100</v>
      </c>
      <c r="X32" s="1500"/>
      <c r="Y32" s="3660"/>
      <c r="Z32" s="1508">
        <f t="shared" si="15"/>
        <v>111</v>
      </c>
      <c r="AA32" s="1509">
        <f t="shared" si="3"/>
        <v>1</v>
      </c>
      <c r="AB32" s="1509">
        <f t="shared" si="4"/>
        <v>1</v>
      </c>
      <c r="AC32" s="1509">
        <f t="shared" si="5"/>
        <v>1</v>
      </c>
    </row>
    <row r="33" spans="1:29" ht="15">
      <c r="A33" s="2621" t="s">
        <v>2728</v>
      </c>
      <c r="B33" s="169" t="s">
        <v>774</v>
      </c>
      <c r="C33" s="904" t="s">
        <v>3278</v>
      </c>
      <c r="D33" s="590">
        <v>100</v>
      </c>
      <c r="E33" s="904" t="s">
        <v>3278</v>
      </c>
      <c r="F33" s="568">
        <f>SUMIF(101:101,E33,102:102)-SUMIF(101:101,C33,102:102)+100</f>
        <v>100</v>
      </c>
      <c r="G33" s="904" t="s">
        <v>3278</v>
      </c>
      <c r="H33" s="533">
        <f>SUMIF(101:101,G33,102:102)-SUMIF(101:101,C33,102:102)+100</f>
        <v>100</v>
      </c>
      <c r="I33" s="904" t="s">
        <v>3278</v>
      </c>
      <c r="J33" s="590">
        <f>SUMIF(101:101,I33,102:102)-SUMIF(101:101,C33,102:102)+100</f>
        <v>100</v>
      </c>
      <c r="K33" s="577"/>
      <c r="L33" s="2022"/>
      <c r="M33" s="2014"/>
      <c r="N33" s="2014"/>
      <c r="O33" s="2014"/>
      <c r="P33" s="3661" t="s">
        <v>544</v>
      </c>
      <c r="Q33" s="1505" t="str">
        <f t="shared" si="11"/>
        <v>建筑类型</v>
      </c>
      <c r="R33" s="1506" t="s">
        <v>8</v>
      </c>
      <c r="S33" s="1507">
        <f t="shared" si="12"/>
        <v>100</v>
      </c>
      <c r="T33" s="1506" t="s">
        <v>8</v>
      </c>
      <c r="U33" s="1507">
        <f t="shared" si="13"/>
        <v>100</v>
      </c>
      <c r="V33" s="1506" t="s">
        <v>8</v>
      </c>
      <c r="W33" s="1507">
        <f t="shared" si="14"/>
        <v>100</v>
      </c>
      <c r="X33" s="1500"/>
      <c r="Y33" s="3662" t="s">
        <v>544</v>
      </c>
      <c r="Z33" s="1508" t="str">
        <f t="shared" si="15"/>
        <v>建筑类型</v>
      </c>
      <c r="AA33" s="1509">
        <f t="shared" si="3"/>
        <v>1</v>
      </c>
      <c r="AB33" s="1509">
        <f t="shared" si="4"/>
        <v>1</v>
      </c>
      <c r="AC33" s="1509">
        <f t="shared" si="5"/>
        <v>1</v>
      </c>
    </row>
    <row r="34" spans="1:29" s="1291" customFormat="1" ht="15" hidden="1">
      <c r="A34" s="596"/>
      <c r="B34" s="520" t="s">
        <v>720</v>
      </c>
      <c r="C34" s="868">
        <v>1</v>
      </c>
      <c r="D34" s="252">
        <v>100</v>
      </c>
      <c r="E34" s="527">
        <f>C34</f>
        <v>1</v>
      </c>
      <c r="F34" s="851">
        <f>LOOKUP(E34,104:104,105:105)-LOOKUP(C34,104:104,105:105)+100</f>
        <v>100</v>
      </c>
      <c r="G34" s="526">
        <f>C34</f>
        <v>1</v>
      </c>
      <c r="H34" s="252">
        <f>LOOKUP(G34,104:104,105:105)-LOOKUP(C34,104:104,105:105)+100</f>
        <v>100</v>
      </c>
      <c r="I34" s="526">
        <f>C34</f>
        <v>1</v>
      </c>
      <c r="J34" s="252">
        <f>LOOKUP(I34,104:104,105:105)-LOOKUP(C34,104:104,105:105)+100</f>
        <v>100</v>
      </c>
      <c r="K34" s="574"/>
      <c r="L34" s="2020"/>
      <c r="M34" s="2050"/>
      <c r="N34" s="2050"/>
      <c r="O34" s="2050"/>
      <c r="P34" s="3662"/>
      <c r="Q34" s="1534" t="str">
        <f t="shared" si="11"/>
        <v>项目建筑规模</v>
      </c>
      <c r="R34" s="1510" t="s">
        <v>8</v>
      </c>
      <c r="S34" s="1511">
        <f t="shared" si="12"/>
        <v>100</v>
      </c>
      <c r="T34" s="1510" t="s">
        <v>8</v>
      </c>
      <c r="U34" s="1511">
        <f t="shared" si="13"/>
        <v>100</v>
      </c>
      <c r="V34" s="1510" t="s">
        <v>8</v>
      </c>
      <c r="W34" s="1511">
        <f t="shared" si="14"/>
        <v>100</v>
      </c>
      <c r="X34" s="1512"/>
      <c r="Y34" s="3662"/>
      <c r="Z34" s="1513" t="str">
        <f t="shared" si="15"/>
        <v>项目建筑规模</v>
      </c>
      <c r="AA34" s="1509">
        <f t="shared" si="3"/>
        <v>1</v>
      </c>
      <c r="AB34" s="1509">
        <f t="shared" si="4"/>
        <v>1</v>
      </c>
      <c r="AC34" s="1509">
        <f t="shared" si="5"/>
        <v>1</v>
      </c>
    </row>
    <row r="35" spans="1:29" ht="15">
      <c r="A35" s="587"/>
      <c r="B35" s="520" t="s">
        <v>721</v>
      </c>
      <c r="C35" s="567" t="s">
        <v>3280</v>
      </c>
      <c r="D35" s="533">
        <v>100</v>
      </c>
      <c r="E35" s="567" t="s">
        <v>3280</v>
      </c>
      <c r="F35" s="568">
        <f>SUMIF(106:106,E35,107:107)-SUMIF(106:106,C35,107:107)+100</f>
        <v>100</v>
      </c>
      <c r="G35" s="567" t="s">
        <v>3280</v>
      </c>
      <c r="H35" s="533">
        <f>SUMIF(106:106,G35,107:107)-SUMIF(106:106,C35,107:107)+100</f>
        <v>100</v>
      </c>
      <c r="I35" s="567" t="s">
        <v>3280</v>
      </c>
      <c r="J35" s="533">
        <f>SUMIF(106:106,I35,107:107)-SUMIF(106:106,C35,107:107)+100</f>
        <v>100</v>
      </c>
      <c r="K35" s="577"/>
      <c r="L35" s="2022"/>
      <c r="M35" s="2014"/>
      <c r="N35" s="2014"/>
      <c r="O35" s="2014"/>
      <c r="P35" s="3662"/>
      <c r="Q35" s="1505" t="str">
        <f t="shared" si="11"/>
        <v>建筑结构</v>
      </c>
      <c r="R35" s="1506" t="s">
        <v>8</v>
      </c>
      <c r="S35" s="1507">
        <f t="shared" si="12"/>
        <v>100</v>
      </c>
      <c r="T35" s="1506" t="s">
        <v>8</v>
      </c>
      <c r="U35" s="1507">
        <f t="shared" si="13"/>
        <v>100</v>
      </c>
      <c r="V35" s="1506" t="s">
        <v>8</v>
      </c>
      <c r="W35" s="1507">
        <f t="shared" si="14"/>
        <v>100</v>
      </c>
      <c r="X35" s="1500"/>
      <c r="Y35" s="3662"/>
      <c r="Z35" s="1508" t="str">
        <f t="shared" si="15"/>
        <v>建筑结构</v>
      </c>
      <c r="AA35" s="1509">
        <f t="shared" si="3"/>
        <v>1</v>
      </c>
      <c r="AB35" s="1509">
        <f t="shared" si="4"/>
        <v>1</v>
      </c>
      <c r="AC35" s="1509">
        <f t="shared" si="5"/>
        <v>1</v>
      </c>
    </row>
    <row r="36" spans="1:29" ht="15" hidden="1">
      <c r="A36" s="587"/>
      <c r="B36" s="520" t="s">
        <v>757</v>
      </c>
      <c r="C36" s="567" t="s">
        <v>3233</v>
      </c>
      <c r="D36" s="533">
        <v>100</v>
      </c>
      <c r="E36" s="567" t="s">
        <v>3233</v>
      </c>
      <c r="F36" s="568">
        <f>SUMIF(108:108,E36,109:109)-SUMIF(108:108,C36,109:109)+100</f>
        <v>100</v>
      </c>
      <c r="G36" s="567" t="s">
        <v>3233</v>
      </c>
      <c r="H36" s="533">
        <f>SUMIF(108:108,G36,109:109)-SUMIF(108:108,C36,109:109)+100</f>
        <v>100</v>
      </c>
      <c r="I36" s="567" t="s">
        <v>3233</v>
      </c>
      <c r="J36" s="533">
        <f>SUMIF(108:108,I36,109:109)-SUMIF(108:108,C36,109:109)+100</f>
        <v>100</v>
      </c>
      <c r="K36" s="577">
        <v>5</v>
      </c>
      <c r="L36" s="2022"/>
      <c r="M36" s="2014"/>
      <c r="N36" s="2014"/>
      <c r="O36" s="2014"/>
      <c r="P36" s="3662"/>
      <c r="Q36" s="1505" t="str">
        <f t="shared" si="11"/>
        <v>公共部分装修</v>
      </c>
      <c r="R36" s="1506" t="s">
        <v>8</v>
      </c>
      <c r="S36" s="1507">
        <f t="shared" si="12"/>
        <v>100</v>
      </c>
      <c r="T36" s="1506" t="s">
        <v>8</v>
      </c>
      <c r="U36" s="1507">
        <f t="shared" si="13"/>
        <v>100</v>
      </c>
      <c r="V36" s="1506" t="s">
        <v>8</v>
      </c>
      <c r="W36" s="1507">
        <f t="shared" si="14"/>
        <v>100</v>
      </c>
      <c r="X36" s="1500"/>
      <c r="Y36" s="3662"/>
      <c r="Z36" s="1508" t="str">
        <f t="shared" si="15"/>
        <v>公共部分装修</v>
      </c>
      <c r="AA36" s="1509">
        <f t="shared" si="3"/>
        <v>1</v>
      </c>
      <c r="AB36" s="1509">
        <f t="shared" si="4"/>
        <v>1</v>
      </c>
      <c r="AC36" s="1509">
        <f t="shared" si="5"/>
        <v>1</v>
      </c>
    </row>
    <row r="37" spans="1:29" ht="14.25" customHeight="1">
      <c r="A37" s="587"/>
      <c r="B37" s="520" t="s">
        <v>758</v>
      </c>
      <c r="C37" s="871">
        <f>'不动产比较法-住宅'!C37</f>
        <v>1</v>
      </c>
      <c r="D37" s="533">
        <v>100</v>
      </c>
      <c r="E37" s="871">
        <v>0.75</v>
      </c>
      <c r="F37" s="568">
        <f>LOOKUP(E37,111:111,112:112)-LOOKUP(C37,111:111,112:112)+100</f>
        <v>96</v>
      </c>
      <c r="G37" s="871">
        <f>E37</f>
        <v>0.75</v>
      </c>
      <c r="H37" s="568">
        <f>LOOKUP(G37,111:111,112:112)-LOOKUP(C37,111:111,112:112)+100</f>
        <v>96</v>
      </c>
      <c r="I37" s="871">
        <f>E37</f>
        <v>0.75</v>
      </c>
      <c r="J37" s="533">
        <f>LOOKUP(I37,111:111,112:112)-LOOKUP(C37,111:111,112:112)+100</f>
        <v>96</v>
      </c>
      <c r="K37" s="577">
        <v>2</v>
      </c>
      <c r="L37" s="2022"/>
      <c r="M37" s="2014"/>
      <c r="N37" s="2014"/>
      <c r="O37" s="2014"/>
      <c r="P37" s="3662"/>
      <c r="Q37" s="1505" t="str">
        <f t="shared" si="11"/>
        <v>成新度</v>
      </c>
      <c r="R37" s="1506" t="s">
        <v>8</v>
      </c>
      <c r="S37" s="1507">
        <f t="shared" si="12"/>
        <v>96</v>
      </c>
      <c r="T37" s="1506" t="s">
        <v>8</v>
      </c>
      <c r="U37" s="1507">
        <f t="shared" si="13"/>
        <v>96</v>
      </c>
      <c r="V37" s="1506" t="s">
        <v>8</v>
      </c>
      <c r="W37" s="1507">
        <f t="shared" si="14"/>
        <v>96</v>
      </c>
      <c r="X37" s="1500"/>
      <c r="Y37" s="3662"/>
      <c r="Z37" s="1508" t="str">
        <f t="shared" si="15"/>
        <v>成新度</v>
      </c>
      <c r="AA37" s="1509">
        <f t="shared" si="3"/>
        <v>1.0416666666666667</v>
      </c>
      <c r="AB37" s="1509">
        <f t="shared" si="4"/>
        <v>1.0416666666666667</v>
      </c>
      <c r="AC37" s="1509">
        <f t="shared" si="5"/>
        <v>1.0416666666666667</v>
      </c>
    </row>
    <row r="38" spans="1:29" s="1201" customFormat="1" ht="15" hidden="1">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662"/>
      <c r="Q38" s="1132" t="str">
        <f t="shared" si="11"/>
        <v>写字楼等级</v>
      </c>
      <c r="R38" s="1501" t="s">
        <v>8</v>
      </c>
      <c r="S38" s="1502">
        <f t="shared" si="12"/>
        <v>100</v>
      </c>
      <c r="T38" s="1501" t="s">
        <v>8</v>
      </c>
      <c r="U38" s="1502">
        <f t="shared" si="13"/>
        <v>100</v>
      </c>
      <c r="V38" s="1501" t="s">
        <v>8</v>
      </c>
      <c r="W38" s="1502">
        <f t="shared" si="14"/>
        <v>100</v>
      </c>
      <c r="X38" s="1503"/>
      <c r="Y38" s="3662"/>
      <c r="Z38" s="1131" t="str">
        <f t="shared" si="15"/>
        <v>写字楼等级</v>
      </c>
      <c r="AA38" s="1504">
        <f t="shared" si="3"/>
        <v>1</v>
      </c>
      <c r="AB38" s="1504">
        <f t="shared" si="4"/>
        <v>1</v>
      </c>
      <c r="AC38" s="1504">
        <f t="shared" si="5"/>
        <v>1</v>
      </c>
    </row>
    <row r="39" spans="1:29" ht="15" hidden="1">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662" t="s">
        <v>544</v>
      </c>
      <c r="Q39" s="1505" t="str">
        <f t="shared" si="11"/>
        <v>物业管理</v>
      </c>
      <c r="R39" s="1506" t="s">
        <v>8</v>
      </c>
      <c r="S39" s="1507">
        <f t="shared" si="12"/>
        <v>100</v>
      </c>
      <c r="T39" s="1506" t="s">
        <v>8</v>
      </c>
      <c r="U39" s="1507">
        <f t="shared" si="13"/>
        <v>100</v>
      </c>
      <c r="V39" s="1506" t="s">
        <v>8</v>
      </c>
      <c r="W39" s="1507">
        <f t="shared" si="14"/>
        <v>100</v>
      </c>
      <c r="X39" s="1500"/>
      <c r="Y39" s="3662" t="s">
        <v>544</v>
      </c>
      <c r="Z39" s="1508" t="str">
        <f t="shared" si="15"/>
        <v>物业管理</v>
      </c>
      <c r="AA39" s="1509">
        <f t="shared" si="3"/>
        <v>1</v>
      </c>
      <c r="AB39" s="1509">
        <f t="shared" si="4"/>
        <v>1</v>
      </c>
      <c r="AC39" s="1509">
        <f t="shared" si="5"/>
        <v>1</v>
      </c>
    </row>
    <row r="40" spans="1:29" ht="15" hidden="1">
      <c r="A40" s="587"/>
      <c r="B40" s="1807" t="s">
        <v>2539</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662"/>
      <c r="Q40" s="1505" t="str">
        <f t="shared" si="11"/>
        <v>市政基础设施</v>
      </c>
      <c r="R40" s="1506" t="s">
        <v>8</v>
      </c>
      <c r="S40" s="1507">
        <f t="shared" si="12"/>
        <v>100</v>
      </c>
      <c r="T40" s="1506" t="s">
        <v>8</v>
      </c>
      <c r="U40" s="1507">
        <f t="shared" si="13"/>
        <v>100</v>
      </c>
      <c r="V40" s="1506" t="s">
        <v>8</v>
      </c>
      <c r="W40" s="1507">
        <f t="shared" si="14"/>
        <v>100</v>
      </c>
      <c r="X40" s="1500"/>
      <c r="Y40" s="3662"/>
      <c r="Z40" s="1508" t="str">
        <f t="shared" si="15"/>
        <v>市政基础设施</v>
      </c>
      <c r="AA40" s="1509">
        <f t="shared" si="3"/>
        <v>1</v>
      </c>
      <c r="AB40" s="1509">
        <f t="shared" si="4"/>
        <v>1</v>
      </c>
      <c r="AC40" s="1509">
        <f t="shared" si="5"/>
        <v>1</v>
      </c>
    </row>
    <row r="41" spans="1:29" ht="15">
      <c r="A41" s="587"/>
      <c r="B41" s="520" t="s">
        <v>761</v>
      </c>
      <c r="C41" s="576" t="s">
        <v>3287</v>
      </c>
      <c r="D41" s="533">
        <v>100</v>
      </c>
      <c r="E41" s="576" t="s">
        <v>3287</v>
      </c>
      <c r="F41" s="568">
        <f>SUMIF(119:119,E41,120:120)-SUMIF(119:119,C41,120:120)+100</f>
        <v>100</v>
      </c>
      <c r="G41" s="576" t="s">
        <v>3287</v>
      </c>
      <c r="H41" s="533">
        <f>SUMIF(119:119,G41,120:120)-SUMIF(119:119,C41,120:120)+100</f>
        <v>100</v>
      </c>
      <c r="I41" s="576" t="s">
        <v>3287</v>
      </c>
      <c r="J41" s="533">
        <f>SUMIF(119:119,I41,120:120)-SUMIF(119:119,C41,120:120)+100</f>
        <v>100</v>
      </c>
      <c r="K41" s="577"/>
      <c r="L41" s="2022"/>
      <c r="M41" s="2014"/>
      <c r="N41" s="2014"/>
      <c r="O41" s="2014"/>
      <c r="P41" s="3662"/>
      <c r="Q41" s="1505" t="str">
        <f t="shared" si="11"/>
        <v>层高</v>
      </c>
      <c r="R41" s="1506" t="s">
        <v>8</v>
      </c>
      <c r="S41" s="1507">
        <f t="shared" si="12"/>
        <v>100</v>
      </c>
      <c r="T41" s="1506" t="s">
        <v>8</v>
      </c>
      <c r="U41" s="1507">
        <f t="shared" si="13"/>
        <v>100</v>
      </c>
      <c r="V41" s="1506" t="s">
        <v>8</v>
      </c>
      <c r="W41" s="1507">
        <f t="shared" si="14"/>
        <v>100</v>
      </c>
      <c r="X41" s="1500"/>
      <c r="Y41" s="3662"/>
      <c r="Z41" s="1508" t="str">
        <f t="shared" si="15"/>
        <v>层高</v>
      </c>
      <c r="AA41" s="1509">
        <f t="shared" si="3"/>
        <v>1</v>
      </c>
      <c r="AB41" s="1509">
        <f t="shared" si="4"/>
        <v>1</v>
      </c>
      <c r="AC41" s="1509">
        <f t="shared" si="5"/>
        <v>1</v>
      </c>
    </row>
    <row r="42" spans="1:29" s="1291" customFormat="1" ht="15" hidden="1">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662"/>
      <c r="Q42" s="1534" t="str">
        <f t="shared" si="11"/>
        <v>单套建筑面积</v>
      </c>
      <c r="R42" s="1510" t="s">
        <v>8</v>
      </c>
      <c r="S42" s="1511">
        <f t="shared" si="12"/>
        <v>100</v>
      </c>
      <c r="T42" s="1510" t="s">
        <v>8</v>
      </c>
      <c r="U42" s="1511">
        <f t="shared" si="13"/>
        <v>100</v>
      </c>
      <c r="V42" s="1510" t="s">
        <v>8</v>
      </c>
      <c r="W42" s="1511">
        <f t="shared" si="14"/>
        <v>100</v>
      </c>
      <c r="X42" s="1512"/>
      <c r="Y42" s="3662"/>
      <c r="Z42" s="1513" t="str">
        <f t="shared" si="15"/>
        <v>单套建筑面积</v>
      </c>
      <c r="AA42" s="1509">
        <f t="shared" si="3"/>
        <v>1</v>
      </c>
      <c r="AB42" s="1509">
        <f t="shared" si="4"/>
        <v>1</v>
      </c>
      <c r="AC42" s="1509">
        <f t="shared" si="5"/>
        <v>1</v>
      </c>
    </row>
    <row r="43" spans="1:29" ht="15">
      <c r="A43" s="587"/>
      <c r="B43" s="520" t="s">
        <v>764</v>
      </c>
      <c r="C43" s="567" t="s">
        <v>3306</v>
      </c>
      <c r="D43" s="533">
        <v>100</v>
      </c>
      <c r="E43" s="567" t="s">
        <v>3304</v>
      </c>
      <c r="F43" s="568">
        <f>SUMIF(123:123,E43,124:124)-SUMIF(123:123,C43,124:124)+100</f>
        <v>102</v>
      </c>
      <c r="G43" s="567" t="s">
        <v>3304</v>
      </c>
      <c r="H43" s="533">
        <f>SUMIF(123:123,G43,124:124)-SUMIF(123:123,C43,124:124)+100</f>
        <v>102</v>
      </c>
      <c r="I43" s="567" t="s">
        <v>3304</v>
      </c>
      <c r="J43" s="533">
        <f>SUMIF(123:123,I43,124:124)-SUMIF(123:123,C43,124:124)+100</f>
        <v>102</v>
      </c>
      <c r="K43" s="577">
        <v>2</v>
      </c>
      <c r="L43" s="2022"/>
      <c r="M43" s="2014"/>
      <c r="N43" s="2014"/>
      <c r="O43" s="2014"/>
      <c r="P43" s="3662"/>
      <c r="Q43" s="1505" t="str">
        <f t="shared" si="11"/>
        <v>内部装修</v>
      </c>
      <c r="R43" s="1506" t="s">
        <v>8</v>
      </c>
      <c r="S43" s="1507">
        <f t="shared" si="12"/>
        <v>102</v>
      </c>
      <c r="T43" s="1506" t="s">
        <v>8</v>
      </c>
      <c r="U43" s="1507">
        <f t="shared" si="13"/>
        <v>102</v>
      </c>
      <c r="V43" s="1506" t="s">
        <v>8</v>
      </c>
      <c r="W43" s="1507">
        <f t="shared" si="14"/>
        <v>102</v>
      </c>
      <c r="X43" s="1500"/>
      <c r="Y43" s="3662"/>
      <c r="Z43" s="1508" t="str">
        <f t="shared" si="15"/>
        <v>内部装修</v>
      </c>
      <c r="AA43" s="1509">
        <f t="shared" si="3"/>
        <v>0.98039215686274506</v>
      </c>
      <c r="AB43" s="1509">
        <f t="shared" si="4"/>
        <v>0.98039215686274506</v>
      </c>
      <c r="AC43" s="1509">
        <f t="shared" si="5"/>
        <v>0.98039215686274506</v>
      </c>
    </row>
    <row r="44" spans="1:29" ht="27">
      <c r="A44" s="587"/>
      <c r="B44" s="520" t="s">
        <v>729</v>
      </c>
      <c r="C44" s="567" t="s">
        <v>3229</v>
      </c>
      <c r="D44" s="533">
        <v>100</v>
      </c>
      <c r="E44" s="592" t="s">
        <v>3229</v>
      </c>
      <c r="F44" s="568">
        <f>SUMIF(125:125,E44,126:126)-SUMIF(125:125,C44,126:126)+100</f>
        <v>100</v>
      </c>
      <c r="G44" s="592" t="s">
        <v>3229</v>
      </c>
      <c r="H44" s="533">
        <f>SUMIF(125:125,G44,126:126)-SUMIF(125:125,C44,126:126)+100</f>
        <v>100</v>
      </c>
      <c r="I44" s="592" t="s">
        <v>3229</v>
      </c>
      <c r="J44" s="533">
        <f>SUMIF(125:125,I44,126:126)-SUMIF(125:125,C44,126:126)+100</f>
        <v>100</v>
      </c>
      <c r="K44" s="577"/>
      <c r="L44" s="2022"/>
      <c r="M44" s="2014"/>
      <c r="N44" s="2014"/>
      <c r="O44" s="2014"/>
      <c r="P44" s="3662"/>
      <c r="Q44" s="1505" t="str">
        <f t="shared" si="11"/>
        <v>内部装修维护情况</v>
      </c>
      <c r="R44" s="1506" t="s">
        <v>8</v>
      </c>
      <c r="S44" s="1507">
        <f t="shared" si="12"/>
        <v>100</v>
      </c>
      <c r="T44" s="1506" t="s">
        <v>8</v>
      </c>
      <c r="U44" s="1507">
        <f t="shared" si="13"/>
        <v>100</v>
      </c>
      <c r="V44" s="1506" t="s">
        <v>8</v>
      </c>
      <c r="W44" s="1507">
        <f t="shared" si="14"/>
        <v>100</v>
      </c>
      <c r="X44" s="1500"/>
      <c r="Y44" s="3662"/>
      <c r="Z44" s="1508" t="str">
        <f t="shared" si="15"/>
        <v>内部装修维护情况</v>
      </c>
      <c r="AA44" s="1509">
        <f t="shared" si="3"/>
        <v>1</v>
      </c>
      <c r="AB44" s="1509">
        <f t="shared" si="4"/>
        <v>1</v>
      </c>
      <c r="AC44" s="1509">
        <f t="shared" si="5"/>
        <v>1</v>
      </c>
    </row>
    <row r="45" spans="1:29" s="1201" customFormat="1" ht="15">
      <c r="A45" s="593"/>
      <c r="B45" s="865" t="str">
        <f>'不动产比较法-住宅'!B44</f>
        <v>规划实施优先程度</v>
      </c>
      <c r="C45" s="868" t="str">
        <f>C127</f>
        <v>待实施</v>
      </c>
      <c r="D45" s="252">
        <v>100</v>
      </c>
      <c r="E45" s="521" t="str">
        <f>D127</f>
        <v>已实施</v>
      </c>
      <c r="F45" s="851">
        <f>SUMIF(127:127,E45,128:128)-SUMIF(127:127,C45,128:128)+100</f>
        <v>105</v>
      </c>
      <c r="G45" s="521" t="str">
        <f>E45</f>
        <v>已实施</v>
      </c>
      <c r="H45" s="252">
        <f>SUMIF(127:127,G45,128:128)-SUMIF(127:127,C45,128:128)+100</f>
        <v>105</v>
      </c>
      <c r="I45" s="521" t="str">
        <f>E45</f>
        <v>已实施</v>
      </c>
      <c r="J45" s="252">
        <f>SUMIF(127:127,I45,128:128)-SUMIF(127:127,C45,128:128)+100</f>
        <v>105</v>
      </c>
      <c r="K45" s="574"/>
      <c r="L45" s="2015"/>
      <c r="M45" s="2016"/>
      <c r="N45" s="2016"/>
      <c r="O45" s="2016"/>
      <c r="P45" s="3662"/>
      <c r="Q45" s="1132" t="str">
        <f t="shared" si="11"/>
        <v>规划实施优先程度</v>
      </c>
      <c r="R45" s="1501" t="s">
        <v>8</v>
      </c>
      <c r="S45" s="1502">
        <f t="shared" si="12"/>
        <v>105</v>
      </c>
      <c r="T45" s="1501" t="s">
        <v>8</v>
      </c>
      <c r="U45" s="1502">
        <f t="shared" si="13"/>
        <v>105</v>
      </c>
      <c r="V45" s="1501" t="s">
        <v>8</v>
      </c>
      <c r="W45" s="1502">
        <f t="shared" si="14"/>
        <v>105</v>
      </c>
      <c r="X45" s="1503"/>
      <c r="Y45" s="3662"/>
      <c r="Z45" s="1131" t="str">
        <f t="shared" si="15"/>
        <v>规划实施优先程度</v>
      </c>
      <c r="AA45" s="1504">
        <f t="shared" si="3"/>
        <v>0.95238095238095233</v>
      </c>
      <c r="AB45" s="1504">
        <f t="shared" si="4"/>
        <v>0.95238095238095233</v>
      </c>
      <c r="AC45" s="1504">
        <f t="shared" si="5"/>
        <v>0.95238095238095233</v>
      </c>
    </row>
    <row r="46" spans="1:29" ht="15.75" thickBot="1">
      <c r="A46" s="587"/>
      <c r="B46" s="3311" t="s">
        <v>3337</v>
      </c>
      <c r="C46" s="3317" t="s">
        <v>3338</v>
      </c>
      <c r="D46" s="533">
        <v>100</v>
      </c>
      <c r="E46" s="3320" t="s">
        <v>3339</v>
      </c>
      <c r="F46" s="568">
        <f>SUMIF(129:129,E46,130:130)-SUMIF(129:129,C46,130:130)+100</f>
        <v>98</v>
      </c>
      <c r="G46" s="521" t="str">
        <f>E46</f>
        <v>较好</v>
      </c>
      <c r="H46" s="533">
        <f>SUMIF(129:129,G46,130:130)-SUMIF(129:129,C46,130:130)+100</f>
        <v>98</v>
      </c>
      <c r="I46" s="521" t="str">
        <f>E46</f>
        <v>较好</v>
      </c>
      <c r="J46" s="533">
        <f>SUMIF(129:129,I46,130:130)-SUMIF(129:129,C46,130:130)+100</f>
        <v>98</v>
      </c>
      <c r="K46" s="574"/>
      <c r="L46" s="2022"/>
      <c r="M46" s="2014"/>
      <c r="N46" s="2014"/>
      <c r="O46" s="2014"/>
      <c r="P46" s="3662"/>
      <c r="Q46" s="1505" t="str">
        <f t="shared" si="11"/>
        <v>设备设施</v>
      </c>
      <c r="R46" s="1506" t="s">
        <v>8</v>
      </c>
      <c r="S46" s="1507">
        <f t="shared" si="12"/>
        <v>98</v>
      </c>
      <c r="T46" s="1506" t="s">
        <v>8</v>
      </c>
      <c r="U46" s="1507">
        <f t="shared" si="13"/>
        <v>98</v>
      </c>
      <c r="V46" s="1506" t="s">
        <v>8</v>
      </c>
      <c r="W46" s="1507">
        <f t="shared" si="14"/>
        <v>98</v>
      </c>
      <c r="X46" s="1500"/>
      <c r="Y46" s="3662"/>
      <c r="Z46" s="1508" t="str">
        <f t="shared" si="15"/>
        <v>设备设施</v>
      </c>
      <c r="AA46" s="1509">
        <f t="shared" si="3"/>
        <v>1.0204081632653061</v>
      </c>
      <c r="AB46" s="1509">
        <f t="shared" si="4"/>
        <v>1.0204081632653061</v>
      </c>
      <c r="AC46" s="1509">
        <f t="shared" si="5"/>
        <v>1.0204081632653061</v>
      </c>
    </row>
    <row r="47" spans="1:29" ht="15.75" hidden="1"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744"/>
      <c r="Q47" s="1505">
        <f t="shared" si="11"/>
        <v>111</v>
      </c>
      <c r="R47" s="1506" t="s">
        <v>8</v>
      </c>
      <c r="S47" s="1507">
        <f t="shared" si="12"/>
        <v>100</v>
      </c>
      <c r="T47" s="1506" t="s">
        <v>8</v>
      </c>
      <c r="U47" s="1507">
        <f t="shared" si="13"/>
        <v>100</v>
      </c>
      <c r="V47" s="1506" t="s">
        <v>8</v>
      </c>
      <c r="W47" s="1507">
        <f t="shared" si="14"/>
        <v>100</v>
      </c>
      <c r="X47" s="1500"/>
      <c r="Y47" s="3744"/>
      <c r="Z47" s="1508">
        <f t="shared" si="15"/>
        <v>111</v>
      </c>
      <c r="AA47" s="1509">
        <f t="shared" si="3"/>
        <v>1</v>
      </c>
      <c r="AB47" s="1509">
        <f t="shared" si="4"/>
        <v>1</v>
      </c>
      <c r="AC47" s="1509">
        <f t="shared" si="5"/>
        <v>1</v>
      </c>
    </row>
    <row r="48" spans="1:29" ht="15">
      <c r="A48" s="600" t="s">
        <v>730</v>
      </c>
      <c r="B48" s="875"/>
      <c r="C48" s="2467" t="s">
        <v>1</v>
      </c>
      <c r="D48" s="2468"/>
      <c r="E48" s="2469">
        <v>2.2999999999999998</v>
      </c>
      <c r="F48" s="2470"/>
      <c r="G48" s="2471">
        <v>2.2000000000000002</v>
      </c>
      <c r="H48" s="2472"/>
      <c r="I48" s="2469">
        <v>2.2999999999999998</v>
      </c>
      <c r="J48" s="2472"/>
      <c r="K48" s="1539"/>
      <c r="L48" s="2024"/>
      <c r="M48" s="2014"/>
      <c r="N48" s="2014"/>
      <c r="O48" s="2014"/>
      <c r="P48" s="3623" t="str">
        <f>A48</f>
        <v>成交单价（元/平方米）</v>
      </c>
      <c r="Q48" s="3625"/>
      <c r="R48" s="3743">
        <f>E48</f>
        <v>2.2999999999999998</v>
      </c>
      <c r="S48" s="3743"/>
      <c r="T48" s="3743">
        <f>G48</f>
        <v>2.2000000000000002</v>
      </c>
      <c r="U48" s="3743"/>
      <c r="V48" s="3743">
        <f>I48</f>
        <v>2.2999999999999998</v>
      </c>
      <c r="W48" s="3743"/>
      <c r="X48" s="1495"/>
      <c r="Y48" s="1514"/>
      <c r="Z48" s="1495"/>
      <c r="AA48" s="1495"/>
      <c r="AB48" s="1495"/>
      <c r="AC48" s="1495"/>
    </row>
    <row r="49" spans="1:29" ht="15.75" thickBot="1">
      <c r="A49" s="608" t="s">
        <v>2733</v>
      </c>
      <c r="B49" s="876"/>
      <c r="C49" s="2473">
        <f>R50</f>
        <v>2.5</v>
      </c>
      <c r="D49" s="3011" t="s">
        <v>2957</v>
      </c>
      <c r="E49" s="2474">
        <f>R49</f>
        <v>2.5</v>
      </c>
      <c r="F49" s="3012"/>
      <c r="G49" s="2473">
        <f>T49</f>
        <v>2.4</v>
      </c>
      <c r="H49" s="3012"/>
      <c r="I49" s="2474">
        <f>V49</f>
        <v>2.5</v>
      </c>
      <c r="J49" s="3012"/>
      <c r="K49" s="3020">
        <f>F49+H49+J49</f>
        <v>0</v>
      </c>
      <c r="L49" s="2024"/>
      <c r="M49" s="2014"/>
      <c r="N49" s="2014"/>
      <c r="O49" s="2014"/>
      <c r="P49" s="3623" t="str">
        <f>A49</f>
        <v>比较价格（元/平方米）</v>
      </c>
      <c r="Q49" s="3625"/>
      <c r="R49" s="3743">
        <f>IF(F1="售价",ROUND(PRODUCT(R48,AA7:AA47),0),ROUND(PRODUCT(R48,AA7:AA47),1))</f>
        <v>2.5</v>
      </c>
      <c r="S49" s="3743"/>
      <c r="T49" s="3743">
        <f>IF(F1="售价",ROUND(PRODUCT(T48,AB7:AB47),0),ROUND(PRODUCT(T48,AB7:AB47),1))</f>
        <v>2.4</v>
      </c>
      <c r="U49" s="3743"/>
      <c r="V49" s="3743">
        <f>IF(F1="售价",ROUND(PRODUCT(V48,AC7:AC47),0),ROUND(PRODUCT(V48,AC7:AC47),1))</f>
        <v>2.5</v>
      </c>
      <c r="W49" s="3743"/>
      <c r="X49" s="1495"/>
      <c r="Y49" s="1495"/>
      <c r="Z49" s="1495"/>
      <c r="AA49" s="1495"/>
      <c r="AB49" s="1495"/>
      <c r="AC49" s="1495"/>
    </row>
    <row r="50" spans="1:29" ht="15.75" thickBot="1">
      <c r="A50" s="612" t="s">
        <v>3289</v>
      </c>
      <c r="B50" s="613"/>
      <c r="C50" s="2475">
        <f>R50</f>
        <v>2.5</v>
      </c>
      <c r="D50" s="2475"/>
      <c r="E50" s="2475"/>
      <c r="F50" s="2475"/>
      <c r="G50" s="2475"/>
      <c r="H50" s="2475"/>
      <c r="I50" s="2475"/>
      <c r="J50" s="2475"/>
      <c r="K50" s="1540"/>
      <c r="L50" s="2024"/>
      <c r="M50" s="2014"/>
      <c r="N50" s="2014"/>
      <c r="O50" s="2014"/>
      <c r="P50" s="3751" t="str">
        <f>A50</f>
        <v>估价对象办公用房的比较价格（楼面单价，元/平方米）</v>
      </c>
      <c r="Q50" s="3623"/>
      <c r="R50" s="3742">
        <f>IF(F1="售价",ROUND(IF(D49="简单平均",AVERAGE(R49:V49),R49*F49+T49*H49+V49*J49),0),ROUND(IF(D49="简单平均",AVERAGE(R49:V49),R49*F49+T49*H49+V49*J49),1))</f>
        <v>2.5</v>
      </c>
      <c r="S50" s="3742"/>
      <c r="T50" s="3742"/>
      <c r="U50" s="3742"/>
      <c r="V50" s="3742"/>
      <c r="W50" s="3742"/>
      <c r="X50" s="1495"/>
      <c r="Y50" s="1495"/>
      <c r="Z50" s="1495"/>
      <c r="AA50" s="1495"/>
      <c r="AB50" s="1495"/>
      <c r="AC50" s="1495"/>
    </row>
    <row r="51" spans="1:29">
      <c r="A51" s="3209"/>
      <c r="B51" s="3209"/>
      <c r="C51" s="3209"/>
      <c r="D51" s="3209"/>
      <c r="E51" s="3209"/>
      <c r="F51" s="3209"/>
      <c r="G51" s="3211"/>
      <c r="H51" s="3209"/>
      <c r="I51" s="3209"/>
      <c r="J51" s="3209"/>
      <c r="K51" s="3212"/>
      <c r="L51" s="2029"/>
      <c r="M51" s="2025"/>
      <c r="N51" s="2025"/>
      <c r="O51" s="2025"/>
      <c r="P51" s="2086"/>
      <c r="Q51" s="2025"/>
      <c r="R51" s="2025"/>
      <c r="S51" s="2025"/>
      <c r="T51" s="2025"/>
      <c r="U51" s="2025"/>
      <c r="V51" s="2025"/>
      <c r="W51" s="2025"/>
      <c r="X51" s="2025"/>
      <c r="Y51" s="2025"/>
      <c r="Z51" s="2025"/>
      <c r="AA51" s="2025"/>
      <c r="AB51" s="2025"/>
      <c r="AC51" s="2025"/>
    </row>
    <row r="52" spans="1:29">
      <c r="A52" s="3209"/>
      <c r="B52" s="3209"/>
      <c r="C52" s="3209"/>
      <c r="D52" s="3209"/>
      <c r="E52" s="3209"/>
      <c r="F52" s="3209"/>
      <c r="G52" s="3209"/>
      <c r="H52" s="3209"/>
      <c r="I52" s="3209"/>
      <c r="J52" s="3209"/>
      <c r="K52" s="3212"/>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9"/>
      <c r="B53" s="3209"/>
      <c r="C53" s="615" t="s">
        <v>551</v>
      </c>
      <c r="D53" s="616"/>
      <c r="E53" s="617">
        <f>IF(E48&lt;E49,E49/E48-1,E48/E49-1)</f>
        <v>8.6956521739130599E-2</v>
      </c>
      <c r="F53" s="618" t="str">
        <f>IF(OR(E53&gt;=0.3,E53&lt;=-0.3),"超过30%","")</f>
        <v/>
      </c>
      <c r="G53" s="617">
        <f>IF(G48&lt;G49,G49/G48-1,G48/G49-1)</f>
        <v>9.0909090909090828E-2</v>
      </c>
      <c r="H53" s="618" t="str">
        <f>IF(OR(G53&gt;=0.3,G53&lt;=-0.3),"超过30%","")</f>
        <v/>
      </c>
      <c r="I53" s="617">
        <f>IF(I48&lt;I49,I49/I48-1,I48/I49-1)</f>
        <v>8.6956521739130599E-2</v>
      </c>
      <c r="J53" s="618" t="str">
        <f>IF(OR(I53&gt;=0.3,I53&lt;=-0.3),"超过30%","")</f>
        <v/>
      </c>
      <c r="K53" s="3212"/>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9"/>
      <c r="B54" s="3209"/>
      <c r="C54" s="615" t="s">
        <v>552</v>
      </c>
      <c r="D54" s="619"/>
      <c r="E54" s="617">
        <f>IF(E49&lt;G49,G49/E49-1,E49/G49-1)</f>
        <v>4.1666666666666741E-2</v>
      </c>
      <c r="F54" s="618" t="str">
        <f>IF(OR(E54&gt;=0.2,E54&lt;=-0.2),"超过20%","")</f>
        <v/>
      </c>
      <c r="G54" s="617">
        <f>IF(G49&lt;I49,I49/G49-1,G49/I49-1)</f>
        <v>4.1666666666666741E-2</v>
      </c>
      <c r="H54" s="618" t="str">
        <f>IF(OR(G54&gt;=0.2,G54&lt;=-0.2),"超过20%","")</f>
        <v/>
      </c>
      <c r="I54" s="617">
        <f>IF(I49&lt;E49,E49/I49-1,I49/E49-1)</f>
        <v>0</v>
      </c>
      <c r="J54" s="618" t="str">
        <f>IF(OR(I54&gt;=0.2,I54&lt;=-0.2),"超过20%","")</f>
        <v/>
      </c>
      <c r="K54" s="3212"/>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0"/>
      <c r="B55" s="3210"/>
      <c r="C55" s="615" t="s">
        <v>553</v>
      </c>
      <c r="D55" s="619"/>
      <c r="E55" s="617">
        <f>IF(E48&lt;G48,G48/E48-1,E48/G48-1)</f>
        <v>4.5454545454545192E-2</v>
      </c>
      <c r="F55" s="618" t="str">
        <f>IF(OR(E55&gt;=0.3,E55&lt;=-0.3),"超过30%","")</f>
        <v/>
      </c>
      <c r="G55" s="617">
        <f>IF(G48&lt;I48,I48/G48-1,G48/I48-1)</f>
        <v>4.5454545454545192E-2</v>
      </c>
      <c r="H55" s="618" t="str">
        <f>IF(OR(G55&gt;=0.3,G55&lt;=-0.3),"超过30%","")</f>
        <v/>
      </c>
      <c r="I55" s="617">
        <f>IF(I48&lt;E48,E48/I48-1,I48/E48-1)</f>
        <v>0</v>
      </c>
      <c r="J55" s="618" t="str">
        <f>IF(OR(I55&gt;=0.3,I55&lt;=-0.3),"超过30%","")</f>
        <v/>
      </c>
      <c r="K55" s="3213"/>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6" t="str">
        <f>YEAR(C7)&amp;"-"&amp;MONTH(C7)</f>
        <v>2020-10</v>
      </c>
      <c r="D59" s="2518">
        <f>EDATE(C59,-1)</f>
        <v>44075</v>
      </c>
      <c r="E59" s="2518">
        <f t="shared" ref="E59:O59" si="16">EDATE(D59,-1)</f>
        <v>44044</v>
      </c>
      <c r="F59" s="2518">
        <f t="shared" si="16"/>
        <v>44013</v>
      </c>
      <c r="G59" s="2518">
        <f t="shared" si="16"/>
        <v>43983</v>
      </c>
      <c r="H59" s="2518">
        <f t="shared" si="16"/>
        <v>43952</v>
      </c>
      <c r="I59" s="2518">
        <f t="shared" si="16"/>
        <v>43922</v>
      </c>
      <c r="J59" s="2518">
        <f t="shared" si="16"/>
        <v>43891</v>
      </c>
      <c r="K59" s="2518">
        <f t="shared" si="16"/>
        <v>43862</v>
      </c>
      <c r="L59" s="2518">
        <f t="shared" si="16"/>
        <v>43831</v>
      </c>
      <c r="M59" s="2518">
        <f t="shared" si="16"/>
        <v>43800</v>
      </c>
      <c r="N59" s="2518">
        <f t="shared" si="16"/>
        <v>43770</v>
      </c>
      <c r="O59" s="2518">
        <f t="shared" si="16"/>
        <v>43739</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t="str">
        <f>C9</f>
        <v>商务办公</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1（含）-3</v>
      </c>
      <c r="D68" s="673" t="str">
        <f t="shared" ref="D68:L68" si="17">D69&amp;"（含）"&amp;"-"&amp;E69</f>
        <v>3（含）-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v>1</v>
      </c>
      <c r="D69" s="534">
        <v>3</v>
      </c>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97</v>
      </c>
      <c r="E78" s="670">
        <f>D78-$K15</f>
        <v>94</v>
      </c>
      <c r="F78" s="670">
        <f>E78-$K15</f>
        <v>91</v>
      </c>
      <c r="G78" s="670">
        <f>F78-$K15</f>
        <v>88</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97</v>
      </c>
      <c r="E80" s="670">
        <f>D80-$K17</f>
        <v>94</v>
      </c>
      <c r="F80" s="670">
        <f>E80-$K17</f>
        <v>91</v>
      </c>
      <c r="G80" s="670">
        <f>F80-$K17</f>
        <v>88</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2531</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97</v>
      </c>
      <c r="E82" s="670">
        <f>D82-$K19</f>
        <v>94</v>
      </c>
      <c r="F82" s="670">
        <f>E82-$K19</f>
        <v>91</v>
      </c>
      <c r="G82" s="670">
        <f>F82-$K19</f>
        <v>88</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8" t="s">
        <v>2532</v>
      </c>
      <c r="C83" s="2439" t="s">
        <v>2533</v>
      </c>
      <c r="D83" s="2439" t="s">
        <v>2534</v>
      </c>
      <c r="E83" s="2439" t="s">
        <v>2535</v>
      </c>
      <c r="F83" s="2439" t="s">
        <v>2536</v>
      </c>
      <c r="G83" s="2439" t="s">
        <v>2537</v>
      </c>
      <c r="H83" s="665"/>
      <c r="I83" s="665"/>
      <c r="J83" s="665"/>
      <c r="K83" s="665"/>
      <c r="L83" s="665"/>
      <c r="M83" s="2442"/>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97</v>
      </c>
      <c r="E86" s="670">
        <f>D86-$K23</f>
        <v>94</v>
      </c>
      <c r="F86" s="670">
        <f>E86-$K23</f>
        <v>91</v>
      </c>
      <c r="G86" s="670">
        <f>F86-$K23</f>
        <v>88</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3308" t="s">
        <v>3279</v>
      </c>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1(含)-10000</v>
      </c>
      <c r="D103" s="699" t="str">
        <f t="shared" ref="D103:L103" si="23">D104&amp;"(含)"&amp;"-"&amp;E104</f>
        <v>10000(含)-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v>1</v>
      </c>
      <c r="D104" s="721">
        <v>10000</v>
      </c>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v>100</v>
      </c>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3309" t="s">
        <v>3281</v>
      </c>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3309" t="s">
        <v>3282</v>
      </c>
      <c r="D108" s="3309" t="s">
        <v>3283</v>
      </c>
      <c r="E108" s="3309" t="s">
        <v>3363</v>
      </c>
      <c r="F108" s="3310" t="s">
        <v>3364</v>
      </c>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95</v>
      </c>
      <c r="E109" s="670">
        <f t="shared" si="25"/>
        <v>90</v>
      </c>
      <c r="F109" s="670">
        <f t="shared" si="25"/>
        <v>85</v>
      </c>
      <c r="G109" s="670">
        <f t="shared" si="25"/>
        <v>80</v>
      </c>
      <c r="H109" s="670">
        <f t="shared" si="25"/>
        <v>75</v>
      </c>
      <c r="I109" s="670">
        <f t="shared" si="25"/>
        <v>70</v>
      </c>
      <c r="J109" s="670">
        <f t="shared" si="25"/>
        <v>65</v>
      </c>
      <c r="K109" s="670">
        <f t="shared" si="25"/>
        <v>60</v>
      </c>
      <c r="L109" s="670">
        <f t="shared" si="25"/>
        <v>55</v>
      </c>
      <c r="M109" s="671">
        <f t="shared" si="25"/>
        <v>50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102</v>
      </c>
      <c r="E112" s="670">
        <f t="shared" ref="E112:M112" si="26">D112+$K37</f>
        <v>104</v>
      </c>
      <c r="F112" s="670">
        <f t="shared" si="26"/>
        <v>106</v>
      </c>
      <c r="G112" s="670">
        <f t="shared" si="26"/>
        <v>108</v>
      </c>
      <c r="H112" s="670">
        <f t="shared" si="26"/>
        <v>110</v>
      </c>
      <c r="I112" s="670">
        <f t="shared" si="26"/>
        <v>112</v>
      </c>
      <c r="J112" s="670">
        <f t="shared" si="26"/>
        <v>114</v>
      </c>
      <c r="K112" s="670">
        <f t="shared" si="26"/>
        <v>116</v>
      </c>
      <c r="L112" s="670">
        <f t="shared" si="26"/>
        <v>118</v>
      </c>
      <c r="M112" s="670">
        <f t="shared" si="26"/>
        <v>120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2530</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3310" t="s">
        <v>3288</v>
      </c>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3309" t="s">
        <v>3282</v>
      </c>
      <c r="D123" s="3309" t="s">
        <v>3286</v>
      </c>
      <c r="E123" s="3309" t="s">
        <v>3365</v>
      </c>
      <c r="F123" s="3310" t="s">
        <v>3364</v>
      </c>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98</v>
      </c>
      <c r="E124" s="670">
        <f t="shared" si="30"/>
        <v>96</v>
      </c>
      <c r="F124" s="670">
        <f t="shared" si="30"/>
        <v>94</v>
      </c>
      <c r="G124" s="670">
        <f t="shared" si="30"/>
        <v>92</v>
      </c>
      <c r="H124" s="670">
        <f t="shared" si="30"/>
        <v>90</v>
      </c>
      <c r="I124" s="670">
        <f t="shared" si="30"/>
        <v>88</v>
      </c>
      <c r="J124" s="670">
        <f t="shared" si="30"/>
        <v>86</v>
      </c>
      <c r="K124" s="670">
        <f t="shared" si="30"/>
        <v>84</v>
      </c>
      <c r="L124" s="670">
        <f t="shared" si="30"/>
        <v>82</v>
      </c>
      <c r="M124" s="671">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t="str">
        <f>B45</f>
        <v>规划实施优先程度</v>
      </c>
      <c r="C127" s="3309" t="s">
        <v>3284</v>
      </c>
      <c r="D127" s="3309" t="s">
        <v>3285</v>
      </c>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v>100</v>
      </c>
      <c r="D128" s="662">
        <v>105</v>
      </c>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t="str">
        <f>B46</f>
        <v>设备设施</v>
      </c>
      <c r="C129" s="3309" t="s">
        <v>3338</v>
      </c>
      <c r="D129" s="3309" t="s">
        <v>3339</v>
      </c>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v>100</v>
      </c>
      <c r="D130" s="683">
        <v>98</v>
      </c>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496" t="s">
        <v>782</v>
      </c>
      <c r="C1" s="497" t="s">
        <v>714</v>
      </c>
      <c r="D1" s="837"/>
      <c r="E1" s="499"/>
      <c r="F1" s="2521"/>
      <c r="G1" s="1530" t="s">
        <v>715</v>
      </c>
      <c r="H1" s="499"/>
      <c r="I1" s="499"/>
      <c r="J1" s="499"/>
      <c r="K1" s="500"/>
      <c r="L1" s="3205"/>
      <c r="M1" s="3206"/>
      <c r="N1" s="3206"/>
      <c r="O1" s="3206"/>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515</v>
      </c>
      <c r="B4" s="506"/>
      <c r="C4" s="3631" t="s">
        <v>516</v>
      </c>
      <c r="D4" s="3632"/>
      <c r="E4" s="3665" t="s">
        <v>517</v>
      </c>
      <c r="F4" s="3666"/>
      <c r="G4" s="3631" t="s">
        <v>518</v>
      </c>
      <c r="H4" s="3632"/>
      <c r="I4" s="3631" t="s">
        <v>519</v>
      </c>
      <c r="J4" s="3632"/>
      <c r="K4" s="507" t="s">
        <v>520</v>
      </c>
      <c r="L4" s="2013"/>
      <c r="M4" s="2014"/>
      <c r="N4" s="2014"/>
      <c r="O4" s="2014"/>
      <c r="P4" s="3633" t="s">
        <v>521</v>
      </c>
      <c r="Q4" s="3634"/>
      <c r="R4" s="3639" t="s">
        <v>517</v>
      </c>
      <c r="S4" s="3640"/>
      <c r="T4" s="3639" t="s">
        <v>518</v>
      </c>
      <c r="U4" s="3640"/>
      <c r="V4" s="3626" t="s">
        <v>519</v>
      </c>
      <c r="W4" s="3626"/>
      <c r="X4" s="1500"/>
      <c r="Y4" s="3639" t="s">
        <v>521</v>
      </c>
      <c r="Z4" s="3640"/>
      <c r="AA4" s="3628" t="s">
        <v>517</v>
      </c>
      <c r="AB4" s="3629" t="s">
        <v>518</v>
      </c>
      <c r="AC4" s="3628" t="s">
        <v>519</v>
      </c>
    </row>
    <row r="5" spans="1:29" ht="15">
      <c r="A5" s="508"/>
      <c r="B5" s="509"/>
      <c r="C5" s="3647" t="s">
        <v>2886</v>
      </c>
      <c r="D5" s="3648"/>
      <c r="E5" s="3667" t="s">
        <v>2887</v>
      </c>
      <c r="F5" s="3668"/>
      <c r="G5" s="3647" t="s">
        <v>2888</v>
      </c>
      <c r="H5" s="3648"/>
      <c r="I5" s="3647" t="s">
        <v>2889</v>
      </c>
      <c r="J5" s="3648"/>
      <c r="K5" s="507"/>
      <c r="L5" s="2013"/>
      <c r="M5" s="2014"/>
      <c r="N5" s="2014"/>
      <c r="O5" s="2014"/>
      <c r="P5" s="3635"/>
      <c r="Q5" s="3636"/>
      <c r="R5" s="3641"/>
      <c r="S5" s="3642"/>
      <c r="T5" s="3641"/>
      <c r="U5" s="3642"/>
      <c r="V5" s="3626"/>
      <c r="W5" s="3626"/>
      <c r="X5" s="1500"/>
      <c r="Y5" s="3641"/>
      <c r="Z5" s="3642"/>
      <c r="AA5" s="3629"/>
      <c r="AB5" s="3629"/>
      <c r="AC5" s="3629"/>
    </row>
    <row r="6" spans="1:29" ht="15.75" thickBot="1">
      <c r="A6" s="510"/>
      <c r="B6" s="511"/>
      <c r="C6" s="3645" t="s">
        <v>2890</v>
      </c>
      <c r="D6" s="3646"/>
      <c r="E6" s="3663" t="s">
        <v>2890</v>
      </c>
      <c r="F6" s="3664"/>
      <c r="G6" s="3645" t="s">
        <v>2890</v>
      </c>
      <c r="H6" s="3646"/>
      <c r="I6" s="3645" t="s">
        <v>2890</v>
      </c>
      <c r="J6" s="3646"/>
      <c r="K6" s="507" t="s">
        <v>522</v>
      </c>
      <c r="L6" s="2013"/>
      <c r="M6" s="2014"/>
      <c r="N6" s="2014"/>
      <c r="O6" s="2014"/>
      <c r="P6" s="3637"/>
      <c r="Q6" s="3638"/>
      <c r="R6" s="3641"/>
      <c r="S6" s="3642"/>
      <c r="T6" s="3643"/>
      <c r="U6" s="3644"/>
      <c r="V6" s="3626"/>
      <c r="W6" s="3626"/>
      <c r="X6" s="1500"/>
      <c r="Y6" s="3643"/>
      <c r="Z6" s="3644"/>
      <c r="AA6" s="3630"/>
      <c r="AB6" s="3630"/>
      <c r="AC6" s="3630"/>
    </row>
    <row r="7" spans="1:29" s="1201" customFormat="1" ht="15.75" thickBot="1">
      <c r="A7" s="2626"/>
      <c r="B7" s="2633" t="s">
        <v>523</v>
      </c>
      <c r="C7" s="512">
        <f>'数据-取费表'!B2</f>
        <v>44125</v>
      </c>
      <c r="D7" s="513">
        <v>100</v>
      </c>
      <c r="E7" s="514"/>
      <c r="F7" s="515">
        <f>SUMIF(52:52,YEAR(E7)&amp;"-"&amp;MONTH(E7),53:53)</f>
        <v>0</v>
      </c>
      <c r="G7" s="514"/>
      <c r="H7" s="513">
        <f>SUMIF(52:52,YEAR(G7)&amp;"-"&amp;MONTH(G7),53:53)</f>
        <v>0</v>
      </c>
      <c r="I7" s="514"/>
      <c r="J7" s="513">
        <f>SUMIF(52:52,YEAR(I7)&amp;"-"&amp;MONTH(I7),53:53)</f>
        <v>0</v>
      </c>
      <c r="K7" s="517"/>
      <c r="L7" s="2015"/>
      <c r="M7" s="2016"/>
      <c r="N7" s="2016"/>
      <c r="O7" s="2016"/>
      <c r="P7" s="3656" t="s">
        <v>524</v>
      </c>
      <c r="Q7" s="3658"/>
      <c r="R7" s="1501" t="s">
        <v>8</v>
      </c>
      <c r="S7" s="1502">
        <f t="shared" ref="S7:S15" si="0">F7</f>
        <v>0</v>
      </c>
      <c r="T7" s="1501" t="s">
        <v>8</v>
      </c>
      <c r="U7" s="1502">
        <f t="shared" ref="U7:U15" si="1">H7</f>
        <v>0</v>
      </c>
      <c r="V7" s="1501" t="s">
        <v>8</v>
      </c>
      <c r="W7" s="1502">
        <f t="shared" ref="W7:W15" si="2">J7</f>
        <v>0</v>
      </c>
      <c r="X7" s="1503"/>
      <c r="Y7" s="3656" t="s">
        <v>524</v>
      </c>
      <c r="Z7" s="3657"/>
      <c r="AA7" s="1504" t="e">
        <f>D7/F7</f>
        <v>#DIV/0!</v>
      </c>
      <c r="AB7" s="1504" t="e">
        <f>D7/H7</f>
        <v>#DIV/0!</v>
      </c>
      <c r="AC7" s="1504" t="e">
        <f>D7/J7</f>
        <v>#DIV/0!</v>
      </c>
    </row>
    <row r="8" spans="1:29" s="1201" customFormat="1" ht="15.75" thickBot="1">
      <c r="A8" s="2627"/>
      <c r="B8" s="2634"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656" t="s">
        <v>527</v>
      </c>
      <c r="Q8" s="3657"/>
      <c r="R8" s="1501" t="s">
        <v>8</v>
      </c>
      <c r="S8" s="1502">
        <f t="shared" si="0"/>
        <v>0</v>
      </c>
      <c r="T8" s="1501" t="s">
        <v>8</v>
      </c>
      <c r="U8" s="1502">
        <f t="shared" si="1"/>
        <v>0</v>
      </c>
      <c r="V8" s="1501" t="s">
        <v>8</v>
      </c>
      <c r="W8" s="1502">
        <f t="shared" si="2"/>
        <v>0</v>
      </c>
      <c r="X8" s="1503"/>
      <c r="Y8" s="3656" t="s">
        <v>527</v>
      </c>
      <c r="Z8" s="3657"/>
      <c r="AA8" s="1504" t="e">
        <f t="shared" ref="AA8:AA40" si="3">D8/F8</f>
        <v>#DIV/0!</v>
      </c>
      <c r="AB8" s="1504" t="e">
        <f t="shared" ref="AB8:AB40" si="4">D8/H8</f>
        <v>#DIV/0!</v>
      </c>
      <c r="AC8" s="1504" t="e">
        <f t="shared" ref="AC8:AC40" si="5">D8/J8</f>
        <v>#DIV/0!</v>
      </c>
    </row>
    <row r="9" spans="1:29" s="1201" customFormat="1" ht="15">
      <c r="A9" s="2628"/>
      <c r="B9" s="2635" t="s">
        <v>2729</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625" t="s">
        <v>529</v>
      </c>
      <c r="Q9" s="1132" t="str">
        <f t="shared" ref="Q9:Q15" si="6">B9</f>
        <v>用途</v>
      </c>
      <c r="R9" s="1501" t="s">
        <v>8</v>
      </c>
      <c r="S9" s="1502">
        <f t="shared" si="0"/>
        <v>100</v>
      </c>
      <c r="T9" s="1501" t="s">
        <v>8</v>
      </c>
      <c r="U9" s="1502">
        <f t="shared" si="1"/>
        <v>100</v>
      </c>
      <c r="V9" s="1501" t="s">
        <v>8</v>
      </c>
      <c r="W9" s="1502">
        <f t="shared" si="2"/>
        <v>100</v>
      </c>
      <c r="X9" s="1503"/>
      <c r="Y9" s="3530" t="s">
        <v>530</v>
      </c>
      <c r="Z9" s="1131" t="str">
        <f t="shared" ref="Z9:Z15" si="7">Q9</f>
        <v>用途</v>
      </c>
      <c r="AA9" s="1504">
        <f t="shared" si="3"/>
        <v>1</v>
      </c>
      <c r="AB9" s="1504">
        <f t="shared" si="4"/>
        <v>1</v>
      </c>
      <c r="AC9" s="1504">
        <f t="shared" si="5"/>
        <v>1</v>
      </c>
    </row>
    <row r="10" spans="1:29" s="1290" customFormat="1" ht="27">
      <c r="A10" s="2629"/>
      <c r="B10" s="2634" t="s">
        <v>2730</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625"/>
      <c r="Q10" s="1132" t="str">
        <f t="shared" si="6"/>
        <v>土地使用年限（年）</v>
      </c>
      <c r="R10" s="1501" t="s">
        <v>8</v>
      </c>
      <c r="S10" s="1502">
        <f t="shared" si="0"/>
        <v>100</v>
      </c>
      <c r="T10" s="1501" t="s">
        <v>8</v>
      </c>
      <c r="U10" s="1502">
        <f t="shared" si="1"/>
        <v>100</v>
      </c>
      <c r="V10" s="1501" t="s">
        <v>8</v>
      </c>
      <c r="W10" s="1502">
        <f t="shared" si="2"/>
        <v>100</v>
      </c>
      <c r="X10" s="1503"/>
      <c r="Y10" s="3530"/>
      <c r="Z10" s="1131" t="str">
        <f t="shared" si="7"/>
        <v>土地使用年限（年）</v>
      </c>
      <c r="AA10" s="1504">
        <f t="shared" si="3"/>
        <v>1</v>
      </c>
      <c r="AB10" s="1504">
        <f t="shared" si="4"/>
        <v>1</v>
      </c>
      <c r="AC10" s="1504">
        <f t="shared" si="5"/>
        <v>1</v>
      </c>
    </row>
    <row r="11" spans="1:29" ht="15">
      <c r="A11" s="2630"/>
      <c r="B11" s="2634" t="s">
        <v>2731</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625"/>
      <c r="Q11" s="1132" t="str">
        <f t="shared" si="6"/>
        <v>容积率</v>
      </c>
      <c r="R11" s="1501" t="s">
        <v>8</v>
      </c>
      <c r="S11" s="1502" t="e">
        <f t="shared" si="0"/>
        <v>#N/A</v>
      </c>
      <c r="T11" s="1501" t="s">
        <v>8</v>
      </c>
      <c r="U11" s="1502" t="e">
        <f t="shared" si="1"/>
        <v>#N/A</v>
      </c>
      <c r="V11" s="1501" t="s">
        <v>8</v>
      </c>
      <c r="W11" s="1502" t="e">
        <f t="shared" si="2"/>
        <v>#N/A</v>
      </c>
      <c r="X11" s="1503"/>
      <c r="Y11" s="3530"/>
      <c r="Z11" s="1131" t="str">
        <f t="shared" si="7"/>
        <v>容积率</v>
      </c>
      <c r="AA11" s="1504" t="e">
        <f t="shared" si="3"/>
        <v>#N/A</v>
      </c>
      <c r="AB11" s="1504" t="e">
        <f t="shared" si="4"/>
        <v>#N/A</v>
      </c>
      <c r="AC11" s="1504" t="e">
        <f t="shared" si="5"/>
        <v>#N/A</v>
      </c>
    </row>
    <row r="12" spans="1:29" s="1201" customFormat="1" ht="15">
      <c r="A12" s="2631"/>
      <c r="B12" s="2637">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625"/>
      <c r="Q12" s="1132">
        <f t="shared" si="6"/>
        <v>111</v>
      </c>
      <c r="R12" s="1501" t="s">
        <v>8</v>
      </c>
      <c r="S12" s="1502">
        <f t="shared" si="0"/>
        <v>100</v>
      </c>
      <c r="T12" s="1501" t="s">
        <v>8</v>
      </c>
      <c r="U12" s="1502">
        <f t="shared" si="1"/>
        <v>100</v>
      </c>
      <c r="V12" s="1501" t="s">
        <v>8</v>
      </c>
      <c r="W12" s="1502">
        <f t="shared" si="2"/>
        <v>100</v>
      </c>
      <c r="X12" s="1503"/>
      <c r="Y12" s="3530"/>
      <c r="Z12" s="1131">
        <f t="shared" si="7"/>
        <v>111</v>
      </c>
      <c r="AA12" s="1504">
        <f>D12/F12</f>
        <v>1</v>
      </c>
      <c r="AB12" s="1504">
        <f>D12/H12</f>
        <v>1</v>
      </c>
      <c r="AC12" s="1504">
        <f>D12/J12</f>
        <v>1</v>
      </c>
    </row>
    <row r="13" spans="1:29" ht="15">
      <c r="A13" s="2631"/>
      <c r="B13" s="2637">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625"/>
      <c r="Q13" s="1132">
        <f t="shared" si="6"/>
        <v>111</v>
      </c>
      <c r="R13" s="1501" t="s">
        <v>8</v>
      </c>
      <c r="S13" s="1502">
        <f t="shared" si="0"/>
        <v>100</v>
      </c>
      <c r="T13" s="1501" t="s">
        <v>8</v>
      </c>
      <c r="U13" s="1502">
        <f t="shared" si="1"/>
        <v>100</v>
      </c>
      <c r="V13" s="1501" t="s">
        <v>8</v>
      </c>
      <c r="W13" s="1502">
        <f t="shared" si="2"/>
        <v>100</v>
      </c>
      <c r="X13" s="1503"/>
      <c r="Y13" s="3530"/>
      <c r="Z13" s="1131">
        <f t="shared" si="7"/>
        <v>111</v>
      </c>
      <c r="AA13" s="1504">
        <f t="shared" si="3"/>
        <v>1</v>
      </c>
      <c r="AB13" s="1504">
        <f t="shared" si="4"/>
        <v>1</v>
      </c>
      <c r="AC13" s="1504">
        <f t="shared" si="5"/>
        <v>1</v>
      </c>
    </row>
    <row r="14" spans="1:29" ht="15.75" thickBot="1">
      <c r="A14" s="2632"/>
      <c r="B14" s="2638">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625"/>
      <c r="Q14" s="1132">
        <f t="shared" si="6"/>
        <v>111</v>
      </c>
      <c r="R14" s="1501" t="s">
        <v>8</v>
      </c>
      <c r="S14" s="1502">
        <f t="shared" si="0"/>
        <v>100</v>
      </c>
      <c r="T14" s="1501" t="s">
        <v>8</v>
      </c>
      <c r="U14" s="1502">
        <f t="shared" si="1"/>
        <v>100</v>
      </c>
      <c r="V14" s="1501" t="s">
        <v>8</v>
      </c>
      <c r="W14" s="1502">
        <f t="shared" si="2"/>
        <v>100</v>
      </c>
      <c r="X14" s="1503"/>
      <c r="Y14" s="3530"/>
      <c r="Z14" s="1131">
        <f t="shared" si="7"/>
        <v>111</v>
      </c>
      <c r="AA14" s="1504">
        <f t="shared" si="3"/>
        <v>1</v>
      </c>
      <c r="AB14" s="1504">
        <f t="shared" si="4"/>
        <v>1</v>
      </c>
      <c r="AC14" s="1504">
        <f t="shared" si="5"/>
        <v>1</v>
      </c>
    </row>
    <row r="15" spans="1:29" ht="57">
      <c r="A15" s="2624" t="s">
        <v>2727</v>
      </c>
      <c r="B15" s="163"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659" t="s">
        <v>534</v>
      </c>
      <c r="Q15" s="1505" t="str">
        <f t="shared" si="6"/>
        <v>产业集聚程度</v>
      </c>
      <c r="R15" s="1506" t="s">
        <v>8</v>
      </c>
      <c r="S15" s="1507">
        <f t="shared" si="0"/>
        <v>100</v>
      </c>
      <c r="T15" s="1506" t="s">
        <v>8</v>
      </c>
      <c r="U15" s="1507">
        <f t="shared" si="1"/>
        <v>100</v>
      </c>
      <c r="V15" s="1506" t="s">
        <v>8</v>
      </c>
      <c r="W15" s="1507">
        <f t="shared" si="2"/>
        <v>100</v>
      </c>
      <c r="X15" s="1500"/>
      <c r="Y15" s="3659"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660"/>
      <c r="Q16" s="1505"/>
      <c r="R16" s="1506"/>
      <c r="S16" s="1507"/>
      <c r="T16" s="1506"/>
      <c r="U16" s="1507"/>
      <c r="V16" s="1506"/>
      <c r="W16" s="1507"/>
      <c r="X16" s="1500"/>
      <c r="Y16" s="3660"/>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660"/>
      <c r="Q17" s="1505" t="str">
        <f>B17</f>
        <v>交通便捷度</v>
      </c>
      <c r="R17" s="1506" t="s">
        <v>8</v>
      </c>
      <c r="S17" s="1507">
        <f>F17</f>
        <v>100</v>
      </c>
      <c r="T17" s="1506" t="s">
        <v>8</v>
      </c>
      <c r="U17" s="1507">
        <f>H17</f>
        <v>100</v>
      </c>
      <c r="V17" s="1506" t="s">
        <v>8</v>
      </c>
      <c r="W17" s="1507">
        <f>J17</f>
        <v>100</v>
      </c>
      <c r="X17" s="1500"/>
      <c r="Y17" s="366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660"/>
      <c r="Q18" s="1505"/>
      <c r="R18" s="1506"/>
      <c r="S18" s="1507"/>
      <c r="T18" s="1506"/>
      <c r="U18" s="1507"/>
      <c r="V18" s="1506"/>
      <c r="W18" s="1507"/>
      <c r="X18" s="1500"/>
      <c r="Y18" s="3660"/>
      <c r="Z18" s="1508"/>
      <c r="AA18" s="1509">
        <v>1</v>
      </c>
      <c r="AB18" s="1509">
        <v>1</v>
      </c>
      <c r="AC18" s="1509">
        <v>1</v>
      </c>
    </row>
    <row r="19" spans="1:29" ht="42.75">
      <c r="A19" s="525"/>
      <c r="B19" s="2444" t="s">
        <v>2520</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660"/>
      <c r="Q19" s="1505" t="str">
        <f>B19</f>
        <v>公共配套设施</v>
      </c>
      <c r="R19" s="1506" t="s">
        <v>8</v>
      </c>
      <c r="S19" s="1507">
        <f>F19</f>
        <v>100</v>
      </c>
      <c r="T19" s="1506" t="s">
        <v>8</v>
      </c>
      <c r="U19" s="1507">
        <f>H19</f>
        <v>100</v>
      </c>
      <c r="V19" s="1506" t="s">
        <v>8</v>
      </c>
      <c r="W19" s="1507">
        <f>J19</f>
        <v>100</v>
      </c>
      <c r="X19" s="1500"/>
      <c r="Y19" s="3660"/>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2"/>
      <c r="M20" s="2014"/>
      <c r="N20" s="2014"/>
      <c r="O20" s="2021"/>
      <c r="P20" s="3660"/>
      <c r="Q20" s="1505"/>
      <c r="R20" s="1506"/>
      <c r="S20" s="1507"/>
      <c r="T20" s="1506"/>
      <c r="U20" s="1507"/>
      <c r="V20" s="1506"/>
      <c r="W20" s="1507"/>
      <c r="X20" s="1500"/>
      <c r="Y20" s="3660"/>
      <c r="Z20" s="1508"/>
      <c r="AA20" s="1509">
        <v>1</v>
      </c>
      <c r="AB20" s="1509">
        <v>1</v>
      </c>
      <c r="AC20" s="1509">
        <v>1</v>
      </c>
    </row>
    <row r="21" spans="1:29" ht="28.5">
      <c r="A21" s="525"/>
      <c r="B21" s="2432" t="s">
        <v>2532</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660"/>
      <c r="Q21" s="2426" t="str">
        <f>B21</f>
        <v>基础设施水平</v>
      </c>
      <c r="R21" s="1506" t="s">
        <v>8</v>
      </c>
      <c r="S21" s="1507">
        <f>F21</f>
        <v>100</v>
      </c>
      <c r="T21" s="1506" t="s">
        <v>8</v>
      </c>
      <c r="U21" s="1507">
        <f>H21</f>
        <v>100</v>
      </c>
      <c r="V21" s="1506" t="s">
        <v>8</v>
      </c>
      <c r="W21" s="1507">
        <f>J21</f>
        <v>100</v>
      </c>
      <c r="X21" s="2428"/>
      <c r="Y21" s="3660"/>
      <c r="Z21" s="2427"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3"/>
      <c r="L22" s="2022"/>
      <c r="M22" s="2014"/>
      <c r="N22" s="2014"/>
      <c r="O22" s="2021"/>
      <c r="P22" s="3660"/>
      <c r="Q22" s="2426"/>
      <c r="R22" s="1506"/>
      <c r="S22" s="1507"/>
      <c r="T22" s="1506"/>
      <c r="U22" s="1507"/>
      <c r="V22" s="1506"/>
      <c r="W22" s="1507"/>
      <c r="X22" s="2428"/>
      <c r="Y22" s="3660"/>
      <c r="Z22" s="2427"/>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660"/>
      <c r="Q23" s="1505" t="str">
        <f>B23</f>
        <v>环境质量</v>
      </c>
      <c r="R23" s="1506" t="s">
        <v>8</v>
      </c>
      <c r="S23" s="1507">
        <f>F23</f>
        <v>100</v>
      </c>
      <c r="T23" s="1506" t="s">
        <v>8</v>
      </c>
      <c r="U23" s="1507">
        <f>H23</f>
        <v>100</v>
      </c>
      <c r="V23" s="1506" t="s">
        <v>8</v>
      </c>
      <c r="W23" s="1507">
        <f>J23</f>
        <v>100</v>
      </c>
      <c r="X23" s="1500"/>
      <c r="Y23" s="3660"/>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2"/>
      <c r="M24" s="2014"/>
      <c r="N24" s="2014"/>
      <c r="O24" s="2021"/>
      <c r="P24" s="3660"/>
      <c r="Q24" s="1505"/>
      <c r="R24" s="1506"/>
      <c r="S24" s="1507"/>
      <c r="T24" s="1506"/>
      <c r="U24" s="1507"/>
      <c r="V24" s="1506"/>
      <c r="W24" s="1507"/>
      <c r="X24" s="1500"/>
      <c r="Y24" s="3660"/>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660"/>
      <c r="Q25" s="1505">
        <f>B25</f>
        <v>111</v>
      </c>
      <c r="R25" s="1506" t="s">
        <v>8</v>
      </c>
      <c r="S25" s="1507">
        <f>F25</f>
        <v>100</v>
      </c>
      <c r="T25" s="1506" t="s">
        <v>8</v>
      </c>
      <c r="U25" s="1507">
        <f>H25</f>
        <v>100</v>
      </c>
      <c r="V25" s="1506" t="s">
        <v>8</v>
      </c>
      <c r="W25" s="1507">
        <f>J25</f>
        <v>100</v>
      </c>
      <c r="X25" s="1500"/>
      <c r="Y25" s="3660"/>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660"/>
      <c r="Q26" s="1505">
        <f t="shared" ref="Q26:Q40" si="11">B26</f>
        <v>111</v>
      </c>
      <c r="R26" s="1506" t="s">
        <v>8</v>
      </c>
      <c r="S26" s="1507">
        <f>F26</f>
        <v>100</v>
      </c>
      <c r="T26" s="1506" t="s">
        <v>8</v>
      </c>
      <c r="U26" s="1507">
        <f>H26</f>
        <v>100</v>
      </c>
      <c r="V26" s="1506" t="s">
        <v>8</v>
      </c>
      <c r="W26" s="1507">
        <f>J26</f>
        <v>100</v>
      </c>
      <c r="X26" s="1500"/>
      <c r="Y26" s="3660"/>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660"/>
      <c r="Q27" s="1132">
        <f t="shared" si="11"/>
        <v>111</v>
      </c>
      <c r="R27" s="1501" t="s">
        <v>8</v>
      </c>
      <c r="S27" s="1502">
        <f>F27</f>
        <v>100</v>
      </c>
      <c r="T27" s="1501" t="s">
        <v>8</v>
      </c>
      <c r="U27" s="1502">
        <f>H27</f>
        <v>100</v>
      </c>
      <c r="V27" s="1501" t="s">
        <v>8</v>
      </c>
      <c r="W27" s="1502">
        <f>J27</f>
        <v>100</v>
      </c>
      <c r="X27" s="1503"/>
      <c r="Y27" s="3660"/>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660"/>
      <c r="Q28" s="1505">
        <f t="shared" si="11"/>
        <v>111</v>
      </c>
      <c r="R28" s="1506" t="s">
        <v>8</v>
      </c>
      <c r="S28" s="1507">
        <f t="shared" ref="S28:S40" si="12">F28</f>
        <v>100</v>
      </c>
      <c r="T28" s="1506" t="s">
        <v>8</v>
      </c>
      <c r="U28" s="1507">
        <f t="shared" ref="U28:U40" si="13">H28</f>
        <v>100</v>
      </c>
      <c r="V28" s="1506" t="s">
        <v>8</v>
      </c>
      <c r="W28" s="1507">
        <f t="shared" ref="W28:W40" si="14">J28</f>
        <v>100</v>
      </c>
      <c r="X28" s="1500"/>
      <c r="Y28" s="3660"/>
      <c r="Z28" s="1508">
        <f t="shared" ref="Z28:Z40" si="15">Q28</f>
        <v>111</v>
      </c>
      <c r="AA28" s="1509">
        <f t="shared" si="3"/>
        <v>1</v>
      </c>
      <c r="AB28" s="1509">
        <f t="shared" si="4"/>
        <v>1</v>
      </c>
      <c r="AC28" s="1509">
        <f t="shared" si="5"/>
        <v>1</v>
      </c>
    </row>
    <row r="29" spans="1:29" ht="15">
      <c r="A29" s="2621" t="s">
        <v>2728</v>
      </c>
      <c r="B29" s="169"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661" t="s">
        <v>544</v>
      </c>
      <c r="Q29" s="1505" t="str">
        <f t="shared" si="11"/>
        <v>建筑类型</v>
      </c>
      <c r="R29" s="1506" t="s">
        <v>8</v>
      </c>
      <c r="S29" s="1507">
        <f t="shared" si="12"/>
        <v>100</v>
      </c>
      <c r="T29" s="1506" t="s">
        <v>8</v>
      </c>
      <c r="U29" s="1507">
        <f t="shared" si="13"/>
        <v>100</v>
      </c>
      <c r="V29" s="1506" t="s">
        <v>8</v>
      </c>
      <c r="W29" s="1507">
        <f t="shared" si="14"/>
        <v>100</v>
      </c>
      <c r="X29" s="1500"/>
      <c r="Y29" s="3662" t="s">
        <v>544</v>
      </c>
      <c r="Z29" s="1508" t="str">
        <f t="shared" si="15"/>
        <v>建筑类型</v>
      </c>
      <c r="AA29" s="1509">
        <f t="shared" si="3"/>
        <v>1</v>
      </c>
      <c r="AB29" s="1509">
        <f t="shared" si="4"/>
        <v>1</v>
      </c>
      <c r="AC29" s="1509">
        <f t="shared" si="5"/>
        <v>1</v>
      </c>
    </row>
    <row r="30" spans="1:29" s="1291"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662"/>
      <c r="Q30" s="1534" t="str">
        <f t="shared" si="11"/>
        <v>项目建筑规模</v>
      </c>
      <c r="R30" s="1510" t="s">
        <v>8</v>
      </c>
      <c r="S30" s="1511" t="e">
        <f t="shared" si="12"/>
        <v>#N/A</v>
      </c>
      <c r="T30" s="1510" t="s">
        <v>8</v>
      </c>
      <c r="U30" s="1511" t="e">
        <f t="shared" si="13"/>
        <v>#N/A</v>
      </c>
      <c r="V30" s="1510" t="s">
        <v>8</v>
      </c>
      <c r="W30" s="1511" t="e">
        <f t="shared" si="14"/>
        <v>#N/A</v>
      </c>
      <c r="X30" s="1512"/>
      <c r="Y30" s="3662"/>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662"/>
      <c r="Q31" s="1505" t="str">
        <f t="shared" si="11"/>
        <v>建筑结构</v>
      </c>
      <c r="R31" s="1506" t="s">
        <v>8</v>
      </c>
      <c r="S31" s="1507">
        <f t="shared" si="12"/>
        <v>100</v>
      </c>
      <c r="T31" s="1506" t="s">
        <v>8</v>
      </c>
      <c r="U31" s="1507">
        <f t="shared" si="13"/>
        <v>100</v>
      </c>
      <c r="V31" s="1506" t="s">
        <v>8</v>
      </c>
      <c r="W31" s="1507">
        <f t="shared" si="14"/>
        <v>100</v>
      </c>
      <c r="X31" s="1500"/>
      <c r="Y31" s="3662"/>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662"/>
      <c r="Q32" s="1505" t="str">
        <f t="shared" si="11"/>
        <v>公共部分装修</v>
      </c>
      <c r="R32" s="1506" t="s">
        <v>8</v>
      </c>
      <c r="S32" s="1507">
        <f t="shared" si="12"/>
        <v>100</v>
      </c>
      <c r="T32" s="1506" t="s">
        <v>8</v>
      </c>
      <c r="U32" s="1507">
        <f t="shared" si="13"/>
        <v>100</v>
      </c>
      <c r="V32" s="1506" t="s">
        <v>8</v>
      </c>
      <c r="W32" s="1507">
        <f t="shared" si="14"/>
        <v>100</v>
      </c>
      <c r="X32" s="1500"/>
      <c r="Y32" s="3662"/>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662"/>
      <c r="Q33" s="1505" t="str">
        <f t="shared" si="11"/>
        <v>成新度</v>
      </c>
      <c r="R33" s="1506" t="s">
        <v>8</v>
      </c>
      <c r="S33" s="1507" t="e">
        <f t="shared" si="12"/>
        <v>#N/A</v>
      </c>
      <c r="T33" s="1506" t="s">
        <v>8</v>
      </c>
      <c r="U33" s="1507" t="e">
        <f t="shared" si="13"/>
        <v>#N/A</v>
      </c>
      <c r="V33" s="1506" t="s">
        <v>8</v>
      </c>
      <c r="W33" s="1507" t="e">
        <f t="shared" si="14"/>
        <v>#N/A</v>
      </c>
      <c r="X33" s="1500"/>
      <c r="Y33" s="3662"/>
      <c r="Z33" s="1508" t="str">
        <f t="shared" si="15"/>
        <v>成新度</v>
      </c>
      <c r="AA33" s="1509" t="e">
        <f t="shared" si="3"/>
        <v>#N/A</v>
      </c>
      <c r="AB33" s="1509" t="e">
        <f t="shared" si="4"/>
        <v>#N/A</v>
      </c>
      <c r="AC33" s="1509"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662"/>
      <c r="Q34" s="1132" t="str">
        <f t="shared" si="11"/>
        <v>物业管理</v>
      </c>
      <c r="R34" s="1501" t="s">
        <v>8</v>
      </c>
      <c r="S34" s="1502">
        <f t="shared" si="12"/>
        <v>100</v>
      </c>
      <c r="T34" s="1501" t="s">
        <v>8</v>
      </c>
      <c r="U34" s="1502">
        <f t="shared" si="13"/>
        <v>100</v>
      </c>
      <c r="V34" s="1501" t="s">
        <v>8</v>
      </c>
      <c r="W34" s="1502">
        <f t="shared" si="14"/>
        <v>100</v>
      </c>
      <c r="X34" s="1503"/>
      <c r="Y34" s="3662"/>
      <c r="Z34" s="1131" t="str">
        <f t="shared" si="15"/>
        <v>物业管理</v>
      </c>
      <c r="AA34" s="1504">
        <f t="shared" si="3"/>
        <v>1</v>
      </c>
      <c r="AB34" s="1504">
        <f t="shared" si="4"/>
        <v>1</v>
      </c>
      <c r="AC34" s="1504">
        <f t="shared" si="5"/>
        <v>1</v>
      </c>
    </row>
    <row r="35" spans="1:29" ht="15">
      <c r="A35" s="587"/>
      <c r="B35" s="1807" t="s">
        <v>2539</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662" t="s">
        <v>544</v>
      </c>
      <c r="Q35" s="1505" t="str">
        <f t="shared" si="11"/>
        <v>市政基础设施</v>
      </c>
      <c r="R35" s="1506" t="s">
        <v>8</v>
      </c>
      <c r="S35" s="1507">
        <f t="shared" si="12"/>
        <v>100</v>
      </c>
      <c r="T35" s="1506" t="s">
        <v>8</v>
      </c>
      <c r="U35" s="1507">
        <f t="shared" si="13"/>
        <v>100</v>
      </c>
      <c r="V35" s="1506" t="s">
        <v>8</v>
      </c>
      <c r="W35" s="1507">
        <f t="shared" si="14"/>
        <v>100</v>
      </c>
      <c r="X35" s="1500"/>
      <c r="Y35" s="3662"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662"/>
      <c r="Q36" s="1505" t="str">
        <f t="shared" si="11"/>
        <v>内部装修</v>
      </c>
      <c r="R36" s="1506" t="s">
        <v>8</v>
      </c>
      <c r="S36" s="1507">
        <f t="shared" si="12"/>
        <v>100</v>
      </c>
      <c r="T36" s="1506" t="s">
        <v>8</v>
      </c>
      <c r="U36" s="1507">
        <f t="shared" si="13"/>
        <v>100</v>
      </c>
      <c r="V36" s="1506" t="s">
        <v>8</v>
      </c>
      <c r="W36" s="1507">
        <f t="shared" si="14"/>
        <v>100</v>
      </c>
      <c r="X36" s="1500"/>
      <c r="Y36" s="3662"/>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662"/>
      <c r="Q37" s="1505" t="str">
        <f t="shared" si="11"/>
        <v>内部装修状况</v>
      </c>
      <c r="R37" s="1506" t="s">
        <v>8</v>
      </c>
      <c r="S37" s="1507">
        <f t="shared" si="12"/>
        <v>100</v>
      </c>
      <c r="T37" s="1506" t="s">
        <v>8</v>
      </c>
      <c r="U37" s="1507">
        <f t="shared" si="13"/>
        <v>100</v>
      </c>
      <c r="V37" s="1506" t="s">
        <v>8</v>
      </c>
      <c r="W37" s="1507">
        <f t="shared" si="14"/>
        <v>100</v>
      </c>
      <c r="X37" s="1500"/>
      <c r="Y37" s="3662"/>
      <c r="Z37" s="1508" t="str">
        <f t="shared" si="15"/>
        <v>内部装修状况</v>
      </c>
      <c r="AA37" s="1509">
        <f t="shared" si="3"/>
        <v>1</v>
      </c>
      <c r="AB37" s="1509">
        <f t="shared" si="4"/>
        <v>1</v>
      </c>
      <c r="AC37" s="1509">
        <f t="shared" si="5"/>
        <v>1</v>
      </c>
    </row>
    <row r="38" spans="1:29" s="1291"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662"/>
      <c r="Q38" s="1534">
        <f t="shared" si="11"/>
        <v>111</v>
      </c>
      <c r="R38" s="1510" t="s">
        <v>8</v>
      </c>
      <c r="S38" s="1511">
        <f t="shared" si="12"/>
        <v>100</v>
      </c>
      <c r="T38" s="1510" t="s">
        <v>8</v>
      </c>
      <c r="U38" s="1511">
        <f t="shared" si="13"/>
        <v>100</v>
      </c>
      <c r="V38" s="1510" t="s">
        <v>8</v>
      </c>
      <c r="W38" s="1511">
        <f t="shared" si="14"/>
        <v>100</v>
      </c>
      <c r="X38" s="1512"/>
      <c r="Y38" s="3662"/>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662"/>
      <c r="Q39" s="1505">
        <f t="shared" si="11"/>
        <v>111</v>
      </c>
      <c r="R39" s="1506" t="s">
        <v>8</v>
      </c>
      <c r="S39" s="1507">
        <f t="shared" si="12"/>
        <v>100</v>
      </c>
      <c r="T39" s="1506" t="s">
        <v>8</v>
      </c>
      <c r="U39" s="1507">
        <f t="shared" si="13"/>
        <v>100</v>
      </c>
      <c r="V39" s="1506" t="s">
        <v>8</v>
      </c>
      <c r="W39" s="1507">
        <f t="shared" si="14"/>
        <v>100</v>
      </c>
      <c r="X39" s="1500"/>
      <c r="Y39" s="3662"/>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744"/>
      <c r="Q40" s="1505">
        <f t="shared" si="11"/>
        <v>111</v>
      </c>
      <c r="R40" s="1506" t="s">
        <v>8</v>
      </c>
      <c r="S40" s="1507">
        <f t="shared" si="12"/>
        <v>100</v>
      </c>
      <c r="T40" s="1506" t="s">
        <v>8</v>
      </c>
      <c r="U40" s="1507">
        <f t="shared" si="13"/>
        <v>100</v>
      </c>
      <c r="V40" s="1506" t="s">
        <v>8</v>
      </c>
      <c r="W40" s="1507">
        <f t="shared" si="14"/>
        <v>100</v>
      </c>
      <c r="X40" s="1500"/>
      <c r="Y40" s="3744"/>
      <c r="Z40" s="1508">
        <f t="shared" si="15"/>
        <v>111</v>
      </c>
      <c r="AA40" s="1509">
        <f t="shared" si="3"/>
        <v>1</v>
      </c>
      <c r="AB40" s="1509">
        <f t="shared" si="4"/>
        <v>1</v>
      </c>
      <c r="AC40" s="1509">
        <f t="shared" si="5"/>
        <v>1</v>
      </c>
    </row>
    <row r="41" spans="1:29" ht="15">
      <c r="A41" s="600" t="s">
        <v>730</v>
      </c>
      <c r="B41" s="875"/>
      <c r="C41" s="2467" t="s">
        <v>1</v>
      </c>
      <c r="D41" s="2468"/>
      <c r="E41" s="2469"/>
      <c r="F41" s="2470"/>
      <c r="G41" s="2471"/>
      <c r="H41" s="2472"/>
      <c r="I41" s="2469"/>
      <c r="J41" s="2472"/>
      <c r="K41" s="1539"/>
      <c r="L41" s="2024"/>
      <c r="M41" s="2025"/>
      <c r="N41" s="2014"/>
      <c r="O41" s="2025"/>
      <c r="P41" s="3625" t="str">
        <f>A41</f>
        <v>成交单价（元/平方米）</v>
      </c>
      <c r="Q41" s="3625"/>
      <c r="R41" s="3743">
        <f>E41</f>
        <v>0</v>
      </c>
      <c r="S41" s="3743"/>
      <c r="T41" s="3743">
        <f>G41</f>
        <v>0</v>
      </c>
      <c r="U41" s="3743"/>
      <c r="V41" s="3743">
        <f>I41</f>
        <v>0</v>
      </c>
      <c r="W41" s="3743"/>
      <c r="X41" s="1495"/>
      <c r="Y41" s="1514"/>
      <c r="Z41" s="1495"/>
      <c r="AA41" s="1495"/>
      <c r="AB41" s="1495"/>
      <c r="AC41" s="1495"/>
    </row>
    <row r="42" spans="1:29" ht="15.75" thickBot="1">
      <c r="A42" s="608" t="s">
        <v>2733</v>
      </c>
      <c r="B42" s="876"/>
      <c r="C42" s="2473" t="e">
        <f>R43</f>
        <v>#DIV/0!</v>
      </c>
      <c r="D42" s="3011" t="s">
        <v>2957</v>
      </c>
      <c r="E42" s="2474" t="e">
        <f>R42</f>
        <v>#DIV/0!</v>
      </c>
      <c r="F42" s="3012"/>
      <c r="G42" s="2473" t="e">
        <f>T42</f>
        <v>#DIV/0!</v>
      </c>
      <c r="H42" s="3012"/>
      <c r="I42" s="2474" t="e">
        <f>V42</f>
        <v>#DIV/0!</v>
      </c>
      <c r="J42" s="3012"/>
      <c r="K42" s="3020">
        <f>F42+H42+J42</f>
        <v>0</v>
      </c>
      <c r="L42" s="2024"/>
      <c r="M42" s="2025"/>
      <c r="N42" s="2014"/>
      <c r="O42" s="2025"/>
      <c r="P42" s="3625" t="str">
        <f>A42</f>
        <v>比较价格（元/平方米）</v>
      </c>
      <c r="Q42" s="3625"/>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1495"/>
      <c r="Y42" s="1495"/>
      <c r="Z42" s="1495"/>
      <c r="AA42" s="1495"/>
      <c r="AB42" s="1495"/>
      <c r="AC42" s="1495"/>
    </row>
    <row r="43" spans="1:29" ht="15.75" thickBot="1">
      <c r="A43" s="612" t="s">
        <v>2892</v>
      </c>
      <c r="B43" s="613"/>
      <c r="C43" s="2475" t="e">
        <f>R43</f>
        <v>#DIV/0!</v>
      </c>
      <c r="D43" s="2475"/>
      <c r="E43" s="2475"/>
      <c r="F43" s="2475"/>
      <c r="G43" s="2475"/>
      <c r="H43" s="2475"/>
      <c r="I43" s="2475"/>
      <c r="J43" s="2475"/>
      <c r="K43" s="1540"/>
      <c r="L43" s="2024"/>
      <c r="M43" s="2025"/>
      <c r="N43" s="2025"/>
      <c r="O43" s="2025"/>
      <c r="P43" s="3622" t="str">
        <f>A43</f>
        <v>估价对象XX用房的比较价格（楼面单价，元/平方米）</v>
      </c>
      <c r="Q43" s="3623"/>
      <c r="R43" s="3742" t="e">
        <f>IF(F1="售价",ROUND(IF(D42="简单平均",AVERAGE(R42:V42),R42*F42+T42*H42+V42*J42),0),ROUND(IF(D42="简单平均",AVERAGE(R42:V42),R42*F42+T42*H42+V42*J42),1))</f>
        <v>#DIV/0!</v>
      </c>
      <c r="S43" s="3742"/>
      <c r="T43" s="3742"/>
      <c r="U43" s="3742"/>
      <c r="V43" s="3742"/>
      <c r="W43" s="3742"/>
      <c r="X43" s="1495"/>
      <c r="Y43" s="1495"/>
      <c r="Z43" s="1495"/>
      <c r="AA43" s="1495"/>
      <c r="AB43" s="1495"/>
      <c r="AC43" s="1495"/>
    </row>
    <row r="44" spans="1:29">
      <c r="A44" s="3209"/>
      <c r="B44" s="3209"/>
      <c r="C44" s="3209"/>
      <c r="D44" s="3209"/>
      <c r="E44" s="3209"/>
      <c r="F44" s="3209"/>
      <c r="G44" s="3211"/>
      <c r="H44" s="3209"/>
      <c r="I44" s="3209"/>
      <c r="J44" s="3209"/>
      <c r="K44" s="3212"/>
      <c r="L44" s="2029"/>
      <c r="M44" s="2025"/>
      <c r="N44" s="2025"/>
      <c r="O44" s="2025"/>
      <c r="P44" s="2025"/>
      <c r="Q44" s="2025"/>
      <c r="R44" s="2025"/>
      <c r="S44" s="2025"/>
      <c r="T44" s="2025"/>
      <c r="U44" s="2025"/>
      <c r="V44" s="2025"/>
      <c r="W44" s="2025"/>
      <c r="X44" s="2025"/>
      <c r="Y44" s="2025"/>
      <c r="Z44" s="2025"/>
      <c r="AA44" s="2025"/>
      <c r="AB44" s="2025"/>
      <c r="AC44" s="2025"/>
    </row>
    <row r="45" spans="1:29">
      <c r="A45" s="3209"/>
      <c r="B45" s="3209"/>
      <c r="C45" s="3209"/>
      <c r="D45" s="3209"/>
      <c r="E45" s="3209"/>
      <c r="F45" s="3209"/>
      <c r="G45" s="3209"/>
      <c r="H45" s="3209"/>
      <c r="I45" s="3209"/>
      <c r="J45" s="3209"/>
      <c r="K45" s="3212"/>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9"/>
      <c r="B46" s="3209"/>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2"/>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9"/>
      <c r="B47" s="3209"/>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2"/>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0"/>
      <c r="B48" s="3210"/>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3"/>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6" t="str">
        <f>YEAR(C7)&amp;"-"&amp;MONTH(C7)</f>
        <v>2020-10</v>
      </c>
      <c r="D52" s="2518">
        <f>EDATE(C52,-1)</f>
        <v>44075</v>
      </c>
      <c r="E52" s="2518">
        <f t="shared" ref="E52:O52" si="16">EDATE(D52,-1)</f>
        <v>44044</v>
      </c>
      <c r="F52" s="2518">
        <f t="shared" si="16"/>
        <v>44013</v>
      </c>
      <c r="G52" s="2518">
        <f t="shared" si="16"/>
        <v>43983</v>
      </c>
      <c r="H52" s="2518">
        <f t="shared" si="16"/>
        <v>43952</v>
      </c>
      <c r="I52" s="2518">
        <f t="shared" si="16"/>
        <v>43922</v>
      </c>
      <c r="J52" s="2518">
        <f t="shared" si="16"/>
        <v>43891</v>
      </c>
      <c r="K52" s="2518">
        <f t="shared" si="16"/>
        <v>43862</v>
      </c>
      <c r="L52" s="2518">
        <f t="shared" si="16"/>
        <v>43831</v>
      </c>
      <c r="M52" s="2518">
        <f t="shared" si="16"/>
        <v>43800</v>
      </c>
      <c r="N52" s="2518">
        <f t="shared" si="16"/>
        <v>43770</v>
      </c>
      <c r="O52" s="2518">
        <f t="shared" si="16"/>
        <v>43739</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2531</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8" t="s">
        <v>2532</v>
      </c>
      <c r="C76" s="2439" t="s">
        <v>2533</v>
      </c>
      <c r="D76" s="2439" t="s">
        <v>2534</v>
      </c>
      <c r="E76" s="2439" t="s">
        <v>2535</v>
      </c>
      <c r="F76" s="2439" t="s">
        <v>2536</v>
      </c>
      <c r="G76" s="2439" t="s">
        <v>2537</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2530</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911"/>
      <c r="C1" s="497" t="s">
        <v>786</v>
      </c>
      <c r="D1" s="837"/>
      <c r="E1" s="499"/>
      <c r="F1" s="2521"/>
      <c r="G1" s="1530" t="s">
        <v>787</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thickBot="1">
      <c r="A3" s="502" t="s">
        <v>789</v>
      </c>
      <c r="B3" s="503" t="e">
        <f>IF(B37="元/平方米",C39,ROUND(B2*10000/D3,0))</f>
        <v>#DIV/0!</v>
      </c>
      <c r="C3" s="840" t="s">
        <v>790</v>
      </c>
      <c r="D3" s="839">
        <f>SUMIF('数据-汇总表'!$C19:$C33,D1,'数据-汇总表'!$E19:$E33)</f>
        <v>0</v>
      </c>
      <c r="E3" s="1760" t="s">
        <v>2064</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791</v>
      </c>
      <c r="B4" s="506"/>
      <c r="C4" s="3631" t="s">
        <v>792</v>
      </c>
      <c r="D4" s="3632"/>
      <c r="E4" s="3631" t="s">
        <v>793</v>
      </c>
      <c r="F4" s="3632"/>
      <c r="G4" s="3631" t="s">
        <v>794</v>
      </c>
      <c r="H4" s="3632"/>
      <c r="I4" s="3631" t="s">
        <v>795</v>
      </c>
      <c r="J4" s="3632"/>
      <c r="K4" s="507" t="s">
        <v>796</v>
      </c>
      <c r="L4" s="2013"/>
      <c r="M4" s="2014"/>
      <c r="N4" s="2014"/>
      <c r="O4" s="2014"/>
      <c r="P4" s="3633" t="s">
        <v>797</v>
      </c>
      <c r="Q4" s="3634"/>
      <c r="R4" s="3639" t="s">
        <v>793</v>
      </c>
      <c r="S4" s="3640"/>
      <c r="T4" s="3639" t="s">
        <v>794</v>
      </c>
      <c r="U4" s="3640"/>
      <c r="V4" s="3626" t="s">
        <v>795</v>
      </c>
      <c r="W4" s="3626"/>
      <c r="X4" s="1500"/>
      <c r="Y4" s="3639" t="s">
        <v>797</v>
      </c>
      <c r="Z4" s="3640"/>
      <c r="AA4" s="3628" t="s">
        <v>793</v>
      </c>
      <c r="AB4" s="3629" t="s">
        <v>794</v>
      </c>
      <c r="AC4" s="3628" t="s">
        <v>795</v>
      </c>
    </row>
    <row r="5" spans="1:29" ht="15">
      <c r="A5" s="508"/>
      <c r="B5" s="509"/>
      <c r="C5" s="3647" t="s">
        <v>2886</v>
      </c>
      <c r="D5" s="3648"/>
      <c r="E5" s="3647" t="s">
        <v>2887</v>
      </c>
      <c r="F5" s="3648"/>
      <c r="G5" s="3647" t="s">
        <v>2888</v>
      </c>
      <c r="H5" s="3648"/>
      <c r="I5" s="3647" t="s">
        <v>2889</v>
      </c>
      <c r="J5" s="3648"/>
      <c r="K5" s="507"/>
      <c r="L5" s="2013"/>
      <c r="M5" s="2014"/>
      <c r="N5" s="2014"/>
      <c r="O5" s="2014"/>
      <c r="P5" s="3635"/>
      <c r="Q5" s="3636"/>
      <c r="R5" s="3641"/>
      <c r="S5" s="3642"/>
      <c r="T5" s="3641"/>
      <c r="U5" s="3642"/>
      <c r="V5" s="3626"/>
      <c r="W5" s="3626"/>
      <c r="X5" s="1500"/>
      <c r="Y5" s="3641"/>
      <c r="Z5" s="3642"/>
      <c r="AA5" s="3629"/>
      <c r="AB5" s="3629"/>
      <c r="AC5" s="3629"/>
    </row>
    <row r="6" spans="1:29" ht="15.75" thickBot="1">
      <c r="A6" s="510"/>
      <c r="B6" s="511"/>
      <c r="C6" s="3645" t="s">
        <v>2890</v>
      </c>
      <c r="D6" s="3646"/>
      <c r="E6" s="3649" t="s">
        <v>2890</v>
      </c>
      <c r="F6" s="3650"/>
      <c r="G6" s="3645" t="s">
        <v>2890</v>
      </c>
      <c r="H6" s="3646"/>
      <c r="I6" s="3645" t="s">
        <v>2890</v>
      </c>
      <c r="J6" s="3646"/>
      <c r="K6" s="507" t="s">
        <v>522</v>
      </c>
      <c r="L6" s="2013"/>
      <c r="M6" s="2014"/>
      <c r="N6" s="2014"/>
      <c r="O6" s="2014"/>
      <c r="P6" s="3637"/>
      <c r="Q6" s="3638"/>
      <c r="R6" s="3641"/>
      <c r="S6" s="3642"/>
      <c r="T6" s="3643"/>
      <c r="U6" s="3644"/>
      <c r="V6" s="3626"/>
      <c r="W6" s="3626"/>
      <c r="X6" s="1500"/>
      <c r="Y6" s="3643"/>
      <c r="Z6" s="3644"/>
      <c r="AA6" s="3630"/>
      <c r="AB6" s="3630"/>
      <c r="AC6" s="3630"/>
    </row>
    <row r="7" spans="1:29" s="1201" customFormat="1" ht="15.75" thickBot="1">
      <c r="A7" s="2626"/>
      <c r="B7" s="2633" t="s">
        <v>523</v>
      </c>
      <c r="C7" s="512">
        <f>'数据-取费表'!B2</f>
        <v>44125</v>
      </c>
      <c r="D7" s="513">
        <v>100</v>
      </c>
      <c r="E7" s="514"/>
      <c r="F7" s="515">
        <f>SUMIF(48:48,YEAR(E7)&amp;"-"&amp;MONTH(E7),49:49)</f>
        <v>0</v>
      </c>
      <c r="G7" s="516"/>
      <c r="H7" s="513">
        <f>SUMIF(48:48,YEAR(G7)&amp;"-"&amp;MONTH(G7),49:49)</f>
        <v>0</v>
      </c>
      <c r="I7" s="516"/>
      <c r="J7" s="513">
        <f>SUMIF(48:48,YEAR(I7)&amp;"-"&amp;MONTH(I7),49:49)</f>
        <v>0</v>
      </c>
      <c r="K7" s="517"/>
      <c r="L7" s="2015"/>
      <c r="M7" s="2016"/>
      <c r="N7" s="2016"/>
      <c r="O7" s="2016"/>
      <c r="P7" s="3656" t="s">
        <v>524</v>
      </c>
      <c r="Q7" s="3658"/>
      <c r="R7" s="1501" t="s">
        <v>8</v>
      </c>
      <c r="S7" s="1502">
        <f t="shared" ref="S7:S14" si="0">F7</f>
        <v>0</v>
      </c>
      <c r="T7" s="1501" t="s">
        <v>8</v>
      </c>
      <c r="U7" s="1502">
        <f t="shared" ref="U7:U14" si="1">H7</f>
        <v>0</v>
      </c>
      <c r="V7" s="1501" t="s">
        <v>8</v>
      </c>
      <c r="W7" s="1502">
        <f t="shared" ref="W7:W14" si="2">J7</f>
        <v>0</v>
      </c>
      <c r="X7" s="1503"/>
      <c r="Y7" s="3656" t="s">
        <v>524</v>
      </c>
      <c r="Z7" s="3657"/>
      <c r="AA7" s="1504" t="e">
        <f>D7/F7</f>
        <v>#DIV/0!</v>
      </c>
      <c r="AB7" s="1504" t="e">
        <f>D7/H7</f>
        <v>#DIV/0!</v>
      </c>
      <c r="AC7" s="1504" t="e">
        <f>D7/J7</f>
        <v>#DIV/0!</v>
      </c>
    </row>
    <row r="8" spans="1:29" s="1201" customFormat="1" ht="15.75" thickBot="1">
      <c r="A8" s="2627"/>
      <c r="B8" s="2634"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656" t="s">
        <v>527</v>
      </c>
      <c r="Q8" s="3657"/>
      <c r="R8" s="1501" t="s">
        <v>8</v>
      </c>
      <c r="S8" s="1502">
        <f t="shared" si="0"/>
        <v>0</v>
      </c>
      <c r="T8" s="1501" t="s">
        <v>8</v>
      </c>
      <c r="U8" s="1502">
        <f t="shared" si="1"/>
        <v>0</v>
      </c>
      <c r="V8" s="1501" t="s">
        <v>8</v>
      </c>
      <c r="W8" s="1502">
        <f t="shared" si="2"/>
        <v>0</v>
      </c>
      <c r="X8" s="1503"/>
      <c r="Y8" s="3656" t="s">
        <v>527</v>
      </c>
      <c r="Z8" s="3657"/>
      <c r="AA8" s="1504" t="e">
        <f t="shared" ref="AA8:AA36" si="3">D8/F8</f>
        <v>#DIV/0!</v>
      </c>
      <c r="AB8" s="1504" t="e">
        <f t="shared" ref="AB8:AB36" si="4">D8/H8</f>
        <v>#DIV/0!</v>
      </c>
      <c r="AC8" s="1504" t="e">
        <f t="shared" ref="AC8:AC36" si="5">D8/J8</f>
        <v>#DIV/0!</v>
      </c>
    </row>
    <row r="9" spans="1:29" s="1201" customFormat="1" ht="15">
      <c r="A9" s="2628"/>
      <c r="B9" s="2635" t="s">
        <v>2729</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625" t="s">
        <v>529</v>
      </c>
      <c r="Q9" s="1132" t="str">
        <f t="shared" ref="Q9:Q14" si="6">B9</f>
        <v>用途</v>
      </c>
      <c r="R9" s="1501" t="s">
        <v>8</v>
      </c>
      <c r="S9" s="1502">
        <f t="shared" si="0"/>
        <v>100</v>
      </c>
      <c r="T9" s="1501" t="s">
        <v>8</v>
      </c>
      <c r="U9" s="1502">
        <f t="shared" si="1"/>
        <v>100</v>
      </c>
      <c r="V9" s="1501" t="s">
        <v>8</v>
      </c>
      <c r="W9" s="1502">
        <f t="shared" si="2"/>
        <v>100</v>
      </c>
      <c r="X9" s="1503"/>
      <c r="Y9" s="3530" t="s">
        <v>530</v>
      </c>
      <c r="Z9" s="1131" t="str">
        <f t="shared" ref="Z9:Z14" si="7">Q9</f>
        <v>用途</v>
      </c>
      <c r="AA9" s="1504">
        <f t="shared" si="3"/>
        <v>1</v>
      </c>
      <c r="AB9" s="1504">
        <f t="shared" si="4"/>
        <v>1</v>
      </c>
      <c r="AC9" s="1504">
        <f t="shared" si="5"/>
        <v>1</v>
      </c>
    </row>
    <row r="10" spans="1:29" s="1290" customFormat="1" ht="27">
      <c r="A10" s="2629"/>
      <c r="B10" s="2634" t="s">
        <v>2730</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625"/>
      <c r="Q10" s="1132" t="str">
        <f t="shared" si="6"/>
        <v>土地使用年限（年）</v>
      </c>
      <c r="R10" s="1501" t="s">
        <v>8</v>
      </c>
      <c r="S10" s="1502">
        <f t="shared" si="0"/>
        <v>100</v>
      </c>
      <c r="T10" s="1501" t="s">
        <v>8</v>
      </c>
      <c r="U10" s="1502">
        <f t="shared" si="1"/>
        <v>100</v>
      </c>
      <c r="V10" s="1501" t="s">
        <v>8</v>
      </c>
      <c r="W10" s="1502">
        <f t="shared" si="2"/>
        <v>100</v>
      </c>
      <c r="X10" s="1503"/>
      <c r="Y10" s="3530"/>
      <c r="Z10" s="1131" t="str">
        <f t="shared" si="7"/>
        <v>土地使用年限（年）</v>
      </c>
      <c r="AA10" s="1504">
        <f t="shared" si="3"/>
        <v>1</v>
      </c>
      <c r="AB10" s="1504">
        <f t="shared" si="4"/>
        <v>1</v>
      </c>
      <c r="AC10" s="1504">
        <f t="shared" si="5"/>
        <v>1</v>
      </c>
    </row>
    <row r="11" spans="1:29" ht="15">
      <c r="A11" s="2631"/>
      <c r="B11" s="2637">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625"/>
      <c r="Q11" s="1132">
        <f t="shared" si="6"/>
        <v>111</v>
      </c>
      <c r="R11" s="1501" t="s">
        <v>8</v>
      </c>
      <c r="S11" s="1502">
        <f t="shared" si="0"/>
        <v>100</v>
      </c>
      <c r="T11" s="1501" t="s">
        <v>8</v>
      </c>
      <c r="U11" s="1502">
        <f t="shared" si="1"/>
        <v>100</v>
      </c>
      <c r="V11" s="1501" t="s">
        <v>8</v>
      </c>
      <c r="W11" s="1502">
        <f t="shared" si="2"/>
        <v>100</v>
      </c>
      <c r="X11" s="1503"/>
      <c r="Y11" s="3530"/>
      <c r="Z11" s="1131">
        <f t="shared" si="7"/>
        <v>111</v>
      </c>
      <c r="AA11" s="1504">
        <f t="shared" si="3"/>
        <v>1</v>
      </c>
      <c r="AB11" s="1504">
        <f t="shared" si="4"/>
        <v>1</v>
      </c>
      <c r="AC11" s="1504">
        <f t="shared" si="5"/>
        <v>1</v>
      </c>
    </row>
    <row r="12" spans="1:29" s="1201" customFormat="1" ht="15">
      <c r="A12" s="2631"/>
      <c r="B12" s="2637">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625"/>
      <c r="Q12" s="1132">
        <f t="shared" si="6"/>
        <v>111</v>
      </c>
      <c r="R12" s="1501" t="s">
        <v>8</v>
      </c>
      <c r="S12" s="1502">
        <f t="shared" si="0"/>
        <v>100</v>
      </c>
      <c r="T12" s="1501" t="s">
        <v>8</v>
      </c>
      <c r="U12" s="1502">
        <f t="shared" si="1"/>
        <v>100</v>
      </c>
      <c r="V12" s="1501" t="s">
        <v>8</v>
      </c>
      <c r="W12" s="1502">
        <f t="shared" si="2"/>
        <v>100</v>
      </c>
      <c r="X12" s="1503"/>
      <c r="Y12" s="3530"/>
      <c r="Z12" s="1131">
        <f t="shared" si="7"/>
        <v>111</v>
      </c>
      <c r="AA12" s="1504">
        <f>D12/F12</f>
        <v>1</v>
      </c>
      <c r="AB12" s="1504">
        <f>D12/H12</f>
        <v>1</v>
      </c>
      <c r="AC12" s="1504">
        <f>D12/J12</f>
        <v>1</v>
      </c>
    </row>
    <row r="13" spans="1:29" ht="15.75" thickBot="1">
      <c r="A13" s="2632"/>
      <c r="B13" s="2638">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625"/>
      <c r="Q13" s="1132">
        <f t="shared" si="6"/>
        <v>111</v>
      </c>
      <c r="R13" s="1501" t="s">
        <v>8</v>
      </c>
      <c r="S13" s="1502">
        <f t="shared" si="0"/>
        <v>100</v>
      </c>
      <c r="T13" s="1501" t="s">
        <v>8</v>
      </c>
      <c r="U13" s="1502">
        <f t="shared" si="1"/>
        <v>100</v>
      </c>
      <c r="V13" s="1501" t="s">
        <v>8</v>
      </c>
      <c r="W13" s="1502">
        <f t="shared" si="2"/>
        <v>100</v>
      </c>
      <c r="X13" s="1503"/>
      <c r="Y13" s="3530"/>
      <c r="Z13" s="1131">
        <f t="shared" si="7"/>
        <v>111</v>
      </c>
      <c r="AA13" s="1504">
        <f t="shared" si="3"/>
        <v>1</v>
      </c>
      <c r="AB13" s="1504">
        <f t="shared" si="4"/>
        <v>1</v>
      </c>
      <c r="AC13" s="1504">
        <f t="shared" si="5"/>
        <v>1</v>
      </c>
    </row>
    <row r="14" spans="1:29" ht="28.5">
      <c r="A14" s="2624" t="s">
        <v>2727</v>
      </c>
      <c r="B14" s="540" t="s">
        <v>537</v>
      </c>
      <c r="C14" s="909" t="str">
        <f>IF(B1="工业",估价对象房地状况!G4,估价对象房地状况!C6)</f>
        <v>现状差，未来较好</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659" t="s">
        <v>534</v>
      </c>
      <c r="Q14" s="1505" t="str">
        <f t="shared" si="6"/>
        <v>交通便捷度</v>
      </c>
      <c r="R14" s="1506" t="s">
        <v>8</v>
      </c>
      <c r="S14" s="1507">
        <f t="shared" si="0"/>
        <v>100</v>
      </c>
      <c r="T14" s="1506" t="s">
        <v>8</v>
      </c>
      <c r="U14" s="1507">
        <f t="shared" si="1"/>
        <v>100</v>
      </c>
      <c r="V14" s="1506" t="s">
        <v>8</v>
      </c>
      <c r="W14" s="1507">
        <f t="shared" si="2"/>
        <v>100</v>
      </c>
      <c r="X14" s="1500"/>
      <c r="Y14" s="3659"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2"/>
      <c r="M15" s="2014"/>
      <c r="N15" s="2014"/>
      <c r="O15" s="2021"/>
      <c r="P15" s="3660"/>
      <c r="Q15" s="1505"/>
      <c r="R15" s="1506"/>
      <c r="S15" s="1507"/>
      <c r="T15" s="1506"/>
      <c r="U15" s="1507"/>
      <c r="V15" s="1506"/>
      <c r="W15" s="1507"/>
      <c r="X15" s="1500"/>
      <c r="Y15" s="3660"/>
      <c r="Z15" s="1508"/>
      <c r="AA15" s="1509">
        <v>1</v>
      </c>
      <c r="AB15" s="1509">
        <v>1</v>
      </c>
      <c r="AC15" s="1509">
        <v>1</v>
      </c>
    </row>
    <row r="16" spans="1:29" ht="15">
      <c r="A16" s="508"/>
      <c r="B16" s="2444" t="s">
        <v>2520</v>
      </c>
      <c r="C16" s="860" t="str">
        <f>IF(B1="工业",估价对象房地状况!G5,估价对象房地状况!C7)</f>
        <v>现状差，未来好</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660"/>
      <c r="Q16" s="1505" t="str">
        <f>B16</f>
        <v>公共配套设施</v>
      </c>
      <c r="R16" s="1506" t="s">
        <v>8</v>
      </c>
      <c r="S16" s="1507">
        <f>F16</f>
        <v>100</v>
      </c>
      <c r="T16" s="1506" t="s">
        <v>8</v>
      </c>
      <c r="U16" s="1507">
        <f>H16</f>
        <v>100</v>
      </c>
      <c r="V16" s="1506" t="s">
        <v>8</v>
      </c>
      <c r="W16" s="1507">
        <f>J16</f>
        <v>100</v>
      </c>
      <c r="X16" s="1500"/>
      <c r="Y16" s="3660"/>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2"/>
      <c r="M17" s="2014"/>
      <c r="N17" s="2014"/>
      <c r="O17" s="2021"/>
      <c r="P17" s="3660"/>
      <c r="Q17" s="1505"/>
      <c r="R17" s="1506"/>
      <c r="S17" s="1507"/>
      <c r="T17" s="1506"/>
      <c r="U17" s="1507"/>
      <c r="V17" s="1506"/>
      <c r="W17" s="1507"/>
      <c r="X17" s="1500"/>
      <c r="Y17" s="3660"/>
      <c r="Z17" s="1508"/>
      <c r="AA17" s="1509">
        <v>1</v>
      </c>
      <c r="AB17" s="1509">
        <v>1</v>
      </c>
      <c r="AC17" s="1509">
        <v>1</v>
      </c>
    </row>
    <row r="18" spans="1:29" ht="15">
      <c r="A18" s="508"/>
      <c r="B18" s="2432" t="s">
        <v>2532</v>
      </c>
      <c r="C18" s="860" t="str">
        <f>IF(B1="工业",估价对象房地状况!G6,估价对象房地状况!C8)</f>
        <v>七桶</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660"/>
      <c r="Q18" s="2426" t="str">
        <f>B18</f>
        <v>基础设施水平</v>
      </c>
      <c r="R18" s="1506" t="s">
        <v>8</v>
      </c>
      <c r="S18" s="1507">
        <f>F18</f>
        <v>100</v>
      </c>
      <c r="T18" s="1506" t="s">
        <v>8</v>
      </c>
      <c r="U18" s="1507">
        <f>H18</f>
        <v>100</v>
      </c>
      <c r="V18" s="1506" t="s">
        <v>8</v>
      </c>
      <c r="W18" s="1507">
        <f>J18</f>
        <v>100</v>
      </c>
      <c r="X18" s="2428"/>
      <c r="Y18" s="3660"/>
      <c r="Z18" s="2427"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3"/>
      <c r="L19" s="2022"/>
      <c r="M19" s="2014"/>
      <c r="N19" s="2014"/>
      <c r="O19" s="2021"/>
      <c r="P19" s="3660"/>
      <c r="Q19" s="2426"/>
      <c r="R19" s="1506"/>
      <c r="S19" s="1507"/>
      <c r="T19" s="1506"/>
      <c r="U19" s="1507"/>
      <c r="V19" s="1506"/>
      <c r="W19" s="1507"/>
      <c r="X19" s="2428"/>
      <c r="Y19" s="3660"/>
      <c r="Z19" s="2427"/>
      <c r="AA19" s="1509">
        <v>1</v>
      </c>
      <c r="AB19" s="1509">
        <v>1</v>
      </c>
      <c r="AC19" s="1509">
        <v>1</v>
      </c>
    </row>
    <row r="20" spans="1:29" ht="28.5">
      <c r="A20" s="508"/>
      <c r="B20" s="553" t="s">
        <v>798</v>
      </c>
      <c r="C20" s="860" t="str">
        <f>IF(B1="工业",估价对象房地状况!G7,估价对象房地状况!C9)</f>
        <v>现状一般，未来较好</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660"/>
      <c r="Q20" s="1505" t="str">
        <f>B20</f>
        <v>自然及人文环境</v>
      </c>
      <c r="R20" s="1506" t="s">
        <v>8</v>
      </c>
      <c r="S20" s="1507">
        <f>F20</f>
        <v>100</v>
      </c>
      <c r="T20" s="1506" t="s">
        <v>8</v>
      </c>
      <c r="U20" s="1507">
        <f>H20</f>
        <v>100</v>
      </c>
      <c r="V20" s="1506" t="s">
        <v>8</v>
      </c>
      <c r="W20" s="1507">
        <f>J20</f>
        <v>100</v>
      </c>
      <c r="X20" s="1500"/>
      <c r="Y20" s="3660"/>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2"/>
      <c r="M21" s="2014"/>
      <c r="N21" s="2014"/>
      <c r="O21" s="2021"/>
      <c r="P21" s="3660"/>
      <c r="Q21" s="1505"/>
      <c r="R21" s="1506"/>
      <c r="S21" s="1507"/>
      <c r="T21" s="1506"/>
      <c r="U21" s="1507"/>
      <c r="V21" s="1506"/>
      <c r="W21" s="1507"/>
      <c r="X21" s="1500"/>
      <c r="Y21" s="3660"/>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660"/>
      <c r="Q22" s="1505" t="str">
        <f>B22</f>
        <v>楼层</v>
      </c>
      <c r="R22" s="1506" t="s">
        <v>8</v>
      </c>
      <c r="S22" s="1507">
        <f>F22</f>
        <v>100</v>
      </c>
      <c r="T22" s="1506" t="s">
        <v>8</v>
      </c>
      <c r="U22" s="1507">
        <f>H22</f>
        <v>100</v>
      </c>
      <c r="V22" s="1506" t="s">
        <v>8</v>
      </c>
      <c r="W22" s="1507">
        <f>J22</f>
        <v>100</v>
      </c>
      <c r="X22" s="1500"/>
      <c r="Y22" s="3660"/>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660"/>
      <c r="Q23" s="1505">
        <f>B23</f>
        <v>111</v>
      </c>
      <c r="R23" s="1506" t="s">
        <v>8</v>
      </c>
      <c r="S23" s="1507">
        <f>F23</f>
        <v>100</v>
      </c>
      <c r="T23" s="1506" t="s">
        <v>8</v>
      </c>
      <c r="U23" s="1507">
        <f>H23</f>
        <v>100</v>
      </c>
      <c r="V23" s="1506" t="s">
        <v>8</v>
      </c>
      <c r="W23" s="1507">
        <f>J23</f>
        <v>100</v>
      </c>
      <c r="X23" s="1500"/>
      <c r="Y23" s="3660"/>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660"/>
      <c r="Q24" s="1505">
        <f t="shared" ref="Q24:Q36" si="11">B24</f>
        <v>111</v>
      </c>
      <c r="R24" s="1506" t="s">
        <v>8</v>
      </c>
      <c r="S24" s="1507">
        <f>F24</f>
        <v>100</v>
      </c>
      <c r="T24" s="1506" t="s">
        <v>8</v>
      </c>
      <c r="U24" s="1507">
        <f>H24</f>
        <v>100</v>
      </c>
      <c r="V24" s="1506" t="s">
        <v>8</v>
      </c>
      <c r="W24" s="1507">
        <f>J24</f>
        <v>100</v>
      </c>
      <c r="X24" s="1500"/>
      <c r="Y24" s="3660"/>
      <c r="Z24" s="1508">
        <f>Q24</f>
        <v>111</v>
      </c>
      <c r="AA24" s="1509">
        <f t="shared" si="3"/>
        <v>1</v>
      </c>
      <c r="AB24" s="1509">
        <f t="shared" si="4"/>
        <v>1</v>
      </c>
      <c r="AC24" s="1509">
        <f t="shared" si="5"/>
        <v>1</v>
      </c>
    </row>
    <row r="25" spans="1:29" s="1201"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660"/>
      <c r="Q25" s="1132">
        <f t="shared" si="11"/>
        <v>111</v>
      </c>
      <c r="R25" s="1501" t="s">
        <v>8</v>
      </c>
      <c r="S25" s="1502">
        <f>F25</f>
        <v>100</v>
      </c>
      <c r="T25" s="1501" t="s">
        <v>8</v>
      </c>
      <c r="U25" s="1502">
        <f>H25</f>
        <v>100</v>
      </c>
      <c r="V25" s="1501" t="s">
        <v>8</v>
      </c>
      <c r="W25" s="1502">
        <f>J25</f>
        <v>100</v>
      </c>
      <c r="X25" s="1503"/>
      <c r="Y25" s="3660"/>
      <c r="Z25" s="1131">
        <f>Q25</f>
        <v>111</v>
      </c>
      <c r="AA25" s="1509">
        <f>D25/F25</f>
        <v>1</v>
      </c>
      <c r="AB25" s="1509">
        <f>D25/H25</f>
        <v>1</v>
      </c>
      <c r="AC25" s="1509">
        <f>D25/J25</f>
        <v>1</v>
      </c>
    </row>
    <row r="26" spans="1:29" ht="15">
      <c r="A26" s="2621" t="s">
        <v>2728</v>
      </c>
      <c r="B26" s="167"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661"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62" t="s">
        <v>544</v>
      </c>
      <c r="Z26" s="1508" t="str">
        <f t="shared" ref="Z26:Z36" si="15">Q26</f>
        <v>配套类型</v>
      </c>
      <c r="AA26" s="1509">
        <f t="shared" si="3"/>
        <v>1</v>
      </c>
      <c r="AB26" s="1509">
        <f t="shared" si="4"/>
        <v>1</v>
      </c>
      <c r="AC26" s="1509">
        <f t="shared" si="5"/>
        <v>1</v>
      </c>
    </row>
    <row r="27" spans="1:29" s="1291"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662"/>
      <c r="Q27" s="1534" t="str">
        <f t="shared" si="11"/>
        <v>项目停车位配比</v>
      </c>
      <c r="R27" s="1510" t="s">
        <v>8</v>
      </c>
      <c r="S27" s="1511">
        <f t="shared" si="12"/>
        <v>100</v>
      </c>
      <c r="T27" s="1510" t="s">
        <v>8</v>
      </c>
      <c r="U27" s="1511">
        <f t="shared" si="13"/>
        <v>100</v>
      </c>
      <c r="V27" s="1510" t="s">
        <v>8</v>
      </c>
      <c r="W27" s="1511">
        <f t="shared" si="14"/>
        <v>100</v>
      </c>
      <c r="X27" s="1512"/>
      <c r="Y27" s="3662"/>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662"/>
      <c r="Q28" s="1505" t="str">
        <f t="shared" si="11"/>
        <v>公共部分装修</v>
      </c>
      <c r="R28" s="1506" t="s">
        <v>8</v>
      </c>
      <c r="S28" s="1507">
        <f t="shared" si="12"/>
        <v>100</v>
      </c>
      <c r="T28" s="1506" t="s">
        <v>8</v>
      </c>
      <c r="U28" s="1507">
        <f t="shared" si="13"/>
        <v>100</v>
      </c>
      <c r="V28" s="1506" t="s">
        <v>8</v>
      </c>
      <c r="W28" s="1507">
        <f t="shared" si="14"/>
        <v>100</v>
      </c>
      <c r="X28" s="1500"/>
      <c r="Y28" s="3662"/>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662"/>
      <c r="Q29" s="1505" t="str">
        <f t="shared" si="11"/>
        <v>成新率</v>
      </c>
      <c r="R29" s="1506" t="s">
        <v>8</v>
      </c>
      <c r="S29" s="1507" t="e">
        <f t="shared" si="12"/>
        <v>#N/A</v>
      </c>
      <c r="T29" s="1506" t="s">
        <v>8</v>
      </c>
      <c r="U29" s="1507" t="e">
        <f t="shared" si="13"/>
        <v>#N/A</v>
      </c>
      <c r="V29" s="1506" t="s">
        <v>8</v>
      </c>
      <c r="W29" s="1507" t="e">
        <f t="shared" si="14"/>
        <v>#N/A</v>
      </c>
      <c r="X29" s="1500"/>
      <c r="Y29" s="3662"/>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662"/>
      <c r="Q30" s="1505" t="str">
        <f t="shared" si="11"/>
        <v>物业等级</v>
      </c>
      <c r="R30" s="1506" t="s">
        <v>8</v>
      </c>
      <c r="S30" s="1507">
        <f t="shared" si="12"/>
        <v>100</v>
      </c>
      <c r="T30" s="1506" t="s">
        <v>8</v>
      </c>
      <c r="U30" s="1507">
        <f t="shared" si="13"/>
        <v>100</v>
      </c>
      <c r="V30" s="1506" t="s">
        <v>8</v>
      </c>
      <c r="W30" s="1507">
        <f t="shared" si="14"/>
        <v>100</v>
      </c>
      <c r="X30" s="1500"/>
      <c r="Y30" s="3662"/>
      <c r="Z30" s="1508" t="str">
        <f t="shared" si="15"/>
        <v>物业等级</v>
      </c>
      <c r="AA30" s="1509">
        <f t="shared" si="3"/>
        <v>1</v>
      </c>
      <c r="AB30" s="1509">
        <f t="shared" si="4"/>
        <v>1</v>
      </c>
      <c r="AC30" s="1509">
        <f t="shared" si="5"/>
        <v>1</v>
      </c>
    </row>
    <row r="31" spans="1:29" s="1201"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662"/>
      <c r="Q31" s="1132" t="str">
        <f t="shared" si="11"/>
        <v>停车位面积</v>
      </c>
      <c r="R31" s="1501" t="s">
        <v>8</v>
      </c>
      <c r="S31" s="1502" t="e">
        <f t="shared" si="12"/>
        <v>#N/A</v>
      </c>
      <c r="T31" s="1501" t="s">
        <v>8</v>
      </c>
      <c r="U31" s="1502" t="e">
        <f t="shared" si="13"/>
        <v>#N/A</v>
      </c>
      <c r="V31" s="1501" t="s">
        <v>8</v>
      </c>
      <c r="W31" s="1502" t="e">
        <f t="shared" si="14"/>
        <v>#N/A</v>
      </c>
      <c r="X31" s="1503"/>
      <c r="Y31" s="3662"/>
      <c r="Z31" s="1131"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662" t="s">
        <v>544</v>
      </c>
      <c r="Q32" s="1505" t="str">
        <f t="shared" si="11"/>
        <v>车位类型</v>
      </c>
      <c r="R32" s="1506" t="s">
        <v>8</v>
      </c>
      <c r="S32" s="1507">
        <f t="shared" si="12"/>
        <v>100</v>
      </c>
      <c r="T32" s="1506" t="s">
        <v>8</v>
      </c>
      <c r="U32" s="1507">
        <f t="shared" si="13"/>
        <v>100</v>
      </c>
      <c r="V32" s="1506" t="s">
        <v>8</v>
      </c>
      <c r="W32" s="1507">
        <f t="shared" si="14"/>
        <v>100</v>
      </c>
      <c r="X32" s="1500"/>
      <c r="Y32" s="3662"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662"/>
      <c r="Q33" s="1505" t="str">
        <f t="shared" si="11"/>
        <v>是否直接入户</v>
      </c>
      <c r="R33" s="1506" t="s">
        <v>8</v>
      </c>
      <c r="S33" s="1507">
        <f t="shared" si="12"/>
        <v>100</v>
      </c>
      <c r="T33" s="1506" t="s">
        <v>8</v>
      </c>
      <c r="U33" s="1507">
        <f t="shared" si="13"/>
        <v>100</v>
      </c>
      <c r="V33" s="1506" t="s">
        <v>8</v>
      </c>
      <c r="W33" s="1507">
        <f t="shared" si="14"/>
        <v>100</v>
      </c>
      <c r="X33" s="1500"/>
      <c r="Y33" s="3662"/>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662"/>
      <c r="Q34" s="1505">
        <f t="shared" si="11"/>
        <v>111</v>
      </c>
      <c r="R34" s="1506" t="s">
        <v>8</v>
      </c>
      <c r="S34" s="1507">
        <f t="shared" si="12"/>
        <v>100</v>
      </c>
      <c r="T34" s="1506" t="s">
        <v>8</v>
      </c>
      <c r="U34" s="1507">
        <f t="shared" si="13"/>
        <v>100</v>
      </c>
      <c r="V34" s="1506" t="s">
        <v>8</v>
      </c>
      <c r="W34" s="1507">
        <f t="shared" si="14"/>
        <v>100</v>
      </c>
      <c r="X34" s="1500"/>
      <c r="Y34" s="3662"/>
      <c r="Z34" s="1508">
        <f t="shared" si="15"/>
        <v>111</v>
      </c>
      <c r="AA34" s="1509">
        <f t="shared" si="3"/>
        <v>1</v>
      </c>
      <c r="AB34" s="1509">
        <f t="shared" si="4"/>
        <v>1</v>
      </c>
      <c r="AC34" s="1509">
        <f t="shared" si="5"/>
        <v>1</v>
      </c>
    </row>
    <row r="35" spans="1:29" s="1291"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662"/>
      <c r="Q35" s="1534">
        <f t="shared" si="11"/>
        <v>111</v>
      </c>
      <c r="R35" s="1510" t="s">
        <v>8</v>
      </c>
      <c r="S35" s="1511">
        <f t="shared" si="12"/>
        <v>100</v>
      </c>
      <c r="T35" s="1510" t="s">
        <v>8</v>
      </c>
      <c r="U35" s="1511">
        <f t="shared" si="13"/>
        <v>100</v>
      </c>
      <c r="V35" s="1510" t="s">
        <v>8</v>
      </c>
      <c r="W35" s="1511">
        <f t="shared" si="14"/>
        <v>100</v>
      </c>
      <c r="X35" s="1512"/>
      <c r="Y35" s="3662"/>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662"/>
      <c r="Q36" s="1505">
        <f t="shared" si="11"/>
        <v>111</v>
      </c>
      <c r="R36" s="1506" t="s">
        <v>8</v>
      </c>
      <c r="S36" s="1507">
        <f t="shared" si="12"/>
        <v>100</v>
      </c>
      <c r="T36" s="1506" t="s">
        <v>8</v>
      </c>
      <c r="U36" s="1507">
        <f t="shared" si="13"/>
        <v>100</v>
      </c>
      <c r="V36" s="1506" t="s">
        <v>8</v>
      </c>
      <c r="W36" s="1507">
        <f t="shared" si="14"/>
        <v>100</v>
      </c>
      <c r="X36" s="1500"/>
      <c r="Y36" s="3662"/>
      <c r="Z36" s="1508">
        <f t="shared" si="15"/>
        <v>111</v>
      </c>
      <c r="AA36" s="1509">
        <f t="shared" si="3"/>
        <v>1</v>
      </c>
      <c r="AB36" s="1509">
        <f t="shared" si="4"/>
        <v>1</v>
      </c>
      <c r="AC36" s="1509">
        <f t="shared" si="5"/>
        <v>1</v>
      </c>
    </row>
    <row r="37" spans="1:29" ht="15">
      <c r="A37" s="1758" t="s">
        <v>2065</v>
      </c>
      <c r="B37" s="1759" t="s">
        <v>2066</v>
      </c>
      <c r="C37" s="2467" t="s">
        <v>1</v>
      </c>
      <c r="D37" s="2468"/>
      <c r="E37" s="2469"/>
      <c r="F37" s="2470"/>
      <c r="G37" s="2471"/>
      <c r="H37" s="2472"/>
      <c r="I37" s="2469"/>
      <c r="J37" s="2472"/>
      <c r="K37" s="1539"/>
      <c r="L37" s="2024"/>
      <c r="M37" s="2025"/>
      <c r="N37" s="2014"/>
      <c r="O37" s="2025"/>
      <c r="P37" s="3625" t="str">
        <f>A37</f>
        <v>成交单价</v>
      </c>
      <c r="Q37" s="3625"/>
      <c r="R37" s="3743">
        <f>E37</f>
        <v>0</v>
      </c>
      <c r="S37" s="3743"/>
      <c r="T37" s="3743">
        <f>G37</f>
        <v>0</v>
      </c>
      <c r="U37" s="3743"/>
      <c r="V37" s="3743">
        <f>I37</f>
        <v>0</v>
      </c>
      <c r="W37" s="3743"/>
      <c r="X37" s="1495"/>
      <c r="Y37" s="1514"/>
      <c r="Z37" s="1495"/>
      <c r="AA37" s="1495"/>
      <c r="AB37" s="1495"/>
      <c r="AC37" s="1495"/>
    </row>
    <row r="38" spans="1:29" ht="15.75" thickBot="1">
      <c r="A38" s="608" t="s">
        <v>2733</v>
      </c>
      <c r="B38" s="876"/>
      <c r="C38" s="2473" t="e">
        <f>R39</f>
        <v>#DIV/0!</v>
      </c>
      <c r="D38" s="3011" t="s">
        <v>2957</v>
      </c>
      <c r="E38" s="2474" t="e">
        <f>R38</f>
        <v>#DIV/0!</v>
      </c>
      <c r="F38" s="3012"/>
      <c r="G38" s="2473" t="e">
        <f>T38</f>
        <v>#DIV/0!</v>
      </c>
      <c r="H38" s="3012"/>
      <c r="I38" s="2474" t="e">
        <f>V38</f>
        <v>#DIV/0!</v>
      </c>
      <c r="J38" s="3012"/>
      <c r="K38" s="3020">
        <f>F38+H38+J38</f>
        <v>0</v>
      </c>
      <c r="L38" s="2024"/>
      <c r="M38" s="2025"/>
      <c r="N38" s="2025"/>
      <c r="O38" s="2025"/>
      <c r="P38" s="3625" t="str">
        <f>A38</f>
        <v>比较价格（元/平方米）</v>
      </c>
      <c r="Q38" s="3625"/>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1495"/>
      <c r="Y38" s="1495"/>
      <c r="Z38" s="1495"/>
      <c r="AA38" s="1495"/>
      <c r="AB38" s="1495"/>
      <c r="AC38" s="1495"/>
    </row>
    <row r="39" spans="1:29" ht="15.75" thickBot="1">
      <c r="A39" s="612" t="s">
        <v>2892</v>
      </c>
      <c r="B39" s="613"/>
      <c r="C39" s="2475" t="e">
        <f>R39</f>
        <v>#DIV/0!</v>
      </c>
      <c r="D39" s="2475"/>
      <c r="E39" s="2475"/>
      <c r="F39" s="2475"/>
      <c r="G39" s="2475"/>
      <c r="H39" s="2475"/>
      <c r="I39" s="2475"/>
      <c r="J39" s="2475"/>
      <c r="K39" s="1540"/>
      <c r="L39" s="2024"/>
      <c r="M39" s="2025"/>
      <c r="N39" s="2025"/>
      <c r="O39" s="2025"/>
      <c r="P39" s="3622" t="str">
        <f>A39</f>
        <v>估价对象XX用房的比较价格（楼面单价，元/平方米）</v>
      </c>
      <c r="Q39" s="3623"/>
      <c r="R39" s="3742" t="e">
        <f>IF(F1="售价",ROUND(IF(D38="简单平均",AVERAGE(R38:W38),R38*F38+T38*H38+V38*J38),0),ROUND(IF(D38="简单平均",AVERAGE(R38:V38),R38*F38+T38*H38+V38*J38),1))</f>
        <v>#DIV/0!</v>
      </c>
      <c r="S39" s="3742"/>
      <c r="T39" s="3742"/>
      <c r="U39" s="3742"/>
      <c r="V39" s="3742"/>
      <c r="W39" s="3742"/>
      <c r="X39" s="1495"/>
      <c r="Y39" s="1495"/>
      <c r="Z39" s="1495"/>
      <c r="AA39" s="1495"/>
      <c r="AB39" s="1495"/>
      <c r="AC39" s="1495"/>
    </row>
    <row r="40" spans="1:29">
      <c r="A40" s="3209"/>
      <c r="B40" s="3209"/>
      <c r="C40" s="3209"/>
      <c r="D40" s="3209"/>
      <c r="E40" s="3209"/>
      <c r="F40" s="3209"/>
      <c r="G40" s="3211"/>
      <c r="H40" s="3209"/>
      <c r="I40" s="3209"/>
      <c r="J40" s="3209"/>
      <c r="K40" s="3212"/>
      <c r="L40" s="2029"/>
      <c r="M40" s="2025"/>
      <c r="N40" s="2025"/>
      <c r="O40" s="2025"/>
      <c r="P40" s="2025"/>
      <c r="Q40" s="2025"/>
      <c r="R40" s="2025"/>
      <c r="S40" s="2025"/>
      <c r="T40" s="2025"/>
      <c r="U40" s="2025"/>
      <c r="V40" s="2025"/>
      <c r="W40" s="2025"/>
      <c r="X40" s="2025"/>
      <c r="Y40" s="2025"/>
      <c r="Z40" s="2025"/>
      <c r="AA40" s="2025"/>
      <c r="AB40" s="2025"/>
      <c r="AC40" s="2025"/>
    </row>
    <row r="41" spans="1:29">
      <c r="A41" s="3209"/>
      <c r="B41" s="3209"/>
      <c r="C41" s="3209"/>
      <c r="D41" s="3209"/>
      <c r="E41" s="3209"/>
      <c r="F41" s="3209"/>
      <c r="G41" s="3209"/>
      <c r="H41" s="3209"/>
      <c r="I41" s="3209"/>
      <c r="J41" s="3209"/>
      <c r="K41" s="3212"/>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9"/>
      <c r="B42" s="3209"/>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2"/>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9"/>
      <c r="B43" s="3209"/>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2"/>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0"/>
      <c r="B44" s="3210"/>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3"/>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6" t="str">
        <f>YEAR(C7)&amp;"-"&amp;MONTH(C7)</f>
        <v>2020-10</v>
      </c>
      <c r="D48" s="2518">
        <f>EDATE(C48,-1)</f>
        <v>44075</v>
      </c>
      <c r="E48" s="2518">
        <f t="shared" ref="E48:O48" si="16">EDATE(D48,-1)</f>
        <v>44044</v>
      </c>
      <c r="F48" s="2518">
        <f t="shared" si="16"/>
        <v>44013</v>
      </c>
      <c r="G48" s="2518">
        <f t="shared" si="16"/>
        <v>43983</v>
      </c>
      <c r="H48" s="2518">
        <f t="shared" si="16"/>
        <v>43952</v>
      </c>
      <c r="I48" s="2518">
        <f t="shared" si="16"/>
        <v>43922</v>
      </c>
      <c r="J48" s="2518">
        <f t="shared" si="16"/>
        <v>43891</v>
      </c>
      <c r="K48" s="2518">
        <f t="shared" si="16"/>
        <v>43862</v>
      </c>
      <c r="L48" s="2518">
        <f t="shared" si="16"/>
        <v>43831</v>
      </c>
      <c r="M48" s="2518">
        <f t="shared" si="16"/>
        <v>43800</v>
      </c>
      <c r="N48" s="2518">
        <f t="shared" si="16"/>
        <v>43770</v>
      </c>
      <c r="O48" s="2518">
        <f t="shared" si="16"/>
        <v>43739</v>
      </c>
      <c r="P48" s="2039"/>
      <c r="Q48" s="2040"/>
      <c r="R48" s="2040"/>
      <c r="S48" s="2040"/>
      <c r="T48" s="2040"/>
      <c r="U48" s="2040"/>
      <c r="V48" s="2040"/>
      <c r="W48" s="2040"/>
      <c r="X48" s="2040"/>
      <c r="Y48" s="2040"/>
      <c r="Z48" s="2040"/>
      <c r="AA48" s="2040"/>
      <c r="AB48" s="2040"/>
      <c r="AC48" s="2040"/>
    </row>
    <row r="49" spans="1:29" s="1201" customFormat="1" ht="15">
      <c r="A49" s="638"/>
      <c r="B49" s="639"/>
      <c r="C49" s="2517">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2531</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8" t="s">
        <v>2532</v>
      </c>
      <c r="C67" s="2439" t="s">
        <v>2533</v>
      </c>
      <c r="D67" s="2439" t="s">
        <v>2534</v>
      </c>
      <c r="E67" s="2439" t="s">
        <v>2535</v>
      </c>
      <c r="F67" s="2439" t="s">
        <v>2536</v>
      </c>
      <c r="G67" s="2439" t="s">
        <v>2537</v>
      </c>
      <c r="H67" s="665"/>
      <c r="I67" s="665"/>
      <c r="J67" s="665"/>
      <c r="K67" s="665"/>
      <c r="L67" s="665"/>
      <c r="M67" s="2442"/>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5" t="s">
        <v>712</v>
      </c>
      <c r="B1" s="911"/>
      <c r="C1" s="497" t="s">
        <v>786</v>
      </c>
      <c r="D1" s="837"/>
      <c r="E1" s="499"/>
      <c r="F1" s="2521"/>
      <c r="G1" s="1530" t="s">
        <v>787</v>
      </c>
      <c r="H1" s="499"/>
      <c r="I1" s="499"/>
      <c r="J1" s="499"/>
      <c r="K1" s="500"/>
      <c r="L1" s="3205"/>
      <c r="M1" s="3206"/>
      <c r="N1" s="3206"/>
      <c r="O1" s="3206"/>
      <c r="P1" s="2012"/>
      <c r="Q1" s="2012"/>
      <c r="R1" s="2012"/>
      <c r="S1" s="2012"/>
      <c r="T1" s="2012"/>
      <c r="U1" s="2012"/>
      <c r="V1" s="2012"/>
      <c r="W1" s="2012"/>
      <c r="X1" s="2012"/>
      <c r="Y1" s="2012"/>
      <c r="Z1" s="2012"/>
      <c r="AA1" s="2012"/>
      <c r="AB1" s="2012"/>
      <c r="AC1" s="3207"/>
    </row>
    <row r="2" spans="1:29" s="1288"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7"/>
    </row>
    <row r="3" spans="1:29" s="1288"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8"/>
      <c r="AC3" s="1942"/>
    </row>
    <row r="4" spans="1:29" ht="15">
      <c r="A4" s="505" t="s">
        <v>791</v>
      </c>
      <c r="B4" s="506"/>
      <c r="C4" s="3631" t="s">
        <v>792</v>
      </c>
      <c r="D4" s="3632"/>
      <c r="E4" s="3665" t="s">
        <v>793</v>
      </c>
      <c r="F4" s="3666"/>
      <c r="G4" s="3631" t="s">
        <v>794</v>
      </c>
      <c r="H4" s="3632"/>
      <c r="I4" s="3631" t="s">
        <v>795</v>
      </c>
      <c r="J4" s="3632"/>
      <c r="K4" s="507" t="s">
        <v>796</v>
      </c>
      <c r="L4" s="2013"/>
      <c r="M4" s="2014"/>
      <c r="N4" s="2014"/>
      <c r="O4" s="2014"/>
      <c r="P4" s="3633" t="s">
        <v>797</v>
      </c>
      <c r="Q4" s="3634"/>
      <c r="R4" s="3639" t="s">
        <v>793</v>
      </c>
      <c r="S4" s="3640"/>
      <c r="T4" s="3639" t="s">
        <v>794</v>
      </c>
      <c r="U4" s="3640"/>
      <c r="V4" s="3626" t="s">
        <v>795</v>
      </c>
      <c r="W4" s="3626"/>
      <c r="X4" s="1500"/>
      <c r="Y4" s="3639" t="s">
        <v>797</v>
      </c>
      <c r="Z4" s="3640"/>
      <c r="AA4" s="3628" t="s">
        <v>793</v>
      </c>
      <c r="AB4" s="3629" t="s">
        <v>794</v>
      </c>
      <c r="AC4" s="3628" t="s">
        <v>795</v>
      </c>
    </row>
    <row r="5" spans="1:29" ht="15">
      <c r="A5" s="508"/>
      <c r="B5" s="509"/>
      <c r="C5" s="3647" t="s">
        <v>2886</v>
      </c>
      <c r="D5" s="3648"/>
      <c r="E5" s="3667" t="s">
        <v>2887</v>
      </c>
      <c r="F5" s="3668"/>
      <c r="G5" s="3647" t="s">
        <v>2888</v>
      </c>
      <c r="H5" s="3648"/>
      <c r="I5" s="3647" t="s">
        <v>2889</v>
      </c>
      <c r="J5" s="3648"/>
      <c r="K5" s="507"/>
      <c r="L5" s="2013"/>
      <c r="M5" s="2014"/>
      <c r="N5" s="2014"/>
      <c r="O5" s="2014"/>
      <c r="P5" s="3635"/>
      <c r="Q5" s="3636"/>
      <c r="R5" s="3641"/>
      <c r="S5" s="3642"/>
      <c r="T5" s="3641"/>
      <c r="U5" s="3642"/>
      <c r="V5" s="3626"/>
      <c r="W5" s="3626"/>
      <c r="X5" s="1500"/>
      <c r="Y5" s="3641"/>
      <c r="Z5" s="3642"/>
      <c r="AA5" s="3629"/>
      <c r="AB5" s="3629"/>
      <c r="AC5" s="3629"/>
    </row>
    <row r="6" spans="1:29" ht="15.75" thickBot="1">
      <c r="A6" s="510"/>
      <c r="B6" s="511"/>
      <c r="C6" s="3645" t="s">
        <v>2890</v>
      </c>
      <c r="D6" s="3646"/>
      <c r="E6" s="3663" t="s">
        <v>2890</v>
      </c>
      <c r="F6" s="3664"/>
      <c r="G6" s="3645" t="s">
        <v>2890</v>
      </c>
      <c r="H6" s="3646"/>
      <c r="I6" s="3645" t="s">
        <v>2890</v>
      </c>
      <c r="J6" s="3646"/>
      <c r="K6" s="507" t="s">
        <v>522</v>
      </c>
      <c r="L6" s="2013"/>
      <c r="M6" s="2014"/>
      <c r="N6" s="2014"/>
      <c r="O6" s="2014"/>
      <c r="P6" s="3637"/>
      <c r="Q6" s="3638"/>
      <c r="R6" s="3641"/>
      <c r="S6" s="3642"/>
      <c r="T6" s="3643"/>
      <c r="U6" s="3644"/>
      <c r="V6" s="3626"/>
      <c r="W6" s="3626"/>
      <c r="X6" s="1500"/>
      <c r="Y6" s="3643"/>
      <c r="Z6" s="3644"/>
      <c r="AA6" s="3630"/>
      <c r="AB6" s="3630"/>
      <c r="AC6" s="3630"/>
    </row>
    <row r="7" spans="1:29" s="1201" customFormat="1" ht="15.75" thickBot="1">
      <c r="A7" s="2626"/>
      <c r="B7" s="2633" t="s">
        <v>523</v>
      </c>
      <c r="C7" s="512">
        <f>'数据-取费表'!B2</f>
        <v>44125</v>
      </c>
      <c r="D7" s="513">
        <v>100</v>
      </c>
      <c r="E7" s="514"/>
      <c r="F7" s="515">
        <f>SUMIF(46:46,YEAR(E7)&amp;"-"&amp;MONTH(E7),47:47)</f>
        <v>0</v>
      </c>
      <c r="G7" s="516"/>
      <c r="H7" s="513">
        <f>SUMIF(46:46,YEAR(G7)&amp;"-"&amp;MONTH(G7),47:47)</f>
        <v>0</v>
      </c>
      <c r="I7" s="516"/>
      <c r="J7" s="513">
        <f>SUMIF(46:46,YEAR(I7)&amp;"-"&amp;MONTH(I7),47:47)</f>
        <v>0</v>
      </c>
      <c r="K7" s="517"/>
      <c r="L7" s="2015"/>
      <c r="M7" s="2016"/>
      <c r="N7" s="2016"/>
      <c r="O7" s="2016"/>
      <c r="P7" s="3656" t="s">
        <v>524</v>
      </c>
      <c r="Q7" s="3658"/>
      <c r="R7" s="1501" t="s">
        <v>8</v>
      </c>
      <c r="S7" s="1502">
        <f t="shared" ref="S7:S14" si="0">F7</f>
        <v>0</v>
      </c>
      <c r="T7" s="1501" t="s">
        <v>8</v>
      </c>
      <c r="U7" s="1502">
        <f t="shared" ref="U7:U14" si="1">H7</f>
        <v>0</v>
      </c>
      <c r="V7" s="1501" t="s">
        <v>8</v>
      </c>
      <c r="W7" s="1502">
        <f t="shared" ref="W7:W14" si="2">J7</f>
        <v>0</v>
      </c>
      <c r="X7" s="1503"/>
      <c r="Y7" s="3656" t="s">
        <v>524</v>
      </c>
      <c r="Z7" s="3657"/>
      <c r="AA7" s="1504" t="e">
        <f>D7/F7</f>
        <v>#DIV/0!</v>
      </c>
      <c r="AB7" s="1504" t="e">
        <f>D7/H7</f>
        <v>#DIV/0!</v>
      </c>
      <c r="AC7" s="1504" t="e">
        <f>D7/J7</f>
        <v>#DIV/0!</v>
      </c>
    </row>
    <row r="8" spans="1:29" s="1201" customFormat="1" ht="15.75" thickBot="1">
      <c r="A8" s="2627"/>
      <c r="B8" s="2634"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656" t="s">
        <v>527</v>
      </c>
      <c r="Q8" s="3657"/>
      <c r="R8" s="1501" t="s">
        <v>8</v>
      </c>
      <c r="S8" s="1502">
        <f t="shared" si="0"/>
        <v>0</v>
      </c>
      <c r="T8" s="1501" t="s">
        <v>8</v>
      </c>
      <c r="U8" s="1502">
        <f t="shared" si="1"/>
        <v>0</v>
      </c>
      <c r="V8" s="1501" t="s">
        <v>8</v>
      </c>
      <c r="W8" s="1502">
        <f t="shared" si="2"/>
        <v>0</v>
      </c>
      <c r="X8" s="1503"/>
      <c r="Y8" s="3656" t="s">
        <v>527</v>
      </c>
      <c r="Z8" s="3657"/>
      <c r="AA8" s="1504" t="e">
        <f t="shared" ref="AA8:AA34" si="3">D8/F8</f>
        <v>#DIV/0!</v>
      </c>
      <c r="AB8" s="1504" t="e">
        <f t="shared" ref="AB8:AB34" si="4">D8/H8</f>
        <v>#DIV/0!</v>
      </c>
      <c r="AC8" s="1504" t="e">
        <f t="shared" ref="AC8:AC34" si="5">D8/J8</f>
        <v>#DIV/0!</v>
      </c>
    </row>
    <row r="9" spans="1:29" s="1201" customFormat="1" ht="15">
      <c r="A9" s="2628"/>
      <c r="B9" s="2635" t="s">
        <v>2729</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625" t="s">
        <v>529</v>
      </c>
      <c r="Q9" s="1132" t="str">
        <f t="shared" ref="Q9:Q14" si="6">B9</f>
        <v>用途</v>
      </c>
      <c r="R9" s="1501" t="s">
        <v>8</v>
      </c>
      <c r="S9" s="1502">
        <f t="shared" si="0"/>
        <v>100</v>
      </c>
      <c r="T9" s="1501" t="s">
        <v>8</v>
      </c>
      <c r="U9" s="1502">
        <f t="shared" si="1"/>
        <v>100</v>
      </c>
      <c r="V9" s="1501" t="s">
        <v>8</v>
      </c>
      <c r="W9" s="1502">
        <f t="shared" si="2"/>
        <v>100</v>
      </c>
      <c r="X9" s="1503"/>
      <c r="Y9" s="3530" t="s">
        <v>530</v>
      </c>
      <c r="Z9" s="1131" t="str">
        <f t="shared" ref="Z9:Z14" si="7">Q9</f>
        <v>用途</v>
      </c>
      <c r="AA9" s="1504">
        <f t="shared" si="3"/>
        <v>1</v>
      </c>
      <c r="AB9" s="1504">
        <f t="shared" si="4"/>
        <v>1</v>
      </c>
      <c r="AC9" s="1504">
        <f t="shared" si="5"/>
        <v>1</v>
      </c>
    </row>
    <row r="10" spans="1:29" s="1290" customFormat="1" ht="27">
      <c r="A10" s="2629"/>
      <c r="B10" s="2634" t="s">
        <v>2730</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625"/>
      <c r="Q10" s="1132" t="str">
        <f t="shared" si="6"/>
        <v>土地使用年限（年）</v>
      </c>
      <c r="R10" s="1501" t="s">
        <v>8</v>
      </c>
      <c r="S10" s="1502">
        <f t="shared" si="0"/>
        <v>100</v>
      </c>
      <c r="T10" s="1501" t="s">
        <v>8</v>
      </c>
      <c r="U10" s="1502">
        <f t="shared" si="1"/>
        <v>100</v>
      </c>
      <c r="V10" s="1501" t="s">
        <v>8</v>
      </c>
      <c r="W10" s="1502">
        <f t="shared" si="2"/>
        <v>100</v>
      </c>
      <c r="X10" s="1503"/>
      <c r="Y10" s="3530"/>
      <c r="Z10" s="1131" t="str">
        <f t="shared" si="7"/>
        <v>土地使用年限（年）</v>
      </c>
      <c r="AA10" s="1504">
        <f t="shared" si="3"/>
        <v>1</v>
      </c>
      <c r="AB10" s="1504">
        <f t="shared" si="4"/>
        <v>1</v>
      </c>
      <c r="AC10" s="1504">
        <f t="shared" si="5"/>
        <v>1</v>
      </c>
    </row>
    <row r="11" spans="1:29" ht="15">
      <c r="A11" s="2631"/>
      <c r="B11" s="2637">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625"/>
      <c r="Q11" s="1132">
        <f t="shared" si="6"/>
        <v>111</v>
      </c>
      <c r="R11" s="1501" t="s">
        <v>8</v>
      </c>
      <c r="S11" s="1502">
        <f t="shared" si="0"/>
        <v>100</v>
      </c>
      <c r="T11" s="1501" t="s">
        <v>8</v>
      </c>
      <c r="U11" s="1502">
        <f t="shared" si="1"/>
        <v>100</v>
      </c>
      <c r="V11" s="1501" t="s">
        <v>8</v>
      </c>
      <c r="W11" s="1502">
        <f t="shared" si="2"/>
        <v>100</v>
      </c>
      <c r="X11" s="1503"/>
      <c r="Y11" s="3530"/>
      <c r="Z11" s="1131">
        <f t="shared" si="7"/>
        <v>111</v>
      </c>
      <c r="AA11" s="1504">
        <f t="shared" si="3"/>
        <v>1</v>
      </c>
      <c r="AB11" s="1504">
        <f t="shared" si="4"/>
        <v>1</v>
      </c>
      <c r="AC11" s="1504">
        <f t="shared" si="5"/>
        <v>1</v>
      </c>
    </row>
    <row r="12" spans="1:29" s="1201" customFormat="1" ht="15">
      <c r="A12" s="2631"/>
      <c r="B12" s="2637">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625"/>
      <c r="Q12" s="1132">
        <f t="shared" si="6"/>
        <v>111</v>
      </c>
      <c r="R12" s="1501" t="s">
        <v>8</v>
      </c>
      <c r="S12" s="1502">
        <f t="shared" si="0"/>
        <v>100</v>
      </c>
      <c r="T12" s="1501" t="s">
        <v>8</v>
      </c>
      <c r="U12" s="1502">
        <f t="shared" si="1"/>
        <v>100</v>
      </c>
      <c r="V12" s="1501" t="s">
        <v>8</v>
      </c>
      <c r="W12" s="1502">
        <f t="shared" si="2"/>
        <v>100</v>
      </c>
      <c r="X12" s="1503"/>
      <c r="Y12" s="3530"/>
      <c r="Z12" s="1131">
        <f t="shared" si="7"/>
        <v>111</v>
      </c>
      <c r="AA12" s="1504">
        <f>D12/F12</f>
        <v>1</v>
      </c>
      <c r="AB12" s="1504">
        <f>D12/H12</f>
        <v>1</v>
      </c>
      <c r="AC12" s="1504">
        <f>D12/J12</f>
        <v>1</v>
      </c>
    </row>
    <row r="13" spans="1:29" ht="15.75" thickBot="1">
      <c r="A13" s="2632"/>
      <c r="B13" s="2638">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625"/>
      <c r="Q13" s="1132">
        <f t="shared" si="6"/>
        <v>111</v>
      </c>
      <c r="R13" s="1501" t="s">
        <v>8</v>
      </c>
      <c r="S13" s="1502">
        <f t="shared" si="0"/>
        <v>100</v>
      </c>
      <c r="T13" s="1501" t="s">
        <v>8</v>
      </c>
      <c r="U13" s="1502">
        <f t="shared" si="1"/>
        <v>100</v>
      </c>
      <c r="V13" s="1501" t="s">
        <v>8</v>
      </c>
      <c r="W13" s="1502">
        <f t="shared" si="2"/>
        <v>100</v>
      </c>
      <c r="X13" s="1503"/>
      <c r="Y13" s="3530"/>
      <c r="Z13" s="1131">
        <f t="shared" si="7"/>
        <v>111</v>
      </c>
      <c r="AA13" s="1504">
        <f t="shared" si="3"/>
        <v>1</v>
      </c>
      <c r="AB13" s="1504">
        <f t="shared" si="4"/>
        <v>1</v>
      </c>
      <c r="AC13" s="1504">
        <f t="shared" si="5"/>
        <v>1</v>
      </c>
    </row>
    <row r="14" spans="1:29" ht="28.5">
      <c r="A14" s="2624" t="s">
        <v>2727</v>
      </c>
      <c r="B14" s="163" t="s">
        <v>537</v>
      </c>
      <c r="C14" s="909" t="str">
        <f>IF(B1="工业",估价对象房地状况!G4,估价对象房地状况!C6)</f>
        <v>现状差，未来较好</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659" t="s">
        <v>534</v>
      </c>
      <c r="Q14" s="1505" t="str">
        <f t="shared" si="6"/>
        <v>交通便捷度</v>
      </c>
      <c r="R14" s="1506" t="s">
        <v>8</v>
      </c>
      <c r="S14" s="1507">
        <f t="shared" si="0"/>
        <v>100</v>
      </c>
      <c r="T14" s="1506" t="s">
        <v>8</v>
      </c>
      <c r="U14" s="1507">
        <f t="shared" si="1"/>
        <v>100</v>
      </c>
      <c r="V14" s="1506" t="s">
        <v>8</v>
      </c>
      <c r="W14" s="1507">
        <f t="shared" si="2"/>
        <v>100</v>
      </c>
      <c r="X14" s="1500"/>
      <c r="Y14" s="3659"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2"/>
      <c r="M15" s="2014"/>
      <c r="N15" s="2014"/>
      <c r="O15" s="2021"/>
      <c r="P15" s="3660"/>
      <c r="Q15" s="1505"/>
      <c r="R15" s="1506"/>
      <c r="S15" s="1507"/>
      <c r="T15" s="1506"/>
      <c r="U15" s="1507"/>
      <c r="V15" s="1506"/>
      <c r="W15" s="1507"/>
      <c r="X15" s="1500"/>
      <c r="Y15" s="3660"/>
      <c r="Z15" s="1508"/>
      <c r="AA15" s="1509">
        <v>1</v>
      </c>
      <c r="AB15" s="1509">
        <v>1</v>
      </c>
      <c r="AC15" s="1509">
        <v>1</v>
      </c>
    </row>
    <row r="16" spans="1:29" ht="15">
      <c r="A16" s="525"/>
      <c r="B16" s="2444" t="s">
        <v>2520</v>
      </c>
      <c r="C16" s="860" t="str">
        <f>IF(B1="工业",估价对象房地状况!G5,估价对象房地状况!C7)</f>
        <v>现状差，未来好</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660"/>
      <c r="Q16" s="1505" t="str">
        <f>B16</f>
        <v>公共配套设施</v>
      </c>
      <c r="R16" s="1506" t="s">
        <v>8</v>
      </c>
      <c r="S16" s="1507">
        <f>F16</f>
        <v>100</v>
      </c>
      <c r="T16" s="1506" t="s">
        <v>8</v>
      </c>
      <c r="U16" s="1507">
        <f>H16</f>
        <v>100</v>
      </c>
      <c r="V16" s="1506" t="s">
        <v>8</v>
      </c>
      <c r="W16" s="1507">
        <f>J16</f>
        <v>100</v>
      </c>
      <c r="X16" s="1500"/>
      <c r="Y16" s="3660"/>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2"/>
      <c r="M17" s="2014"/>
      <c r="N17" s="2014"/>
      <c r="O17" s="2021"/>
      <c r="P17" s="3660"/>
      <c r="Q17" s="1505"/>
      <c r="R17" s="1506"/>
      <c r="S17" s="1507"/>
      <c r="T17" s="1506"/>
      <c r="U17" s="1507"/>
      <c r="V17" s="1506"/>
      <c r="W17" s="1507"/>
      <c r="X17" s="1500"/>
      <c r="Y17" s="3660"/>
      <c r="Z17" s="1508"/>
      <c r="AA17" s="1509">
        <v>1</v>
      </c>
      <c r="AB17" s="1509">
        <v>1</v>
      </c>
      <c r="AC17" s="1509">
        <v>1</v>
      </c>
    </row>
    <row r="18" spans="1:29" ht="15">
      <c r="A18" s="525"/>
      <c r="B18" s="2432" t="s">
        <v>2532</v>
      </c>
      <c r="C18" s="860" t="str">
        <f>IF(B1="工业",估价对象房地状况!G6,估价对象房地状况!C8)</f>
        <v>七桶</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660"/>
      <c r="Q18" s="2426" t="str">
        <f>B18</f>
        <v>基础设施水平</v>
      </c>
      <c r="R18" s="1506" t="s">
        <v>8</v>
      </c>
      <c r="S18" s="1507">
        <f>F18</f>
        <v>100</v>
      </c>
      <c r="T18" s="1506" t="s">
        <v>8</v>
      </c>
      <c r="U18" s="1507">
        <f>H18</f>
        <v>100</v>
      </c>
      <c r="V18" s="1506" t="s">
        <v>8</v>
      </c>
      <c r="W18" s="1507">
        <f>J18</f>
        <v>100</v>
      </c>
      <c r="X18" s="2428"/>
      <c r="Y18" s="3660"/>
      <c r="Z18" s="2427"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3"/>
      <c r="L19" s="2022"/>
      <c r="M19" s="2014"/>
      <c r="N19" s="2014"/>
      <c r="O19" s="2021"/>
      <c r="P19" s="3660"/>
      <c r="Q19" s="2426"/>
      <c r="R19" s="1506"/>
      <c r="S19" s="1507"/>
      <c r="T19" s="1506"/>
      <c r="U19" s="1507"/>
      <c r="V19" s="1506"/>
      <c r="W19" s="1507"/>
      <c r="X19" s="2428"/>
      <c r="Y19" s="3660"/>
      <c r="Z19" s="2427"/>
      <c r="AA19" s="1509">
        <v>1</v>
      </c>
      <c r="AB19" s="1509">
        <v>1</v>
      </c>
      <c r="AC19" s="1509">
        <v>1</v>
      </c>
    </row>
    <row r="20" spans="1:29" ht="28.5">
      <c r="A20" s="525"/>
      <c r="B20" s="859" t="s">
        <v>798</v>
      </c>
      <c r="C20" s="860" t="str">
        <f>IF(B1="工业",估价对象房地状况!G7,估价对象房地状况!C9)</f>
        <v>现状一般，未来较好</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660"/>
      <c r="Q20" s="1505" t="str">
        <f>B20</f>
        <v>自然及人文环境</v>
      </c>
      <c r="R20" s="1506" t="s">
        <v>8</v>
      </c>
      <c r="S20" s="1507">
        <f>F20</f>
        <v>100</v>
      </c>
      <c r="T20" s="1506" t="s">
        <v>8</v>
      </c>
      <c r="U20" s="1507">
        <f>H20</f>
        <v>100</v>
      </c>
      <c r="V20" s="1506" t="s">
        <v>8</v>
      </c>
      <c r="W20" s="1507">
        <f>J20</f>
        <v>100</v>
      </c>
      <c r="X20" s="1500"/>
      <c r="Y20" s="3660"/>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2"/>
      <c r="M21" s="2014"/>
      <c r="N21" s="2014"/>
      <c r="O21" s="2021"/>
      <c r="P21" s="3660"/>
      <c r="Q21" s="1505"/>
      <c r="R21" s="1506"/>
      <c r="S21" s="1507"/>
      <c r="T21" s="1506"/>
      <c r="U21" s="1507"/>
      <c r="V21" s="1506"/>
      <c r="W21" s="1507"/>
      <c r="X21" s="1500"/>
      <c r="Y21" s="3660"/>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660"/>
      <c r="Q22" s="1505" t="str">
        <f>B22</f>
        <v>楼层</v>
      </c>
      <c r="R22" s="1506" t="s">
        <v>8</v>
      </c>
      <c r="S22" s="1507">
        <f>F22</f>
        <v>100</v>
      </c>
      <c r="T22" s="1506" t="s">
        <v>8</v>
      </c>
      <c r="U22" s="1507">
        <f>H22</f>
        <v>100</v>
      </c>
      <c r="V22" s="1506" t="s">
        <v>8</v>
      </c>
      <c r="W22" s="1507">
        <f>J22</f>
        <v>100</v>
      </c>
      <c r="X22" s="1500"/>
      <c r="Y22" s="3660"/>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660"/>
      <c r="Q23" s="1505">
        <f>B23</f>
        <v>111</v>
      </c>
      <c r="R23" s="1506" t="s">
        <v>8</v>
      </c>
      <c r="S23" s="1507">
        <f>F23</f>
        <v>100</v>
      </c>
      <c r="T23" s="1506" t="s">
        <v>8</v>
      </c>
      <c r="U23" s="1507">
        <f>H23</f>
        <v>100</v>
      </c>
      <c r="V23" s="1506" t="s">
        <v>8</v>
      </c>
      <c r="W23" s="1507">
        <f>J23</f>
        <v>100</v>
      </c>
      <c r="X23" s="1500"/>
      <c r="Y23" s="3660"/>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660"/>
      <c r="Q24" s="1505">
        <f t="shared" ref="Q24:Q34" si="11">B24</f>
        <v>111</v>
      </c>
      <c r="R24" s="1506" t="s">
        <v>8</v>
      </c>
      <c r="S24" s="1507">
        <f>F24</f>
        <v>100</v>
      </c>
      <c r="T24" s="1506" t="s">
        <v>8</v>
      </c>
      <c r="U24" s="1507">
        <f>H24</f>
        <v>100</v>
      </c>
      <c r="V24" s="1506" t="s">
        <v>8</v>
      </c>
      <c r="W24" s="1507">
        <f>J24</f>
        <v>100</v>
      </c>
      <c r="X24" s="1500"/>
      <c r="Y24" s="3660"/>
      <c r="Z24" s="1508">
        <f>Q24</f>
        <v>111</v>
      </c>
      <c r="AA24" s="1509">
        <f t="shared" si="3"/>
        <v>1</v>
      </c>
      <c r="AB24" s="1509">
        <f t="shared" si="4"/>
        <v>1</v>
      </c>
      <c r="AC24" s="1509">
        <f t="shared" si="5"/>
        <v>1</v>
      </c>
    </row>
    <row r="25" spans="1:29" s="1201"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660"/>
      <c r="Q25" s="1132">
        <f t="shared" si="11"/>
        <v>111</v>
      </c>
      <c r="R25" s="1501" t="s">
        <v>8</v>
      </c>
      <c r="S25" s="1502">
        <f>F25</f>
        <v>100</v>
      </c>
      <c r="T25" s="1501" t="s">
        <v>8</v>
      </c>
      <c r="U25" s="1502">
        <f>H25</f>
        <v>100</v>
      </c>
      <c r="V25" s="1501" t="s">
        <v>8</v>
      </c>
      <c r="W25" s="1502">
        <f>J25</f>
        <v>100</v>
      </c>
      <c r="X25" s="1503"/>
      <c r="Y25" s="3660"/>
      <c r="Z25" s="1131">
        <f>Q25</f>
        <v>111</v>
      </c>
      <c r="AA25" s="1509">
        <f>D25/F25</f>
        <v>1</v>
      </c>
      <c r="AB25" s="1509">
        <f>D25/H25</f>
        <v>1</v>
      </c>
      <c r="AC25" s="1509">
        <f>D25/J25</f>
        <v>1</v>
      </c>
    </row>
    <row r="26" spans="1:29" ht="15">
      <c r="A26" s="2621" t="s">
        <v>2728</v>
      </c>
      <c r="B26" s="169"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661"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62" t="s">
        <v>815</v>
      </c>
      <c r="Z26" s="1508" t="str">
        <f t="shared" ref="Z26:Z34" si="15">Q26</f>
        <v>公共部分装修</v>
      </c>
      <c r="AA26" s="1509">
        <f t="shared" si="3"/>
        <v>1</v>
      </c>
      <c r="AB26" s="1509">
        <f t="shared" si="4"/>
        <v>1</v>
      </c>
      <c r="AC26" s="1509">
        <f t="shared" si="5"/>
        <v>1</v>
      </c>
    </row>
    <row r="27" spans="1:29" s="1291"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662"/>
      <c r="Q27" s="1534" t="str">
        <f t="shared" si="11"/>
        <v>成新率</v>
      </c>
      <c r="R27" s="1510" t="s">
        <v>8</v>
      </c>
      <c r="S27" s="1511" t="e">
        <f t="shared" si="12"/>
        <v>#N/A</v>
      </c>
      <c r="T27" s="1510" t="s">
        <v>8</v>
      </c>
      <c r="U27" s="1511" t="e">
        <f t="shared" si="13"/>
        <v>#N/A</v>
      </c>
      <c r="V27" s="1510" t="s">
        <v>8</v>
      </c>
      <c r="W27" s="1511" t="e">
        <f t="shared" si="14"/>
        <v>#N/A</v>
      </c>
      <c r="X27" s="1512"/>
      <c r="Y27" s="3662"/>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662"/>
      <c r="Q28" s="1505" t="str">
        <f t="shared" si="11"/>
        <v>物业等级</v>
      </c>
      <c r="R28" s="1506" t="s">
        <v>8</v>
      </c>
      <c r="S28" s="1507">
        <f t="shared" si="12"/>
        <v>100</v>
      </c>
      <c r="T28" s="1506" t="s">
        <v>8</v>
      </c>
      <c r="U28" s="1507">
        <f t="shared" si="13"/>
        <v>100</v>
      </c>
      <c r="V28" s="1506" t="s">
        <v>8</v>
      </c>
      <c r="W28" s="1507">
        <f t="shared" si="14"/>
        <v>100</v>
      </c>
      <c r="X28" s="1500"/>
      <c r="Y28" s="3662"/>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662"/>
      <c r="Q29" s="1505" t="str">
        <f t="shared" si="11"/>
        <v>有无电梯</v>
      </c>
      <c r="R29" s="1506" t="s">
        <v>8</v>
      </c>
      <c r="S29" s="1507">
        <f t="shared" si="12"/>
        <v>100</v>
      </c>
      <c r="T29" s="1506" t="s">
        <v>8</v>
      </c>
      <c r="U29" s="1507">
        <f t="shared" si="13"/>
        <v>100</v>
      </c>
      <c r="V29" s="1506" t="s">
        <v>8</v>
      </c>
      <c r="W29" s="1507">
        <f t="shared" si="14"/>
        <v>100</v>
      </c>
      <c r="X29" s="1500"/>
      <c r="Y29" s="3662"/>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662"/>
      <c r="Q30" s="1505" t="str">
        <f t="shared" si="11"/>
        <v>建筑面积</v>
      </c>
      <c r="R30" s="1506" t="s">
        <v>8</v>
      </c>
      <c r="S30" s="1507" t="e">
        <f t="shared" si="12"/>
        <v>#N/A</v>
      </c>
      <c r="T30" s="1506" t="s">
        <v>8</v>
      </c>
      <c r="U30" s="1507" t="e">
        <f t="shared" si="13"/>
        <v>#N/A</v>
      </c>
      <c r="V30" s="1506" t="s">
        <v>8</v>
      </c>
      <c r="W30" s="1507" t="e">
        <f t="shared" si="14"/>
        <v>#N/A</v>
      </c>
      <c r="X30" s="1500"/>
      <c r="Y30" s="3662"/>
      <c r="Z30" s="1508" t="str">
        <f t="shared" si="15"/>
        <v>建筑面积</v>
      </c>
      <c r="AA30" s="1509" t="e">
        <f t="shared" si="3"/>
        <v>#N/A</v>
      </c>
      <c r="AB30" s="1509" t="e">
        <f t="shared" si="4"/>
        <v>#N/A</v>
      </c>
      <c r="AC30" s="1509" t="e">
        <f t="shared" si="5"/>
        <v>#N/A</v>
      </c>
    </row>
    <row r="31" spans="1:29" s="1201"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662"/>
      <c r="Q31" s="1132" t="str">
        <f t="shared" si="11"/>
        <v>是否封闭</v>
      </c>
      <c r="R31" s="1501" t="s">
        <v>8</v>
      </c>
      <c r="S31" s="1502">
        <f t="shared" si="12"/>
        <v>100</v>
      </c>
      <c r="T31" s="1501" t="s">
        <v>8</v>
      </c>
      <c r="U31" s="1502">
        <f t="shared" si="13"/>
        <v>100</v>
      </c>
      <c r="V31" s="1501" t="s">
        <v>8</v>
      </c>
      <c r="W31" s="1502">
        <f t="shared" si="14"/>
        <v>100</v>
      </c>
      <c r="X31" s="1503"/>
      <c r="Y31" s="3662"/>
      <c r="Z31" s="1131"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662" t="s">
        <v>544</v>
      </c>
      <c r="Q32" s="1505">
        <f t="shared" si="11"/>
        <v>111</v>
      </c>
      <c r="R32" s="1506" t="s">
        <v>8</v>
      </c>
      <c r="S32" s="1507">
        <f t="shared" si="12"/>
        <v>100</v>
      </c>
      <c r="T32" s="1506" t="s">
        <v>8</v>
      </c>
      <c r="U32" s="1507">
        <f t="shared" si="13"/>
        <v>100</v>
      </c>
      <c r="V32" s="1506" t="s">
        <v>8</v>
      </c>
      <c r="W32" s="1507">
        <f t="shared" si="14"/>
        <v>100</v>
      </c>
      <c r="X32" s="1500"/>
      <c r="Y32" s="3662"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662"/>
      <c r="Q33" s="1505">
        <f t="shared" si="11"/>
        <v>111</v>
      </c>
      <c r="R33" s="1506" t="s">
        <v>8</v>
      </c>
      <c r="S33" s="1507">
        <f t="shared" si="12"/>
        <v>100</v>
      </c>
      <c r="T33" s="1506" t="s">
        <v>8</v>
      </c>
      <c r="U33" s="1507">
        <f t="shared" si="13"/>
        <v>100</v>
      </c>
      <c r="V33" s="1506" t="s">
        <v>8</v>
      </c>
      <c r="W33" s="1507">
        <f t="shared" si="14"/>
        <v>100</v>
      </c>
      <c r="X33" s="1500"/>
      <c r="Y33" s="3662"/>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662"/>
      <c r="Q34" s="1505">
        <f t="shared" si="11"/>
        <v>111</v>
      </c>
      <c r="R34" s="1506" t="s">
        <v>8</v>
      </c>
      <c r="S34" s="1507">
        <f t="shared" si="12"/>
        <v>100</v>
      </c>
      <c r="T34" s="1506" t="s">
        <v>8</v>
      </c>
      <c r="U34" s="1507">
        <f t="shared" si="13"/>
        <v>100</v>
      </c>
      <c r="V34" s="1506" t="s">
        <v>8</v>
      </c>
      <c r="W34" s="1507">
        <f t="shared" si="14"/>
        <v>100</v>
      </c>
      <c r="X34" s="1500"/>
      <c r="Y34" s="3662"/>
      <c r="Z34" s="1508">
        <f t="shared" si="15"/>
        <v>111</v>
      </c>
      <c r="AA34" s="1509">
        <f t="shared" si="3"/>
        <v>1</v>
      </c>
      <c r="AB34" s="1509">
        <f t="shared" si="4"/>
        <v>1</v>
      </c>
      <c r="AC34" s="1509">
        <f t="shared" si="5"/>
        <v>1</v>
      </c>
    </row>
    <row r="35" spans="1:29" ht="15">
      <c r="A35" s="600" t="s">
        <v>730</v>
      </c>
      <c r="B35" s="875"/>
      <c r="C35" s="2467" t="s">
        <v>1</v>
      </c>
      <c r="D35" s="2468"/>
      <c r="E35" s="2469"/>
      <c r="F35" s="2470"/>
      <c r="G35" s="2471"/>
      <c r="H35" s="2472"/>
      <c r="I35" s="2469"/>
      <c r="J35" s="2472"/>
      <c r="K35" s="1539"/>
      <c r="L35" s="2024"/>
      <c r="M35" s="2025"/>
      <c r="N35" s="2014"/>
      <c r="O35" s="2025"/>
      <c r="P35" s="3625" t="str">
        <f>A35</f>
        <v>成交单价（元/平方米）</v>
      </c>
      <c r="Q35" s="3625"/>
      <c r="R35" s="3743">
        <f>E35</f>
        <v>0</v>
      </c>
      <c r="S35" s="3743"/>
      <c r="T35" s="3743">
        <f>G35</f>
        <v>0</v>
      </c>
      <c r="U35" s="3743"/>
      <c r="V35" s="3743">
        <f>I35</f>
        <v>0</v>
      </c>
      <c r="W35" s="3743"/>
      <c r="X35" s="1495"/>
      <c r="Y35" s="1514"/>
      <c r="Z35" s="1495"/>
      <c r="AA35" s="1495"/>
      <c r="AB35" s="1495"/>
      <c r="AC35" s="1495"/>
    </row>
    <row r="36" spans="1:29" ht="15.75" thickBot="1">
      <c r="A36" s="608" t="s">
        <v>2733</v>
      </c>
      <c r="B36" s="876"/>
      <c r="C36" s="2473" t="e">
        <f>R37</f>
        <v>#DIV/0!</v>
      </c>
      <c r="D36" s="3011" t="s">
        <v>2958</v>
      </c>
      <c r="E36" s="2474" t="e">
        <f>R36</f>
        <v>#DIV/0!</v>
      </c>
      <c r="F36" s="3012"/>
      <c r="G36" s="2473" t="e">
        <f>T36</f>
        <v>#DIV/0!</v>
      </c>
      <c r="H36" s="3012"/>
      <c r="I36" s="2474" t="e">
        <f>V36</f>
        <v>#DIV/0!</v>
      </c>
      <c r="J36" s="3012"/>
      <c r="K36" s="3020">
        <f>F36+H36+J36</f>
        <v>0</v>
      </c>
      <c r="L36" s="2024"/>
      <c r="M36" s="2025"/>
      <c r="N36" s="2014"/>
      <c r="O36" s="2025"/>
      <c r="P36" s="3625" t="str">
        <f>A36</f>
        <v>比较价格（元/平方米）</v>
      </c>
      <c r="Q36" s="3625"/>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1495"/>
      <c r="Y36" s="1495"/>
      <c r="Z36" s="1495"/>
      <c r="AA36" s="1495"/>
      <c r="AB36" s="1495"/>
      <c r="AC36" s="1495"/>
    </row>
    <row r="37" spans="1:29" ht="15.75" thickBot="1">
      <c r="A37" s="612" t="s">
        <v>2892</v>
      </c>
      <c r="B37" s="613"/>
      <c r="C37" s="2475" t="e">
        <f>R37</f>
        <v>#DIV/0!</v>
      </c>
      <c r="D37" s="2475"/>
      <c r="E37" s="2475"/>
      <c r="F37" s="2475"/>
      <c r="G37" s="2475"/>
      <c r="H37" s="2475"/>
      <c r="I37" s="2475"/>
      <c r="J37" s="2475"/>
      <c r="K37" s="1540"/>
      <c r="L37" s="2024"/>
      <c r="M37" s="2025"/>
      <c r="N37" s="2025"/>
      <c r="O37" s="2025"/>
      <c r="P37" s="3622" t="str">
        <f>A37</f>
        <v>估价对象XX用房的比较价格（楼面单价，元/平方米）</v>
      </c>
      <c r="Q37" s="3623"/>
      <c r="R37" s="3742" t="e">
        <f>IF(F1="售价",ROUND(IF(D36="简单平均",AVERAGE(R36:W36),R36*F36+T36*H36+V36*J36),0),ROUND(IF(D36="简单平均",AVERAGE(R36:V36),R36*F36+T36*H36+V36*J36),1))</f>
        <v>#DIV/0!</v>
      </c>
      <c r="S37" s="3742"/>
      <c r="T37" s="3742"/>
      <c r="U37" s="3742"/>
      <c r="V37" s="3742"/>
      <c r="W37" s="3742"/>
      <c r="X37" s="1495"/>
      <c r="Y37" s="1495"/>
      <c r="Z37" s="1495"/>
      <c r="AA37" s="1495"/>
      <c r="AB37" s="1495"/>
      <c r="AC37" s="1495"/>
    </row>
    <row r="38" spans="1:29">
      <c r="A38" s="3209"/>
      <c r="B38" s="3209"/>
      <c r="C38" s="3209"/>
      <c r="D38" s="3209"/>
      <c r="E38" s="3209"/>
      <c r="F38" s="3209"/>
      <c r="G38" s="3211"/>
      <c r="H38" s="3209"/>
      <c r="I38" s="3209"/>
      <c r="J38" s="3209"/>
      <c r="K38" s="3212"/>
      <c r="L38" s="2029"/>
      <c r="M38" s="2025"/>
      <c r="N38" s="2025"/>
      <c r="O38" s="2025"/>
      <c r="P38" s="2025"/>
      <c r="Q38" s="2025"/>
      <c r="R38" s="2025"/>
      <c r="S38" s="2025"/>
      <c r="T38" s="2025"/>
      <c r="U38" s="2025"/>
      <c r="V38" s="2025"/>
      <c r="W38" s="2025"/>
      <c r="X38" s="2025"/>
      <c r="Y38" s="2025"/>
      <c r="Z38" s="2025"/>
      <c r="AA38" s="2025"/>
      <c r="AB38" s="2025"/>
      <c r="AC38" s="2025"/>
    </row>
    <row r="39" spans="1:29">
      <c r="A39" s="3209"/>
      <c r="B39" s="3209"/>
      <c r="C39" s="3209"/>
      <c r="D39" s="3209"/>
      <c r="E39" s="3209"/>
      <c r="F39" s="3209"/>
      <c r="G39" s="3209"/>
      <c r="H39" s="3209"/>
      <c r="I39" s="3209"/>
      <c r="J39" s="3209"/>
      <c r="K39" s="3212"/>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9"/>
      <c r="B40" s="3209"/>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2"/>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9"/>
      <c r="B41" s="3209"/>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2"/>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0"/>
      <c r="B42" s="3210"/>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3"/>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6" t="str">
        <f>YEAR(C7)&amp;"-"&amp;MONTH(C7)</f>
        <v>2020-10</v>
      </c>
      <c r="D46" s="2518">
        <f>EDATE(C46,-1)</f>
        <v>44075</v>
      </c>
      <c r="E46" s="2518">
        <f t="shared" ref="E46:O46" si="16">EDATE(D46,-1)</f>
        <v>44044</v>
      </c>
      <c r="F46" s="2518">
        <f t="shared" si="16"/>
        <v>44013</v>
      </c>
      <c r="G46" s="2518">
        <f t="shared" si="16"/>
        <v>43983</v>
      </c>
      <c r="H46" s="2518">
        <f t="shared" si="16"/>
        <v>43952</v>
      </c>
      <c r="I46" s="2518">
        <f t="shared" si="16"/>
        <v>43922</v>
      </c>
      <c r="J46" s="2518">
        <f t="shared" si="16"/>
        <v>43891</v>
      </c>
      <c r="K46" s="2518">
        <f t="shared" si="16"/>
        <v>43862</v>
      </c>
      <c r="L46" s="2518">
        <f t="shared" si="16"/>
        <v>43831</v>
      </c>
      <c r="M46" s="2518">
        <f t="shared" si="16"/>
        <v>43800</v>
      </c>
      <c r="N46" s="2518">
        <f t="shared" si="16"/>
        <v>43770</v>
      </c>
      <c r="O46" s="2518">
        <f t="shared" si="16"/>
        <v>43739</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2531</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8" t="s">
        <v>2532</v>
      </c>
      <c r="C65" s="2439" t="s">
        <v>2533</v>
      </c>
      <c r="D65" s="2439" t="s">
        <v>2534</v>
      </c>
      <c r="E65" s="2439" t="s">
        <v>2535</v>
      </c>
      <c r="F65" s="2439" t="s">
        <v>2536</v>
      </c>
      <c r="G65" s="2439" t="s">
        <v>2537</v>
      </c>
      <c r="H65" s="665"/>
      <c r="I65" s="665"/>
      <c r="J65" s="665"/>
      <c r="K65" s="665"/>
      <c r="L65" s="665"/>
      <c r="M65" s="2442"/>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4"/>
    <col min="36" max="16384" width="9" style="1202"/>
  </cols>
  <sheetData>
    <row r="1" spans="1:45" s="254" customFormat="1" ht="14.25" customHeight="1" thickBot="1">
      <c r="A1" s="362"/>
      <c r="B1" s="2112" t="s">
        <v>2290</v>
      </c>
      <c r="C1" s="3760" t="s">
        <v>2291</v>
      </c>
      <c r="D1" s="3761"/>
      <c r="E1" s="3761"/>
      <c r="F1" s="3761"/>
      <c r="G1" s="3761"/>
      <c r="H1" s="3761"/>
      <c r="I1" s="3761"/>
      <c r="J1" s="3761"/>
      <c r="K1" s="3761"/>
      <c r="L1" s="3761"/>
      <c r="M1" s="3761"/>
      <c r="N1" s="3761"/>
      <c r="O1" s="3761"/>
      <c r="P1" s="3761"/>
      <c r="Q1" s="3761"/>
      <c r="R1" s="3761"/>
      <c r="S1" s="3762"/>
      <c r="T1" s="2112" t="s">
        <v>2292</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7"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2884</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2883</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2294</v>
      </c>
      <c r="B17" s="2156" t="s">
        <v>2295</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757" t="s">
        <v>20</v>
      </c>
      <c r="D22" s="3758"/>
      <c r="E22" s="3758"/>
      <c r="F22" s="3758"/>
      <c r="G22" s="3758"/>
      <c r="H22" s="3758"/>
      <c r="I22" s="3758"/>
      <c r="J22" s="3758"/>
      <c r="K22" s="3758"/>
      <c r="L22" s="3758"/>
      <c r="M22" s="3758"/>
      <c r="N22" s="3758"/>
      <c r="O22" s="3758"/>
      <c r="P22" s="3758"/>
      <c r="Q22" s="3759"/>
      <c r="R22" s="483" t="e">
        <f>ROUND(S22*10000/B22,0)</f>
        <v>#DIV/0!</v>
      </c>
      <c r="S22" s="53">
        <f>SUM(S24:S10000)</f>
        <v>0</v>
      </c>
    </row>
    <row r="23" spans="1:45" s="1541" customFormat="1" ht="24">
      <c r="A23" s="17" t="s">
        <v>824</v>
      </c>
      <c r="B23" s="2858"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5" customWidth="1"/>
    <col min="2" max="2" width="13.125" style="2661" customWidth="1"/>
    <col min="3" max="3" width="15.625" style="2661" customWidth="1"/>
    <col min="4" max="4" width="9.375" style="2661" bestFit="1" customWidth="1"/>
    <col min="5" max="5" width="13.5" style="2661" customWidth="1"/>
    <col min="6" max="6" width="9" style="2661"/>
    <col min="7" max="7" width="9.375" style="2661" bestFit="1" customWidth="1"/>
    <col min="8" max="9" width="9" style="2661"/>
    <col min="10" max="10" width="9.375" style="2661" bestFit="1" customWidth="1"/>
    <col min="11" max="11" width="4" style="2655" customWidth="1"/>
    <col min="12" max="12" width="5.125" style="2661" customWidth="1"/>
    <col min="13" max="13" width="13.625" style="2661" customWidth="1"/>
    <col min="14" max="256" width="9" style="2661"/>
    <col min="257" max="257" width="4.875" style="2653" customWidth="1"/>
    <col min="258" max="258" width="13.125" style="2653" customWidth="1"/>
    <col min="259" max="259" width="15.625" style="2653" customWidth="1"/>
    <col min="260" max="260" width="9.375" style="2653" bestFit="1" customWidth="1"/>
    <col min="261" max="261" width="13.5" style="2653" customWidth="1"/>
    <col min="262" max="262" width="9" style="2653"/>
    <col min="263" max="263" width="9.375" style="2653" bestFit="1" customWidth="1"/>
    <col min="264" max="265" width="9" style="2653"/>
    <col min="266" max="266" width="9.375" style="2653" bestFit="1" customWidth="1"/>
    <col min="267" max="267" width="4" style="2653" customWidth="1"/>
    <col min="268" max="268" width="5.125" style="2653" customWidth="1"/>
    <col min="269" max="269" width="13.625" style="2653" customWidth="1"/>
    <col min="270" max="512" width="9" style="2653"/>
    <col min="513" max="513" width="4.875" style="2653" customWidth="1"/>
    <col min="514" max="514" width="13.125" style="2653" customWidth="1"/>
    <col min="515" max="515" width="15.625" style="2653" customWidth="1"/>
    <col min="516" max="516" width="9.375" style="2653" bestFit="1" customWidth="1"/>
    <col min="517" max="517" width="13.5" style="2653" customWidth="1"/>
    <col min="518" max="518" width="9" style="2653"/>
    <col min="519" max="519" width="9.375" style="2653" bestFit="1" customWidth="1"/>
    <col min="520" max="521" width="9" style="2653"/>
    <col min="522" max="522" width="9.375" style="2653" bestFit="1" customWidth="1"/>
    <col min="523" max="523" width="4" style="2653" customWidth="1"/>
    <col min="524" max="524" width="5.125" style="2653" customWidth="1"/>
    <col min="525" max="525" width="13.625" style="2653" customWidth="1"/>
    <col min="526" max="768" width="9" style="2653"/>
    <col min="769" max="769" width="4.875" style="2653" customWidth="1"/>
    <col min="770" max="770" width="13.125" style="2653" customWidth="1"/>
    <col min="771" max="771" width="15.625" style="2653" customWidth="1"/>
    <col min="772" max="772" width="9.375" style="2653" bestFit="1" customWidth="1"/>
    <col min="773" max="773" width="13.5" style="2653" customWidth="1"/>
    <col min="774" max="774" width="9" style="2653"/>
    <col min="775" max="775" width="9.375" style="2653" bestFit="1" customWidth="1"/>
    <col min="776" max="777" width="9" style="2653"/>
    <col min="778" max="778" width="9.375" style="2653" bestFit="1" customWidth="1"/>
    <col min="779" max="779" width="4" style="2653" customWidth="1"/>
    <col min="780" max="780" width="5.125" style="2653" customWidth="1"/>
    <col min="781" max="781" width="13.625" style="2653" customWidth="1"/>
    <col min="782" max="1024" width="9" style="2653"/>
    <col min="1025" max="1025" width="4.875" style="2653" customWidth="1"/>
    <col min="1026" max="1026" width="13.125" style="2653" customWidth="1"/>
    <col min="1027" max="1027" width="15.625" style="2653" customWidth="1"/>
    <col min="1028" max="1028" width="9.375" style="2653" bestFit="1" customWidth="1"/>
    <col min="1029" max="1029" width="13.5" style="2653" customWidth="1"/>
    <col min="1030" max="1030" width="9" style="2653"/>
    <col min="1031" max="1031" width="9.375" style="2653" bestFit="1" customWidth="1"/>
    <col min="1032" max="1033" width="9" style="2653"/>
    <col min="1034" max="1034" width="9.375" style="2653" bestFit="1" customWidth="1"/>
    <col min="1035" max="1035" width="4" style="2653" customWidth="1"/>
    <col min="1036" max="1036" width="5.125" style="2653" customWidth="1"/>
    <col min="1037" max="1037" width="13.625" style="2653" customWidth="1"/>
    <col min="1038" max="1280" width="9" style="2653"/>
    <col min="1281" max="1281" width="4.875" style="2653" customWidth="1"/>
    <col min="1282" max="1282" width="13.125" style="2653" customWidth="1"/>
    <col min="1283" max="1283" width="15.625" style="2653" customWidth="1"/>
    <col min="1284" max="1284" width="9.375" style="2653" bestFit="1" customWidth="1"/>
    <col min="1285" max="1285" width="13.5" style="2653" customWidth="1"/>
    <col min="1286" max="1286" width="9" style="2653"/>
    <col min="1287" max="1287" width="9.375" style="2653" bestFit="1" customWidth="1"/>
    <col min="1288" max="1289" width="9" style="2653"/>
    <col min="1290" max="1290" width="9.375" style="2653" bestFit="1" customWidth="1"/>
    <col min="1291" max="1291" width="4" style="2653" customWidth="1"/>
    <col min="1292" max="1292" width="5.125" style="2653" customWidth="1"/>
    <col min="1293" max="1293" width="13.625" style="2653" customWidth="1"/>
    <col min="1294" max="1536" width="9" style="2653"/>
    <col min="1537" max="1537" width="4.875" style="2653" customWidth="1"/>
    <col min="1538" max="1538" width="13.125" style="2653" customWidth="1"/>
    <col min="1539" max="1539" width="15.625" style="2653" customWidth="1"/>
    <col min="1540" max="1540" width="9.375" style="2653" bestFit="1" customWidth="1"/>
    <col min="1541" max="1541" width="13.5" style="2653" customWidth="1"/>
    <col min="1542" max="1542" width="9" style="2653"/>
    <col min="1543" max="1543" width="9.375" style="2653" bestFit="1" customWidth="1"/>
    <col min="1544" max="1545" width="9" style="2653"/>
    <col min="1546" max="1546" width="9.375" style="2653" bestFit="1" customWidth="1"/>
    <col min="1547" max="1547" width="4" style="2653" customWidth="1"/>
    <col min="1548" max="1548" width="5.125" style="2653" customWidth="1"/>
    <col min="1549" max="1549" width="13.625" style="2653" customWidth="1"/>
    <col min="1550" max="1792" width="9" style="2653"/>
    <col min="1793" max="1793" width="4.875" style="2653" customWidth="1"/>
    <col min="1794" max="1794" width="13.125" style="2653" customWidth="1"/>
    <col min="1795" max="1795" width="15.625" style="2653" customWidth="1"/>
    <col min="1796" max="1796" width="9.375" style="2653" bestFit="1" customWidth="1"/>
    <col min="1797" max="1797" width="13.5" style="2653" customWidth="1"/>
    <col min="1798" max="1798" width="9" style="2653"/>
    <col min="1799" max="1799" width="9.375" style="2653" bestFit="1" customWidth="1"/>
    <col min="1800" max="1801" width="9" style="2653"/>
    <col min="1802" max="1802" width="9.375" style="2653" bestFit="1" customWidth="1"/>
    <col min="1803" max="1803" width="4" style="2653" customWidth="1"/>
    <col min="1804" max="1804" width="5.125" style="2653" customWidth="1"/>
    <col min="1805" max="1805" width="13.625" style="2653" customWidth="1"/>
    <col min="1806" max="2048" width="9" style="2653"/>
    <col min="2049" max="2049" width="4.875" style="2653" customWidth="1"/>
    <col min="2050" max="2050" width="13.125" style="2653" customWidth="1"/>
    <col min="2051" max="2051" width="15.625" style="2653" customWidth="1"/>
    <col min="2052" max="2052" width="9.375" style="2653" bestFit="1" customWidth="1"/>
    <col min="2053" max="2053" width="13.5" style="2653" customWidth="1"/>
    <col min="2054" max="2054" width="9" style="2653"/>
    <col min="2055" max="2055" width="9.375" style="2653" bestFit="1" customWidth="1"/>
    <col min="2056" max="2057" width="9" style="2653"/>
    <col min="2058" max="2058" width="9.375" style="2653" bestFit="1" customWidth="1"/>
    <col min="2059" max="2059" width="4" style="2653" customWidth="1"/>
    <col min="2060" max="2060" width="5.125" style="2653" customWidth="1"/>
    <col min="2061" max="2061" width="13.625" style="2653" customWidth="1"/>
    <col min="2062" max="2304" width="9" style="2653"/>
    <col min="2305" max="2305" width="4.875" style="2653" customWidth="1"/>
    <col min="2306" max="2306" width="13.125" style="2653" customWidth="1"/>
    <col min="2307" max="2307" width="15.625" style="2653" customWidth="1"/>
    <col min="2308" max="2308" width="9.375" style="2653" bestFit="1" customWidth="1"/>
    <col min="2309" max="2309" width="13.5" style="2653" customWidth="1"/>
    <col min="2310" max="2310" width="9" style="2653"/>
    <col min="2311" max="2311" width="9.375" style="2653" bestFit="1" customWidth="1"/>
    <col min="2312" max="2313" width="9" style="2653"/>
    <col min="2314" max="2314" width="9.375" style="2653" bestFit="1" customWidth="1"/>
    <col min="2315" max="2315" width="4" style="2653" customWidth="1"/>
    <col min="2316" max="2316" width="5.125" style="2653" customWidth="1"/>
    <col min="2317" max="2317" width="13.625" style="2653" customWidth="1"/>
    <col min="2318" max="2560" width="9" style="2653"/>
    <col min="2561" max="2561" width="4.875" style="2653" customWidth="1"/>
    <col min="2562" max="2562" width="13.125" style="2653" customWidth="1"/>
    <col min="2563" max="2563" width="15.625" style="2653" customWidth="1"/>
    <col min="2564" max="2564" width="9.375" style="2653" bestFit="1" customWidth="1"/>
    <col min="2565" max="2565" width="13.5" style="2653" customWidth="1"/>
    <col min="2566" max="2566" width="9" style="2653"/>
    <col min="2567" max="2567" width="9.375" style="2653" bestFit="1" customWidth="1"/>
    <col min="2568" max="2569" width="9" style="2653"/>
    <col min="2570" max="2570" width="9.375" style="2653" bestFit="1" customWidth="1"/>
    <col min="2571" max="2571" width="4" style="2653" customWidth="1"/>
    <col min="2572" max="2572" width="5.125" style="2653" customWidth="1"/>
    <col min="2573" max="2573" width="13.625" style="2653" customWidth="1"/>
    <col min="2574" max="2816" width="9" style="2653"/>
    <col min="2817" max="2817" width="4.875" style="2653" customWidth="1"/>
    <col min="2818" max="2818" width="13.125" style="2653" customWidth="1"/>
    <col min="2819" max="2819" width="15.625" style="2653" customWidth="1"/>
    <col min="2820" max="2820" width="9.375" style="2653" bestFit="1" customWidth="1"/>
    <col min="2821" max="2821" width="13.5" style="2653" customWidth="1"/>
    <col min="2822" max="2822" width="9" style="2653"/>
    <col min="2823" max="2823" width="9.375" style="2653" bestFit="1" customWidth="1"/>
    <col min="2824" max="2825" width="9" style="2653"/>
    <col min="2826" max="2826" width="9.375" style="2653" bestFit="1" customWidth="1"/>
    <col min="2827" max="2827" width="4" style="2653" customWidth="1"/>
    <col min="2828" max="2828" width="5.125" style="2653" customWidth="1"/>
    <col min="2829" max="2829" width="13.625" style="2653" customWidth="1"/>
    <col min="2830" max="3072" width="9" style="2653"/>
    <col min="3073" max="3073" width="4.875" style="2653" customWidth="1"/>
    <col min="3074" max="3074" width="13.125" style="2653" customWidth="1"/>
    <col min="3075" max="3075" width="15.625" style="2653" customWidth="1"/>
    <col min="3076" max="3076" width="9.375" style="2653" bestFit="1" customWidth="1"/>
    <col min="3077" max="3077" width="13.5" style="2653" customWidth="1"/>
    <col min="3078" max="3078" width="9" style="2653"/>
    <col min="3079" max="3079" width="9.375" style="2653" bestFit="1" customWidth="1"/>
    <col min="3080" max="3081" width="9" style="2653"/>
    <col min="3082" max="3082" width="9.375" style="2653" bestFit="1" customWidth="1"/>
    <col min="3083" max="3083" width="4" style="2653" customWidth="1"/>
    <col min="3084" max="3084" width="5.125" style="2653" customWidth="1"/>
    <col min="3085" max="3085" width="13.625" style="2653" customWidth="1"/>
    <col min="3086" max="3328" width="9" style="2653"/>
    <col min="3329" max="3329" width="4.875" style="2653" customWidth="1"/>
    <col min="3330" max="3330" width="13.125" style="2653" customWidth="1"/>
    <col min="3331" max="3331" width="15.625" style="2653" customWidth="1"/>
    <col min="3332" max="3332" width="9.375" style="2653" bestFit="1" customWidth="1"/>
    <col min="3333" max="3333" width="13.5" style="2653" customWidth="1"/>
    <col min="3334" max="3334" width="9" style="2653"/>
    <col min="3335" max="3335" width="9.375" style="2653" bestFit="1" customWidth="1"/>
    <col min="3336" max="3337" width="9" style="2653"/>
    <col min="3338" max="3338" width="9.375" style="2653" bestFit="1" customWidth="1"/>
    <col min="3339" max="3339" width="4" style="2653" customWidth="1"/>
    <col min="3340" max="3340" width="5.125" style="2653" customWidth="1"/>
    <col min="3341" max="3341" width="13.625" style="2653" customWidth="1"/>
    <col min="3342" max="3584" width="9" style="2653"/>
    <col min="3585" max="3585" width="4.875" style="2653" customWidth="1"/>
    <col min="3586" max="3586" width="13.125" style="2653" customWidth="1"/>
    <col min="3587" max="3587" width="15.625" style="2653" customWidth="1"/>
    <col min="3588" max="3588" width="9.375" style="2653" bestFit="1" customWidth="1"/>
    <col min="3589" max="3589" width="13.5" style="2653" customWidth="1"/>
    <col min="3590" max="3590" width="9" style="2653"/>
    <col min="3591" max="3591" width="9.375" style="2653" bestFit="1" customWidth="1"/>
    <col min="3592" max="3593" width="9" style="2653"/>
    <col min="3594" max="3594" width="9.375" style="2653" bestFit="1" customWidth="1"/>
    <col min="3595" max="3595" width="4" style="2653" customWidth="1"/>
    <col min="3596" max="3596" width="5.125" style="2653" customWidth="1"/>
    <col min="3597" max="3597" width="13.625" style="2653" customWidth="1"/>
    <col min="3598" max="3840" width="9" style="2653"/>
    <col min="3841" max="3841" width="4.875" style="2653" customWidth="1"/>
    <col min="3842" max="3842" width="13.125" style="2653" customWidth="1"/>
    <col min="3843" max="3843" width="15.625" style="2653" customWidth="1"/>
    <col min="3844" max="3844" width="9.375" style="2653" bestFit="1" customWidth="1"/>
    <col min="3845" max="3845" width="13.5" style="2653" customWidth="1"/>
    <col min="3846" max="3846" width="9" style="2653"/>
    <col min="3847" max="3847" width="9.375" style="2653" bestFit="1" customWidth="1"/>
    <col min="3848" max="3849" width="9" style="2653"/>
    <col min="3850" max="3850" width="9.375" style="2653" bestFit="1" customWidth="1"/>
    <col min="3851" max="3851" width="4" style="2653" customWidth="1"/>
    <col min="3852" max="3852" width="5.125" style="2653" customWidth="1"/>
    <col min="3853" max="3853" width="13.625" style="2653" customWidth="1"/>
    <col min="3854" max="4096" width="9" style="2653"/>
    <col min="4097" max="4097" width="4.875" style="2653" customWidth="1"/>
    <col min="4098" max="4098" width="13.125" style="2653" customWidth="1"/>
    <col min="4099" max="4099" width="15.625" style="2653" customWidth="1"/>
    <col min="4100" max="4100" width="9.375" style="2653" bestFit="1" customWidth="1"/>
    <col min="4101" max="4101" width="13.5" style="2653" customWidth="1"/>
    <col min="4102" max="4102" width="9" style="2653"/>
    <col min="4103" max="4103" width="9.375" style="2653" bestFit="1" customWidth="1"/>
    <col min="4104" max="4105" width="9" style="2653"/>
    <col min="4106" max="4106" width="9.375" style="2653" bestFit="1" customWidth="1"/>
    <col min="4107" max="4107" width="4" style="2653" customWidth="1"/>
    <col min="4108" max="4108" width="5.125" style="2653" customWidth="1"/>
    <col min="4109" max="4109" width="13.625" style="2653" customWidth="1"/>
    <col min="4110" max="4352" width="9" style="2653"/>
    <col min="4353" max="4353" width="4.875" style="2653" customWidth="1"/>
    <col min="4354" max="4354" width="13.125" style="2653" customWidth="1"/>
    <col min="4355" max="4355" width="15.625" style="2653" customWidth="1"/>
    <col min="4356" max="4356" width="9.375" style="2653" bestFit="1" customWidth="1"/>
    <col min="4357" max="4357" width="13.5" style="2653" customWidth="1"/>
    <col min="4358" max="4358" width="9" style="2653"/>
    <col min="4359" max="4359" width="9.375" style="2653" bestFit="1" customWidth="1"/>
    <col min="4360" max="4361" width="9" style="2653"/>
    <col min="4362" max="4362" width="9.375" style="2653" bestFit="1" customWidth="1"/>
    <col min="4363" max="4363" width="4" style="2653" customWidth="1"/>
    <col min="4364" max="4364" width="5.125" style="2653" customWidth="1"/>
    <col min="4365" max="4365" width="13.625" style="2653" customWidth="1"/>
    <col min="4366" max="4608" width="9" style="2653"/>
    <col min="4609" max="4609" width="4.875" style="2653" customWidth="1"/>
    <col min="4610" max="4610" width="13.125" style="2653" customWidth="1"/>
    <col min="4611" max="4611" width="15.625" style="2653" customWidth="1"/>
    <col min="4612" max="4612" width="9.375" style="2653" bestFit="1" customWidth="1"/>
    <col min="4613" max="4613" width="13.5" style="2653" customWidth="1"/>
    <col min="4614" max="4614" width="9" style="2653"/>
    <col min="4615" max="4615" width="9.375" style="2653" bestFit="1" customWidth="1"/>
    <col min="4616" max="4617" width="9" style="2653"/>
    <col min="4618" max="4618" width="9.375" style="2653" bestFit="1" customWidth="1"/>
    <col min="4619" max="4619" width="4" style="2653" customWidth="1"/>
    <col min="4620" max="4620" width="5.125" style="2653" customWidth="1"/>
    <col min="4621" max="4621" width="13.625" style="2653" customWidth="1"/>
    <col min="4622" max="4864" width="9" style="2653"/>
    <col min="4865" max="4865" width="4.875" style="2653" customWidth="1"/>
    <col min="4866" max="4866" width="13.125" style="2653" customWidth="1"/>
    <col min="4867" max="4867" width="15.625" style="2653" customWidth="1"/>
    <col min="4868" max="4868" width="9.375" style="2653" bestFit="1" customWidth="1"/>
    <col min="4869" max="4869" width="13.5" style="2653" customWidth="1"/>
    <col min="4870" max="4870" width="9" style="2653"/>
    <col min="4871" max="4871" width="9.375" style="2653" bestFit="1" customWidth="1"/>
    <col min="4872" max="4873" width="9" style="2653"/>
    <col min="4874" max="4874" width="9.375" style="2653" bestFit="1" customWidth="1"/>
    <col min="4875" max="4875" width="4" style="2653" customWidth="1"/>
    <col min="4876" max="4876" width="5.125" style="2653" customWidth="1"/>
    <col min="4877" max="4877" width="13.625" style="2653" customWidth="1"/>
    <col min="4878" max="5120" width="9" style="2653"/>
    <col min="5121" max="5121" width="4.875" style="2653" customWidth="1"/>
    <col min="5122" max="5122" width="13.125" style="2653" customWidth="1"/>
    <col min="5123" max="5123" width="15.625" style="2653" customWidth="1"/>
    <col min="5124" max="5124" width="9.375" style="2653" bestFit="1" customWidth="1"/>
    <col min="5125" max="5125" width="13.5" style="2653" customWidth="1"/>
    <col min="5126" max="5126" width="9" style="2653"/>
    <col min="5127" max="5127" width="9.375" style="2653" bestFit="1" customWidth="1"/>
    <col min="5128" max="5129" width="9" style="2653"/>
    <col min="5130" max="5130" width="9.375" style="2653" bestFit="1" customWidth="1"/>
    <col min="5131" max="5131" width="4" style="2653" customWidth="1"/>
    <col min="5132" max="5132" width="5.125" style="2653" customWidth="1"/>
    <col min="5133" max="5133" width="13.625" style="2653" customWidth="1"/>
    <col min="5134" max="5376" width="9" style="2653"/>
    <col min="5377" max="5377" width="4.875" style="2653" customWidth="1"/>
    <col min="5378" max="5378" width="13.125" style="2653" customWidth="1"/>
    <col min="5379" max="5379" width="15.625" style="2653" customWidth="1"/>
    <col min="5380" max="5380" width="9.375" style="2653" bestFit="1" customWidth="1"/>
    <col min="5381" max="5381" width="13.5" style="2653" customWidth="1"/>
    <col min="5382" max="5382" width="9" style="2653"/>
    <col min="5383" max="5383" width="9.375" style="2653" bestFit="1" customWidth="1"/>
    <col min="5384" max="5385" width="9" style="2653"/>
    <col min="5386" max="5386" width="9.375" style="2653" bestFit="1" customWidth="1"/>
    <col min="5387" max="5387" width="4" style="2653" customWidth="1"/>
    <col min="5388" max="5388" width="5.125" style="2653" customWidth="1"/>
    <col min="5389" max="5389" width="13.625" style="2653" customWidth="1"/>
    <col min="5390" max="5632" width="9" style="2653"/>
    <col min="5633" max="5633" width="4.875" style="2653" customWidth="1"/>
    <col min="5634" max="5634" width="13.125" style="2653" customWidth="1"/>
    <col min="5635" max="5635" width="15.625" style="2653" customWidth="1"/>
    <col min="5636" max="5636" width="9.375" style="2653" bestFit="1" customWidth="1"/>
    <col min="5637" max="5637" width="13.5" style="2653" customWidth="1"/>
    <col min="5638" max="5638" width="9" style="2653"/>
    <col min="5639" max="5639" width="9.375" style="2653" bestFit="1" customWidth="1"/>
    <col min="5640" max="5641" width="9" style="2653"/>
    <col min="5642" max="5642" width="9.375" style="2653" bestFit="1" customWidth="1"/>
    <col min="5643" max="5643" width="4" style="2653" customWidth="1"/>
    <col min="5644" max="5644" width="5.125" style="2653" customWidth="1"/>
    <col min="5645" max="5645" width="13.625" style="2653" customWidth="1"/>
    <col min="5646" max="5888" width="9" style="2653"/>
    <col min="5889" max="5889" width="4.875" style="2653" customWidth="1"/>
    <col min="5890" max="5890" width="13.125" style="2653" customWidth="1"/>
    <col min="5891" max="5891" width="15.625" style="2653" customWidth="1"/>
    <col min="5892" max="5892" width="9.375" style="2653" bestFit="1" customWidth="1"/>
    <col min="5893" max="5893" width="13.5" style="2653" customWidth="1"/>
    <col min="5894" max="5894" width="9" style="2653"/>
    <col min="5895" max="5895" width="9.375" style="2653" bestFit="1" customWidth="1"/>
    <col min="5896" max="5897" width="9" style="2653"/>
    <col min="5898" max="5898" width="9.375" style="2653" bestFit="1" customWidth="1"/>
    <col min="5899" max="5899" width="4" style="2653" customWidth="1"/>
    <col min="5900" max="5900" width="5.125" style="2653" customWidth="1"/>
    <col min="5901" max="5901" width="13.625" style="2653" customWidth="1"/>
    <col min="5902" max="6144" width="9" style="2653"/>
    <col min="6145" max="6145" width="4.875" style="2653" customWidth="1"/>
    <col min="6146" max="6146" width="13.125" style="2653" customWidth="1"/>
    <col min="6147" max="6147" width="15.625" style="2653" customWidth="1"/>
    <col min="6148" max="6148" width="9.375" style="2653" bestFit="1" customWidth="1"/>
    <col min="6149" max="6149" width="13.5" style="2653" customWidth="1"/>
    <col min="6150" max="6150" width="9" style="2653"/>
    <col min="6151" max="6151" width="9.375" style="2653" bestFit="1" customWidth="1"/>
    <col min="6152" max="6153" width="9" style="2653"/>
    <col min="6154" max="6154" width="9.375" style="2653" bestFit="1" customWidth="1"/>
    <col min="6155" max="6155" width="4" style="2653" customWidth="1"/>
    <col min="6156" max="6156" width="5.125" style="2653" customWidth="1"/>
    <col min="6157" max="6157" width="13.625" style="2653" customWidth="1"/>
    <col min="6158" max="6400" width="9" style="2653"/>
    <col min="6401" max="6401" width="4.875" style="2653" customWidth="1"/>
    <col min="6402" max="6402" width="13.125" style="2653" customWidth="1"/>
    <col min="6403" max="6403" width="15.625" style="2653" customWidth="1"/>
    <col min="6404" max="6404" width="9.375" style="2653" bestFit="1" customWidth="1"/>
    <col min="6405" max="6405" width="13.5" style="2653" customWidth="1"/>
    <col min="6406" max="6406" width="9" style="2653"/>
    <col min="6407" max="6407" width="9.375" style="2653" bestFit="1" customWidth="1"/>
    <col min="6408" max="6409" width="9" style="2653"/>
    <col min="6410" max="6410" width="9.375" style="2653" bestFit="1" customWidth="1"/>
    <col min="6411" max="6411" width="4" style="2653" customWidth="1"/>
    <col min="6412" max="6412" width="5.125" style="2653" customWidth="1"/>
    <col min="6413" max="6413" width="13.625" style="2653" customWidth="1"/>
    <col min="6414" max="6656" width="9" style="2653"/>
    <col min="6657" max="6657" width="4.875" style="2653" customWidth="1"/>
    <col min="6658" max="6658" width="13.125" style="2653" customWidth="1"/>
    <col min="6659" max="6659" width="15.625" style="2653" customWidth="1"/>
    <col min="6660" max="6660" width="9.375" style="2653" bestFit="1" customWidth="1"/>
    <col min="6661" max="6661" width="13.5" style="2653" customWidth="1"/>
    <col min="6662" max="6662" width="9" style="2653"/>
    <col min="6663" max="6663" width="9.375" style="2653" bestFit="1" customWidth="1"/>
    <col min="6664" max="6665" width="9" style="2653"/>
    <col min="6666" max="6666" width="9.375" style="2653" bestFit="1" customWidth="1"/>
    <col min="6667" max="6667" width="4" style="2653" customWidth="1"/>
    <col min="6668" max="6668" width="5.125" style="2653" customWidth="1"/>
    <col min="6669" max="6669" width="13.625" style="2653" customWidth="1"/>
    <col min="6670" max="6912" width="9" style="2653"/>
    <col min="6913" max="6913" width="4.875" style="2653" customWidth="1"/>
    <col min="6914" max="6914" width="13.125" style="2653" customWidth="1"/>
    <col min="6915" max="6915" width="15.625" style="2653" customWidth="1"/>
    <col min="6916" max="6916" width="9.375" style="2653" bestFit="1" customWidth="1"/>
    <col min="6917" max="6917" width="13.5" style="2653" customWidth="1"/>
    <col min="6918" max="6918" width="9" style="2653"/>
    <col min="6919" max="6919" width="9.375" style="2653" bestFit="1" customWidth="1"/>
    <col min="6920" max="6921" width="9" style="2653"/>
    <col min="6922" max="6922" width="9.375" style="2653" bestFit="1" customWidth="1"/>
    <col min="6923" max="6923" width="4" style="2653" customWidth="1"/>
    <col min="6924" max="6924" width="5.125" style="2653" customWidth="1"/>
    <col min="6925" max="6925" width="13.625" style="2653" customWidth="1"/>
    <col min="6926" max="7168" width="9" style="2653"/>
    <col min="7169" max="7169" width="4.875" style="2653" customWidth="1"/>
    <col min="7170" max="7170" width="13.125" style="2653" customWidth="1"/>
    <col min="7171" max="7171" width="15.625" style="2653" customWidth="1"/>
    <col min="7172" max="7172" width="9.375" style="2653" bestFit="1" customWidth="1"/>
    <col min="7173" max="7173" width="13.5" style="2653" customWidth="1"/>
    <col min="7174" max="7174" width="9" style="2653"/>
    <col min="7175" max="7175" width="9.375" style="2653" bestFit="1" customWidth="1"/>
    <col min="7176" max="7177" width="9" style="2653"/>
    <col min="7178" max="7178" width="9.375" style="2653" bestFit="1" customWidth="1"/>
    <col min="7179" max="7179" width="4" style="2653" customWidth="1"/>
    <col min="7180" max="7180" width="5.125" style="2653" customWidth="1"/>
    <col min="7181" max="7181" width="13.625" style="2653" customWidth="1"/>
    <col min="7182" max="7424" width="9" style="2653"/>
    <col min="7425" max="7425" width="4.875" style="2653" customWidth="1"/>
    <col min="7426" max="7426" width="13.125" style="2653" customWidth="1"/>
    <col min="7427" max="7427" width="15.625" style="2653" customWidth="1"/>
    <col min="7428" max="7428" width="9.375" style="2653" bestFit="1" customWidth="1"/>
    <col min="7429" max="7429" width="13.5" style="2653" customWidth="1"/>
    <col min="7430" max="7430" width="9" style="2653"/>
    <col min="7431" max="7431" width="9.375" style="2653" bestFit="1" customWidth="1"/>
    <col min="7432" max="7433" width="9" style="2653"/>
    <col min="7434" max="7434" width="9.375" style="2653" bestFit="1" customWidth="1"/>
    <col min="7435" max="7435" width="4" style="2653" customWidth="1"/>
    <col min="7436" max="7436" width="5.125" style="2653" customWidth="1"/>
    <col min="7437" max="7437" width="13.625" style="2653" customWidth="1"/>
    <col min="7438" max="7680" width="9" style="2653"/>
    <col min="7681" max="7681" width="4.875" style="2653" customWidth="1"/>
    <col min="7682" max="7682" width="13.125" style="2653" customWidth="1"/>
    <col min="7683" max="7683" width="15.625" style="2653" customWidth="1"/>
    <col min="7684" max="7684" width="9.375" style="2653" bestFit="1" customWidth="1"/>
    <col min="7685" max="7685" width="13.5" style="2653" customWidth="1"/>
    <col min="7686" max="7686" width="9" style="2653"/>
    <col min="7687" max="7687" width="9.375" style="2653" bestFit="1" customWidth="1"/>
    <col min="7688" max="7689" width="9" style="2653"/>
    <col min="7690" max="7690" width="9.375" style="2653" bestFit="1" customWidth="1"/>
    <col min="7691" max="7691" width="4" style="2653" customWidth="1"/>
    <col min="7692" max="7692" width="5.125" style="2653" customWidth="1"/>
    <col min="7693" max="7693" width="13.625" style="2653" customWidth="1"/>
    <col min="7694" max="7936" width="9" style="2653"/>
    <col min="7937" max="7937" width="4.875" style="2653" customWidth="1"/>
    <col min="7938" max="7938" width="13.125" style="2653" customWidth="1"/>
    <col min="7939" max="7939" width="15.625" style="2653" customWidth="1"/>
    <col min="7940" max="7940" width="9.375" style="2653" bestFit="1" customWidth="1"/>
    <col min="7941" max="7941" width="13.5" style="2653" customWidth="1"/>
    <col min="7942" max="7942" width="9" style="2653"/>
    <col min="7943" max="7943" width="9.375" style="2653" bestFit="1" customWidth="1"/>
    <col min="7944" max="7945" width="9" style="2653"/>
    <col min="7946" max="7946" width="9.375" style="2653" bestFit="1" customWidth="1"/>
    <col min="7947" max="7947" width="4" style="2653" customWidth="1"/>
    <col min="7948" max="7948" width="5.125" style="2653" customWidth="1"/>
    <col min="7949" max="7949" width="13.625" style="2653" customWidth="1"/>
    <col min="7950" max="8192" width="9" style="2653"/>
    <col min="8193" max="8193" width="4.875" style="2653" customWidth="1"/>
    <col min="8194" max="8194" width="13.125" style="2653" customWidth="1"/>
    <col min="8195" max="8195" width="15.625" style="2653" customWidth="1"/>
    <col min="8196" max="8196" width="9.375" style="2653" bestFit="1" customWidth="1"/>
    <col min="8197" max="8197" width="13.5" style="2653" customWidth="1"/>
    <col min="8198" max="8198" width="9" style="2653"/>
    <col min="8199" max="8199" width="9.375" style="2653" bestFit="1" customWidth="1"/>
    <col min="8200" max="8201" width="9" style="2653"/>
    <col min="8202" max="8202" width="9.375" style="2653" bestFit="1" customWidth="1"/>
    <col min="8203" max="8203" width="4" style="2653" customWidth="1"/>
    <col min="8204" max="8204" width="5.125" style="2653" customWidth="1"/>
    <col min="8205" max="8205" width="13.625" style="2653" customWidth="1"/>
    <col min="8206" max="8448" width="9" style="2653"/>
    <col min="8449" max="8449" width="4.875" style="2653" customWidth="1"/>
    <col min="8450" max="8450" width="13.125" style="2653" customWidth="1"/>
    <col min="8451" max="8451" width="15.625" style="2653" customWidth="1"/>
    <col min="8452" max="8452" width="9.375" style="2653" bestFit="1" customWidth="1"/>
    <col min="8453" max="8453" width="13.5" style="2653" customWidth="1"/>
    <col min="8454" max="8454" width="9" style="2653"/>
    <col min="8455" max="8455" width="9.375" style="2653" bestFit="1" customWidth="1"/>
    <col min="8456" max="8457" width="9" style="2653"/>
    <col min="8458" max="8458" width="9.375" style="2653" bestFit="1" customWidth="1"/>
    <col min="8459" max="8459" width="4" style="2653" customWidth="1"/>
    <col min="8460" max="8460" width="5.125" style="2653" customWidth="1"/>
    <col min="8461" max="8461" width="13.625" style="2653" customWidth="1"/>
    <col min="8462" max="8704" width="9" style="2653"/>
    <col min="8705" max="8705" width="4.875" style="2653" customWidth="1"/>
    <col min="8706" max="8706" width="13.125" style="2653" customWidth="1"/>
    <col min="8707" max="8707" width="15.625" style="2653" customWidth="1"/>
    <col min="8708" max="8708" width="9.375" style="2653" bestFit="1" customWidth="1"/>
    <col min="8709" max="8709" width="13.5" style="2653" customWidth="1"/>
    <col min="8710" max="8710" width="9" style="2653"/>
    <col min="8711" max="8711" width="9.375" style="2653" bestFit="1" customWidth="1"/>
    <col min="8712" max="8713" width="9" style="2653"/>
    <col min="8714" max="8714" width="9.375" style="2653" bestFit="1" customWidth="1"/>
    <col min="8715" max="8715" width="4" style="2653" customWidth="1"/>
    <col min="8716" max="8716" width="5.125" style="2653" customWidth="1"/>
    <col min="8717" max="8717" width="13.625" style="2653" customWidth="1"/>
    <col min="8718" max="8960" width="9" style="2653"/>
    <col min="8961" max="8961" width="4.875" style="2653" customWidth="1"/>
    <col min="8962" max="8962" width="13.125" style="2653" customWidth="1"/>
    <col min="8963" max="8963" width="15.625" style="2653" customWidth="1"/>
    <col min="8964" max="8964" width="9.375" style="2653" bestFit="1" customWidth="1"/>
    <col min="8965" max="8965" width="13.5" style="2653" customWidth="1"/>
    <col min="8966" max="8966" width="9" style="2653"/>
    <col min="8967" max="8967" width="9.375" style="2653" bestFit="1" customWidth="1"/>
    <col min="8968" max="8969" width="9" style="2653"/>
    <col min="8970" max="8970" width="9.375" style="2653" bestFit="1" customWidth="1"/>
    <col min="8971" max="8971" width="4" style="2653" customWidth="1"/>
    <col min="8972" max="8972" width="5.125" style="2653" customWidth="1"/>
    <col min="8973" max="8973" width="13.625" style="2653" customWidth="1"/>
    <col min="8974" max="9216" width="9" style="2653"/>
    <col min="9217" max="9217" width="4.875" style="2653" customWidth="1"/>
    <col min="9218" max="9218" width="13.125" style="2653" customWidth="1"/>
    <col min="9219" max="9219" width="15.625" style="2653" customWidth="1"/>
    <col min="9220" max="9220" width="9.375" style="2653" bestFit="1" customWidth="1"/>
    <col min="9221" max="9221" width="13.5" style="2653" customWidth="1"/>
    <col min="9222" max="9222" width="9" style="2653"/>
    <col min="9223" max="9223" width="9.375" style="2653" bestFit="1" customWidth="1"/>
    <col min="9224" max="9225" width="9" style="2653"/>
    <col min="9226" max="9226" width="9.375" style="2653" bestFit="1" customWidth="1"/>
    <col min="9227" max="9227" width="4" style="2653" customWidth="1"/>
    <col min="9228" max="9228" width="5.125" style="2653" customWidth="1"/>
    <col min="9229" max="9229" width="13.625" style="2653" customWidth="1"/>
    <col min="9230" max="9472" width="9" style="2653"/>
    <col min="9473" max="9473" width="4.875" style="2653" customWidth="1"/>
    <col min="9474" max="9474" width="13.125" style="2653" customWidth="1"/>
    <col min="9475" max="9475" width="15.625" style="2653" customWidth="1"/>
    <col min="9476" max="9476" width="9.375" style="2653" bestFit="1" customWidth="1"/>
    <col min="9477" max="9477" width="13.5" style="2653" customWidth="1"/>
    <col min="9478" max="9478" width="9" style="2653"/>
    <col min="9479" max="9479" width="9.375" style="2653" bestFit="1" customWidth="1"/>
    <col min="9480" max="9481" width="9" style="2653"/>
    <col min="9482" max="9482" width="9.375" style="2653" bestFit="1" customWidth="1"/>
    <col min="9483" max="9483" width="4" style="2653" customWidth="1"/>
    <col min="9484" max="9484" width="5.125" style="2653" customWidth="1"/>
    <col min="9485" max="9485" width="13.625" style="2653" customWidth="1"/>
    <col min="9486" max="9728" width="9" style="2653"/>
    <col min="9729" max="9729" width="4.875" style="2653" customWidth="1"/>
    <col min="9730" max="9730" width="13.125" style="2653" customWidth="1"/>
    <col min="9731" max="9731" width="15.625" style="2653" customWidth="1"/>
    <col min="9732" max="9732" width="9.375" style="2653" bestFit="1" customWidth="1"/>
    <col min="9733" max="9733" width="13.5" style="2653" customWidth="1"/>
    <col min="9734" max="9734" width="9" style="2653"/>
    <col min="9735" max="9735" width="9.375" style="2653" bestFit="1" customWidth="1"/>
    <col min="9736" max="9737" width="9" style="2653"/>
    <col min="9738" max="9738" width="9.375" style="2653" bestFit="1" customWidth="1"/>
    <col min="9739" max="9739" width="4" style="2653" customWidth="1"/>
    <col min="9740" max="9740" width="5.125" style="2653" customWidth="1"/>
    <col min="9741" max="9741" width="13.625" style="2653" customWidth="1"/>
    <col min="9742" max="9984" width="9" style="2653"/>
    <col min="9985" max="9985" width="4.875" style="2653" customWidth="1"/>
    <col min="9986" max="9986" width="13.125" style="2653" customWidth="1"/>
    <col min="9987" max="9987" width="15.625" style="2653" customWidth="1"/>
    <col min="9988" max="9988" width="9.375" style="2653" bestFit="1" customWidth="1"/>
    <col min="9989" max="9989" width="13.5" style="2653" customWidth="1"/>
    <col min="9990" max="9990" width="9" style="2653"/>
    <col min="9991" max="9991" width="9.375" style="2653" bestFit="1" customWidth="1"/>
    <col min="9992" max="9993" width="9" style="2653"/>
    <col min="9994" max="9994" width="9.375" style="2653" bestFit="1" customWidth="1"/>
    <col min="9995" max="9995" width="4" style="2653" customWidth="1"/>
    <col min="9996" max="9996" width="5.125" style="2653" customWidth="1"/>
    <col min="9997" max="9997" width="13.625" style="2653" customWidth="1"/>
    <col min="9998" max="10240" width="9" style="2653"/>
    <col min="10241" max="10241" width="4.875" style="2653" customWidth="1"/>
    <col min="10242" max="10242" width="13.125" style="2653" customWidth="1"/>
    <col min="10243" max="10243" width="15.625" style="2653" customWidth="1"/>
    <col min="10244" max="10244" width="9.375" style="2653" bestFit="1" customWidth="1"/>
    <col min="10245" max="10245" width="13.5" style="2653" customWidth="1"/>
    <col min="10246" max="10246" width="9" style="2653"/>
    <col min="10247" max="10247" width="9.375" style="2653" bestFit="1" customWidth="1"/>
    <col min="10248" max="10249" width="9" style="2653"/>
    <col min="10250" max="10250" width="9.375" style="2653" bestFit="1" customWidth="1"/>
    <col min="10251" max="10251" width="4" style="2653" customWidth="1"/>
    <col min="10252" max="10252" width="5.125" style="2653" customWidth="1"/>
    <col min="10253" max="10253" width="13.625" style="2653" customWidth="1"/>
    <col min="10254" max="10496" width="9" style="2653"/>
    <col min="10497" max="10497" width="4.875" style="2653" customWidth="1"/>
    <col min="10498" max="10498" width="13.125" style="2653" customWidth="1"/>
    <col min="10499" max="10499" width="15.625" style="2653" customWidth="1"/>
    <col min="10500" max="10500" width="9.375" style="2653" bestFit="1" customWidth="1"/>
    <col min="10501" max="10501" width="13.5" style="2653" customWidth="1"/>
    <col min="10502" max="10502" width="9" style="2653"/>
    <col min="10503" max="10503" width="9.375" style="2653" bestFit="1" customWidth="1"/>
    <col min="10504" max="10505" width="9" style="2653"/>
    <col min="10506" max="10506" width="9.375" style="2653" bestFit="1" customWidth="1"/>
    <col min="10507" max="10507" width="4" style="2653" customWidth="1"/>
    <col min="10508" max="10508" width="5.125" style="2653" customWidth="1"/>
    <col min="10509" max="10509" width="13.625" style="2653" customWidth="1"/>
    <col min="10510" max="10752" width="9" style="2653"/>
    <col min="10753" max="10753" width="4.875" style="2653" customWidth="1"/>
    <col min="10754" max="10754" width="13.125" style="2653" customWidth="1"/>
    <col min="10755" max="10755" width="15.625" style="2653" customWidth="1"/>
    <col min="10756" max="10756" width="9.375" style="2653" bestFit="1" customWidth="1"/>
    <col min="10757" max="10757" width="13.5" style="2653" customWidth="1"/>
    <col min="10758" max="10758" width="9" style="2653"/>
    <col min="10759" max="10759" width="9.375" style="2653" bestFit="1" customWidth="1"/>
    <col min="10760" max="10761" width="9" style="2653"/>
    <col min="10762" max="10762" width="9.375" style="2653" bestFit="1" customWidth="1"/>
    <col min="10763" max="10763" width="4" style="2653" customWidth="1"/>
    <col min="10764" max="10764" width="5.125" style="2653" customWidth="1"/>
    <col min="10765" max="10765" width="13.625" style="2653" customWidth="1"/>
    <col min="10766" max="11008" width="9" style="2653"/>
    <col min="11009" max="11009" width="4.875" style="2653" customWidth="1"/>
    <col min="11010" max="11010" width="13.125" style="2653" customWidth="1"/>
    <col min="11011" max="11011" width="15.625" style="2653" customWidth="1"/>
    <col min="11012" max="11012" width="9.375" style="2653" bestFit="1" customWidth="1"/>
    <col min="11013" max="11013" width="13.5" style="2653" customWidth="1"/>
    <col min="11014" max="11014" width="9" style="2653"/>
    <col min="11015" max="11015" width="9.375" style="2653" bestFit="1" customWidth="1"/>
    <col min="11016" max="11017" width="9" style="2653"/>
    <col min="11018" max="11018" width="9.375" style="2653" bestFit="1" customWidth="1"/>
    <col min="11019" max="11019" width="4" style="2653" customWidth="1"/>
    <col min="11020" max="11020" width="5.125" style="2653" customWidth="1"/>
    <col min="11021" max="11021" width="13.625" style="2653" customWidth="1"/>
    <col min="11022" max="11264" width="9" style="2653"/>
    <col min="11265" max="11265" width="4.875" style="2653" customWidth="1"/>
    <col min="11266" max="11266" width="13.125" style="2653" customWidth="1"/>
    <col min="11267" max="11267" width="15.625" style="2653" customWidth="1"/>
    <col min="11268" max="11268" width="9.375" style="2653" bestFit="1" customWidth="1"/>
    <col min="11269" max="11269" width="13.5" style="2653" customWidth="1"/>
    <col min="11270" max="11270" width="9" style="2653"/>
    <col min="11271" max="11271" width="9.375" style="2653" bestFit="1" customWidth="1"/>
    <col min="11272" max="11273" width="9" style="2653"/>
    <col min="11274" max="11274" width="9.375" style="2653" bestFit="1" customWidth="1"/>
    <col min="11275" max="11275" width="4" style="2653" customWidth="1"/>
    <col min="11276" max="11276" width="5.125" style="2653" customWidth="1"/>
    <col min="11277" max="11277" width="13.625" style="2653" customWidth="1"/>
    <col min="11278" max="11520" width="9" style="2653"/>
    <col min="11521" max="11521" width="4.875" style="2653" customWidth="1"/>
    <col min="11522" max="11522" width="13.125" style="2653" customWidth="1"/>
    <col min="11523" max="11523" width="15.625" style="2653" customWidth="1"/>
    <col min="11524" max="11524" width="9.375" style="2653" bestFit="1" customWidth="1"/>
    <col min="11525" max="11525" width="13.5" style="2653" customWidth="1"/>
    <col min="11526" max="11526" width="9" style="2653"/>
    <col min="11527" max="11527" width="9.375" style="2653" bestFit="1" customWidth="1"/>
    <col min="11528" max="11529" width="9" style="2653"/>
    <col min="11530" max="11530" width="9.375" style="2653" bestFit="1" customWidth="1"/>
    <col min="11531" max="11531" width="4" style="2653" customWidth="1"/>
    <col min="11532" max="11532" width="5.125" style="2653" customWidth="1"/>
    <col min="11533" max="11533" width="13.625" style="2653" customWidth="1"/>
    <col min="11534" max="11776" width="9" style="2653"/>
    <col min="11777" max="11777" width="4.875" style="2653" customWidth="1"/>
    <col min="11778" max="11778" width="13.125" style="2653" customWidth="1"/>
    <col min="11779" max="11779" width="15.625" style="2653" customWidth="1"/>
    <col min="11780" max="11780" width="9.375" style="2653" bestFit="1" customWidth="1"/>
    <col min="11781" max="11781" width="13.5" style="2653" customWidth="1"/>
    <col min="11782" max="11782" width="9" style="2653"/>
    <col min="11783" max="11783" width="9.375" style="2653" bestFit="1" customWidth="1"/>
    <col min="11784" max="11785" width="9" style="2653"/>
    <col min="11786" max="11786" width="9.375" style="2653" bestFit="1" customWidth="1"/>
    <col min="11787" max="11787" width="4" style="2653" customWidth="1"/>
    <col min="11788" max="11788" width="5.125" style="2653" customWidth="1"/>
    <col min="11789" max="11789" width="13.625" style="2653" customWidth="1"/>
    <col min="11790" max="12032" width="9" style="2653"/>
    <col min="12033" max="12033" width="4.875" style="2653" customWidth="1"/>
    <col min="12034" max="12034" width="13.125" style="2653" customWidth="1"/>
    <col min="12035" max="12035" width="15.625" style="2653" customWidth="1"/>
    <col min="12036" max="12036" width="9.375" style="2653" bestFit="1" customWidth="1"/>
    <col min="12037" max="12037" width="13.5" style="2653" customWidth="1"/>
    <col min="12038" max="12038" width="9" style="2653"/>
    <col min="12039" max="12039" width="9.375" style="2653" bestFit="1" customWidth="1"/>
    <col min="12040" max="12041" width="9" style="2653"/>
    <col min="12042" max="12042" width="9.375" style="2653" bestFit="1" customWidth="1"/>
    <col min="12043" max="12043" width="4" style="2653" customWidth="1"/>
    <col min="12044" max="12044" width="5.125" style="2653" customWidth="1"/>
    <col min="12045" max="12045" width="13.625" style="2653" customWidth="1"/>
    <col min="12046" max="12288" width="9" style="2653"/>
    <col min="12289" max="12289" width="4.875" style="2653" customWidth="1"/>
    <col min="12290" max="12290" width="13.125" style="2653" customWidth="1"/>
    <col min="12291" max="12291" width="15.625" style="2653" customWidth="1"/>
    <col min="12292" max="12292" width="9.375" style="2653" bestFit="1" customWidth="1"/>
    <col min="12293" max="12293" width="13.5" style="2653" customWidth="1"/>
    <col min="12294" max="12294" width="9" style="2653"/>
    <col min="12295" max="12295" width="9.375" style="2653" bestFit="1" customWidth="1"/>
    <col min="12296" max="12297" width="9" style="2653"/>
    <col min="12298" max="12298" width="9.375" style="2653" bestFit="1" customWidth="1"/>
    <col min="12299" max="12299" width="4" style="2653" customWidth="1"/>
    <col min="12300" max="12300" width="5.125" style="2653" customWidth="1"/>
    <col min="12301" max="12301" width="13.625" style="2653" customWidth="1"/>
    <col min="12302" max="12544" width="9" style="2653"/>
    <col min="12545" max="12545" width="4.875" style="2653" customWidth="1"/>
    <col min="12546" max="12546" width="13.125" style="2653" customWidth="1"/>
    <col min="12547" max="12547" width="15.625" style="2653" customWidth="1"/>
    <col min="12548" max="12548" width="9.375" style="2653" bestFit="1" customWidth="1"/>
    <col min="12549" max="12549" width="13.5" style="2653" customWidth="1"/>
    <col min="12550" max="12550" width="9" style="2653"/>
    <col min="12551" max="12551" width="9.375" style="2653" bestFit="1" customWidth="1"/>
    <col min="12552" max="12553" width="9" style="2653"/>
    <col min="12554" max="12554" width="9.375" style="2653" bestFit="1" customWidth="1"/>
    <col min="12555" max="12555" width="4" style="2653" customWidth="1"/>
    <col min="12556" max="12556" width="5.125" style="2653" customWidth="1"/>
    <col min="12557" max="12557" width="13.625" style="2653" customWidth="1"/>
    <col min="12558" max="12800" width="9" style="2653"/>
    <col min="12801" max="12801" width="4.875" style="2653" customWidth="1"/>
    <col min="12802" max="12802" width="13.125" style="2653" customWidth="1"/>
    <col min="12803" max="12803" width="15.625" style="2653" customWidth="1"/>
    <col min="12804" max="12804" width="9.375" style="2653" bestFit="1" customWidth="1"/>
    <col min="12805" max="12805" width="13.5" style="2653" customWidth="1"/>
    <col min="12806" max="12806" width="9" style="2653"/>
    <col min="12807" max="12807" width="9.375" style="2653" bestFit="1" customWidth="1"/>
    <col min="12808" max="12809" width="9" style="2653"/>
    <col min="12810" max="12810" width="9.375" style="2653" bestFit="1" customWidth="1"/>
    <col min="12811" max="12811" width="4" style="2653" customWidth="1"/>
    <col min="12812" max="12812" width="5.125" style="2653" customWidth="1"/>
    <col min="12813" max="12813" width="13.625" style="2653" customWidth="1"/>
    <col min="12814" max="13056" width="9" style="2653"/>
    <col min="13057" max="13057" width="4.875" style="2653" customWidth="1"/>
    <col min="13058" max="13058" width="13.125" style="2653" customWidth="1"/>
    <col min="13059" max="13059" width="15.625" style="2653" customWidth="1"/>
    <col min="13060" max="13060" width="9.375" style="2653" bestFit="1" customWidth="1"/>
    <col min="13061" max="13061" width="13.5" style="2653" customWidth="1"/>
    <col min="13062" max="13062" width="9" style="2653"/>
    <col min="13063" max="13063" width="9.375" style="2653" bestFit="1" customWidth="1"/>
    <col min="13064" max="13065" width="9" style="2653"/>
    <col min="13066" max="13066" width="9.375" style="2653" bestFit="1" customWidth="1"/>
    <col min="13067" max="13067" width="4" style="2653" customWidth="1"/>
    <col min="13068" max="13068" width="5.125" style="2653" customWidth="1"/>
    <col min="13069" max="13069" width="13.625" style="2653" customWidth="1"/>
    <col min="13070" max="13312" width="9" style="2653"/>
    <col min="13313" max="13313" width="4.875" style="2653" customWidth="1"/>
    <col min="13314" max="13314" width="13.125" style="2653" customWidth="1"/>
    <col min="13315" max="13315" width="15.625" style="2653" customWidth="1"/>
    <col min="13316" max="13316" width="9.375" style="2653" bestFit="1" customWidth="1"/>
    <col min="13317" max="13317" width="13.5" style="2653" customWidth="1"/>
    <col min="13318" max="13318" width="9" style="2653"/>
    <col min="13319" max="13319" width="9.375" style="2653" bestFit="1" customWidth="1"/>
    <col min="13320" max="13321" width="9" style="2653"/>
    <col min="13322" max="13322" width="9.375" style="2653" bestFit="1" customWidth="1"/>
    <col min="13323" max="13323" width="4" style="2653" customWidth="1"/>
    <col min="13324" max="13324" width="5.125" style="2653" customWidth="1"/>
    <col min="13325" max="13325" width="13.625" style="2653" customWidth="1"/>
    <col min="13326" max="13568" width="9" style="2653"/>
    <col min="13569" max="13569" width="4.875" style="2653" customWidth="1"/>
    <col min="13570" max="13570" width="13.125" style="2653" customWidth="1"/>
    <col min="13571" max="13571" width="15.625" style="2653" customWidth="1"/>
    <col min="13572" max="13572" width="9.375" style="2653" bestFit="1" customWidth="1"/>
    <col min="13573" max="13573" width="13.5" style="2653" customWidth="1"/>
    <col min="13574" max="13574" width="9" style="2653"/>
    <col min="13575" max="13575" width="9.375" style="2653" bestFit="1" customWidth="1"/>
    <col min="13576" max="13577" width="9" style="2653"/>
    <col min="13578" max="13578" width="9.375" style="2653" bestFit="1" customWidth="1"/>
    <col min="13579" max="13579" width="4" style="2653" customWidth="1"/>
    <col min="13580" max="13580" width="5.125" style="2653" customWidth="1"/>
    <col min="13581" max="13581" width="13.625" style="2653" customWidth="1"/>
    <col min="13582" max="13824" width="9" style="2653"/>
    <col min="13825" max="13825" width="4.875" style="2653" customWidth="1"/>
    <col min="13826" max="13826" width="13.125" style="2653" customWidth="1"/>
    <col min="13827" max="13827" width="15.625" style="2653" customWidth="1"/>
    <col min="13828" max="13828" width="9.375" style="2653" bestFit="1" customWidth="1"/>
    <col min="13829" max="13829" width="13.5" style="2653" customWidth="1"/>
    <col min="13830" max="13830" width="9" style="2653"/>
    <col min="13831" max="13831" width="9.375" style="2653" bestFit="1" customWidth="1"/>
    <col min="13832" max="13833" width="9" style="2653"/>
    <col min="13834" max="13834" width="9.375" style="2653" bestFit="1" customWidth="1"/>
    <col min="13835" max="13835" width="4" style="2653" customWidth="1"/>
    <col min="13836" max="13836" width="5.125" style="2653" customWidth="1"/>
    <col min="13837" max="13837" width="13.625" style="2653" customWidth="1"/>
    <col min="13838" max="14080" width="9" style="2653"/>
    <col min="14081" max="14081" width="4.875" style="2653" customWidth="1"/>
    <col min="14082" max="14082" width="13.125" style="2653" customWidth="1"/>
    <col min="14083" max="14083" width="15.625" style="2653" customWidth="1"/>
    <col min="14084" max="14084" width="9.375" style="2653" bestFit="1" customWidth="1"/>
    <col min="14085" max="14085" width="13.5" style="2653" customWidth="1"/>
    <col min="14086" max="14086" width="9" style="2653"/>
    <col min="14087" max="14087" width="9.375" style="2653" bestFit="1" customWidth="1"/>
    <col min="14088" max="14089" width="9" style="2653"/>
    <col min="14090" max="14090" width="9.375" style="2653" bestFit="1" customWidth="1"/>
    <col min="14091" max="14091" width="4" style="2653" customWidth="1"/>
    <col min="14092" max="14092" width="5.125" style="2653" customWidth="1"/>
    <col min="14093" max="14093" width="13.625" style="2653" customWidth="1"/>
    <col min="14094" max="14336" width="9" style="2653"/>
    <col min="14337" max="14337" width="4.875" style="2653" customWidth="1"/>
    <col min="14338" max="14338" width="13.125" style="2653" customWidth="1"/>
    <col min="14339" max="14339" width="15.625" style="2653" customWidth="1"/>
    <col min="14340" max="14340" width="9.375" style="2653" bestFit="1" customWidth="1"/>
    <col min="14341" max="14341" width="13.5" style="2653" customWidth="1"/>
    <col min="14342" max="14342" width="9" style="2653"/>
    <col min="14343" max="14343" width="9.375" style="2653" bestFit="1" customWidth="1"/>
    <col min="14344" max="14345" width="9" style="2653"/>
    <col min="14346" max="14346" width="9.375" style="2653" bestFit="1" customWidth="1"/>
    <col min="14347" max="14347" width="4" style="2653" customWidth="1"/>
    <col min="14348" max="14348" width="5.125" style="2653" customWidth="1"/>
    <col min="14349" max="14349" width="13.625" style="2653" customWidth="1"/>
    <col min="14350" max="14592" width="9" style="2653"/>
    <col min="14593" max="14593" width="4.875" style="2653" customWidth="1"/>
    <col min="14594" max="14594" width="13.125" style="2653" customWidth="1"/>
    <col min="14595" max="14595" width="15.625" style="2653" customWidth="1"/>
    <col min="14596" max="14596" width="9.375" style="2653" bestFit="1" customWidth="1"/>
    <col min="14597" max="14597" width="13.5" style="2653" customWidth="1"/>
    <col min="14598" max="14598" width="9" style="2653"/>
    <col min="14599" max="14599" width="9.375" style="2653" bestFit="1" customWidth="1"/>
    <col min="14600" max="14601" width="9" style="2653"/>
    <col min="14602" max="14602" width="9.375" style="2653" bestFit="1" customWidth="1"/>
    <col min="14603" max="14603" width="4" style="2653" customWidth="1"/>
    <col min="14604" max="14604" width="5.125" style="2653" customWidth="1"/>
    <col min="14605" max="14605" width="13.625" style="2653" customWidth="1"/>
    <col min="14606" max="14848" width="9" style="2653"/>
    <col min="14849" max="14849" width="4.875" style="2653" customWidth="1"/>
    <col min="14850" max="14850" width="13.125" style="2653" customWidth="1"/>
    <col min="14851" max="14851" width="15.625" style="2653" customWidth="1"/>
    <col min="14852" max="14852" width="9.375" style="2653" bestFit="1" customWidth="1"/>
    <col min="14853" max="14853" width="13.5" style="2653" customWidth="1"/>
    <col min="14854" max="14854" width="9" style="2653"/>
    <col min="14855" max="14855" width="9.375" style="2653" bestFit="1" customWidth="1"/>
    <col min="14856" max="14857" width="9" style="2653"/>
    <col min="14858" max="14858" width="9.375" style="2653" bestFit="1" customWidth="1"/>
    <col min="14859" max="14859" width="4" style="2653" customWidth="1"/>
    <col min="14860" max="14860" width="5.125" style="2653" customWidth="1"/>
    <col min="14861" max="14861" width="13.625" style="2653" customWidth="1"/>
    <col min="14862" max="15104" width="9" style="2653"/>
    <col min="15105" max="15105" width="4.875" style="2653" customWidth="1"/>
    <col min="15106" max="15106" width="13.125" style="2653" customWidth="1"/>
    <col min="15107" max="15107" width="15.625" style="2653" customWidth="1"/>
    <col min="15108" max="15108" width="9.375" style="2653" bestFit="1" customWidth="1"/>
    <col min="15109" max="15109" width="13.5" style="2653" customWidth="1"/>
    <col min="15110" max="15110" width="9" style="2653"/>
    <col min="15111" max="15111" width="9.375" style="2653" bestFit="1" customWidth="1"/>
    <col min="15112" max="15113" width="9" style="2653"/>
    <col min="15114" max="15114" width="9.375" style="2653" bestFit="1" customWidth="1"/>
    <col min="15115" max="15115" width="4" style="2653" customWidth="1"/>
    <col min="15116" max="15116" width="5.125" style="2653" customWidth="1"/>
    <col min="15117" max="15117" width="13.625" style="2653" customWidth="1"/>
    <col min="15118" max="15360" width="9" style="2653"/>
    <col min="15361" max="15361" width="4.875" style="2653" customWidth="1"/>
    <col min="15362" max="15362" width="13.125" style="2653" customWidth="1"/>
    <col min="15363" max="15363" width="15.625" style="2653" customWidth="1"/>
    <col min="15364" max="15364" width="9.375" style="2653" bestFit="1" customWidth="1"/>
    <col min="15365" max="15365" width="13.5" style="2653" customWidth="1"/>
    <col min="15366" max="15366" width="9" style="2653"/>
    <col min="15367" max="15367" width="9.375" style="2653" bestFit="1" customWidth="1"/>
    <col min="15368" max="15369" width="9" style="2653"/>
    <col min="15370" max="15370" width="9.375" style="2653" bestFit="1" customWidth="1"/>
    <col min="15371" max="15371" width="4" style="2653" customWidth="1"/>
    <col min="15372" max="15372" width="5.125" style="2653" customWidth="1"/>
    <col min="15373" max="15373" width="13.625" style="2653" customWidth="1"/>
    <col min="15374" max="15616" width="9" style="2653"/>
    <col min="15617" max="15617" width="4.875" style="2653" customWidth="1"/>
    <col min="15618" max="15618" width="13.125" style="2653" customWidth="1"/>
    <col min="15619" max="15619" width="15.625" style="2653" customWidth="1"/>
    <col min="15620" max="15620" width="9.375" style="2653" bestFit="1" customWidth="1"/>
    <col min="15621" max="15621" width="13.5" style="2653" customWidth="1"/>
    <col min="15622" max="15622" width="9" style="2653"/>
    <col min="15623" max="15623" width="9.375" style="2653" bestFit="1" customWidth="1"/>
    <col min="15624" max="15625" width="9" style="2653"/>
    <col min="15626" max="15626" width="9.375" style="2653" bestFit="1" customWidth="1"/>
    <col min="15627" max="15627" width="4" style="2653" customWidth="1"/>
    <col min="15628" max="15628" width="5.125" style="2653" customWidth="1"/>
    <col min="15629" max="15629" width="13.625" style="2653" customWidth="1"/>
    <col min="15630" max="15872" width="9" style="2653"/>
    <col min="15873" max="15873" width="4.875" style="2653" customWidth="1"/>
    <col min="15874" max="15874" width="13.125" style="2653" customWidth="1"/>
    <col min="15875" max="15875" width="15.625" style="2653" customWidth="1"/>
    <col min="15876" max="15876" width="9.375" style="2653" bestFit="1" customWidth="1"/>
    <col min="15877" max="15877" width="13.5" style="2653" customWidth="1"/>
    <col min="15878" max="15878" width="9" style="2653"/>
    <col min="15879" max="15879" width="9.375" style="2653" bestFit="1" customWidth="1"/>
    <col min="15880" max="15881" width="9" style="2653"/>
    <col min="15882" max="15882" width="9.375" style="2653" bestFit="1" customWidth="1"/>
    <col min="15883" max="15883" width="4" style="2653" customWidth="1"/>
    <col min="15884" max="15884" width="5.125" style="2653" customWidth="1"/>
    <col min="15885" max="15885" width="13.625" style="2653" customWidth="1"/>
    <col min="15886" max="16128" width="9" style="2653"/>
    <col min="16129" max="16129" width="4.875" style="2653" customWidth="1"/>
    <col min="16130" max="16130" width="13.125" style="2653" customWidth="1"/>
    <col min="16131" max="16131" width="15.625" style="2653" customWidth="1"/>
    <col min="16132" max="16132" width="9.375" style="2653" bestFit="1" customWidth="1"/>
    <col min="16133" max="16133" width="13.5" style="2653" customWidth="1"/>
    <col min="16134" max="16134" width="9" style="2653"/>
    <col min="16135" max="16135" width="9.375" style="2653" bestFit="1" customWidth="1"/>
    <col min="16136" max="16137" width="9" style="2653"/>
    <col min="16138" max="16138" width="9.375" style="2653" bestFit="1" customWidth="1"/>
    <col min="16139" max="16139" width="4" style="2653" customWidth="1"/>
    <col min="16140" max="16140" width="5.125" style="2653" customWidth="1"/>
    <col min="16141" max="16141" width="13.625" style="2653" customWidth="1"/>
    <col min="16142" max="16384" width="9" style="2653"/>
  </cols>
  <sheetData>
    <row r="1" spans="1:257" s="2713" customFormat="1" ht="14.25" thickBot="1">
      <c r="A1" s="2712"/>
      <c r="B1" s="2714" t="s">
        <v>2760</v>
      </c>
      <c r="C1" s="2718">
        <f>项目基本情况!D3</f>
        <v>44125</v>
      </c>
      <c r="H1" s="2652">
        <f>IF(C1&gt;C13,0,MATCH(C1,C$13:C$100,-1))+IF(SUMIF(C13:C100,C1,D13:D100)=0,13,12)</f>
        <v>13</v>
      </c>
      <c r="I1" s="2652">
        <f>MATCH(C2,H3:H7,1)+IF(SUMIF(H3:H7,C2,I3:I7)=0,2,1)</f>
        <v>5</v>
      </c>
      <c r="J1" s="2711">
        <f ca="1">MATCH(C3,H3:H7,1)+IF(SUMIF(H3:H7,C3,J3:J7)=0,2,1)</f>
        <v>4</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2791</v>
      </c>
      <c r="C2" s="2719">
        <f>'数据-取费表'!B22</f>
        <v>2.5</v>
      </c>
      <c r="D2" s="2714" t="s">
        <v>2761</v>
      </c>
      <c r="E2" s="2717">
        <f ca="1">INDIRECT("I"&amp;$I$1)/100</f>
        <v>4.7500000000000001E-2</v>
      </c>
      <c r="G2" s="2654"/>
      <c r="H2" s="2654"/>
      <c r="I2" s="2654" t="s">
        <v>2762</v>
      </c>
      <c r="K2" s="2654"/>
      <c r="L2" s="2654"/>
      <c r="M2" s="2654"/>
      <c r="N2" s="2654" t="s">
        <v>2763</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2793</v>
      </c>
      <c r="C3" s="2716">
        <f>'数据-取费表'!B19</f>
        <v>1</v>
      </c>
      <c r="D3" s="2714" t="s">
        <v>2761</v>
      </c>
      <c r="E3" s="2717">
        <f ca="1">INDIRECT("J"&amp;$J$1)/100</f>
        <v>4.3499999999999997E-2</v>
      </c>
      <c r="G3" s="2656" t="s">
        <v>2764</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2792</v>
      </c>
      <c r="C4" s="2717">
        <f ca="1">N4/100</f>
        <v>1.4999999999999999E-2</v>
      </c>
      <c r="G4" s="2662" t="s">
        <v>2765</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2766</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2767</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2768</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2769</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2770</v>
      </c>
      <c r="C10" s="2681"/>
      <c r="D10" s="2681"/>
      <c r="E10" s="2681"/>
      <c r="F10" s="2681"/>
      <c r="G10" s="2681"/>
      <c r="H10" s="2681"/>
      <c r="I10" s="2655"/>
      <c r="J10" s="2655"/>
      <c r="K10" s="2681"/>
      <c r="L10" s="2682" t="s">
        <v>2771</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2772</v>
      </c>
      <c r="C11" s="2686" t="s">
        <v>2773</v>
      </c>
      <c r="D11" s="2687" t="s">
        <v>2774</v>
      </c>
      <c r="E11" s="2688"/>
      <c r="F11" s="2687" t="s">
        <v>2775</v>
      </c>
      <c r="G11" s="2689"/>
      <c r="H11" s="2688"/>
      <c r="I11" s="2687" t="s">
        <v>2776</v>
      </c>
      <c r="J11" s="2688"/>
      <c r="K11" s="2684"/>
      <c r="L11" s="2685" t="s">
        <v>2772</v>
      </c>
      <c r="M11" s="2686" t="s">
        <v>2773</v>
      </c>
      <c r="N11" s="2685" t="s">
        <v>2777</v>
      </c>
      <c r="O11" s="2687" t="s">
        <v>2778</v>
      </c>
      <c r="P11" s="2689"/>
      <c r="Q11" s="2689"/>
      <c r="R11" s="2689"/>
      <c r="S11" s="2689"/>
      <c r="T11" s="2688"/>
      <c r="U11" s="2687" t="s">
        <v>2779</v>
      </c>
      <c r="V11" s="2689"/>
      <c r="W11" s="2688"/>
      <c r="X11" s="2685" t="s">
        <v>2780</v>
      </c>
      <c r="Y11" s="2685" t="s">
        <v>2781</v>
      </c>
      <c r="Z11" s="2685" t="s">
        <v>2782</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2783</v>
      </c>
      <c r="E12" s="2694" t="s">
        <v>2784</v>
      </c>
      <c r="F12" s="2694" t="s">
        <v>2785</v>
      </c>
      <c r="G12" s="2694" t="s">
        <v>2786</v>
      </c>
      <c r="H12" s="2694" t="s">
        <v>2768</v>
      </c>
      <c r="I12" s="2695" t="s">
        <v>2787</v>
      </c>
      <c r="J12" s="2695" t="s">
        <v>2787</v>
      </c>
      <c r="K12" s="2691"/>
      <c r="L12" s="2692"/>
      <c r="M12" s="2693"/>
      <c r="N12" s="2692"/>
      <c r="O12" s="2695" t="s">
        <v>2788</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2789</v>
      </c>
      <c r="C13" s="2699">
        <v>42301</v>
      </c>
      <c r="D13" s="2700">
        <v>4.3499999999999996</v>
      </c>
      <c r="E13" s="2700">
        <v>4.3499999999999996</v>
      </c>
      <c r="F13" s="2700">
        <v>4.75</v>
      </c>
      <c r="G13" s="2700">
        <v>4.75</v>
      </c>
      <c r="H13" s="2700">
        <v>4.9000000000000004</v>
      </c>
      <c r="I13" s="2700">
        <v>2.75</v>
      </c>
      <c r="J13" s="2700">
        <v>3.25</v>
      </c>
      <c r="K13" s="2697"/>
      <c r="L13" s="2698" t="s">
        <v>2789</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2790</v>
      </c>
      <c r="Y42" s="2704" t="s">
        <v>2790</v>
      </c>
      <c r="Z42" s="2704" t="s">
        <v>2790</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2790</v>
      </c>
      <c r="Y43" s="2704" t="s">
        <v>2790</v>
      </c>
      <c r="Z43" s="2704" t="s">
        <v>2790</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2790</v>
      </c>
      <c r="Y44" s="2704" t="s">
        <v>2790</v>
      </c>
      <c r="Z44" s="2704" t="s">
        <v>2790</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2790</v>
      </c>
      <c r="Y45" s="2704" t="s">
        <v>2790</v>
      </c>
      <c r="Z45" s="2704" t="s">
        <v>2790</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2790</v>
      </c>
      <c r="Y46" s="2704" t="s">
        <v>2790</v>
      </c>
      <c r="Z46" s="2704" t="s">
        <v>2790</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2790</v>
      </c>
      <c r="Y47" s="2704" t="s">
        <v>2790</v>
      </c>
      <c r="Z47" s="2704" t="s">
        <v>2790</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2790</v>
      </c>
      <c r="Y48" s="2704" t="s">
        <v>2790</v>
      </c>
      <c r="Z48" s="2704" t="s">
        <v>2790</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2790</v>
      </c>
      <c r="Y49" s="2704" t="s">
        <v>2790</v>
      </c>
      <c r="Z49" s="2704" t="s">
        <v>2790</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2790</v>
      </c>
      <c r="Y50" s="2704" t="s">
        <v>2790</v>
      </c>
      <c r="Z50" s="2704" t="s">
        <v>2790</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2790</v>
      </c>
      <c r="V51" s="2704" t="s">
        <v>2790</v>
      </c>
      <c r="W51" s="2704" t="s">
        <v>2790</v>
      </c>
      <c r="X51" s="2704" t="s">
        <v>2790</v>
      </c>
      <c r="Y51" s="2704" t="s">
        <v>2790</v>
      </c>
      <c r="Z51" s="2704" t="s">
        <v>2790</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2790</v>
      </c>
      <c r="J55" s="2704" t="s">
        <v>2790</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9"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18"/>
  <sheetViews>
    <sheetView workbookViewId="0">
      <selection activeCell="D3" sqref="D3"/>
    </sheetView>
  </sheetViews>
  <sheetFormatPr defaultColWidth="8.875" defaultRowHeight="12.75"/>
  <cols>
    <col min="1" max="1" width="10.125" style="3298" customWidth="1"/>
    <col min="2" max="2" width="5.125" style="3298" customWidth="1"/>
    <col min="3" max="5" width="7.625" style="3298" customWidth="1"/>
    <col min="6" max="53" width="6.5" style="3298" customWidth="1"/>
    <col min="54" max="256" width="9" style="3298"/>
    <col min="257" max="257" width="10.125" style="3298" customWidth="1"/>
    <col min="258" max="258" width="5.125" style="3298" customWidth="1"/>
    <col min="259" max="261" width="7.625" style="3298" customWidth="1"/>
    <col min="262" max="309" width="6.5" style="3298" customWidth="1"/>
    <col min="310" max="512" width="9" style="3298"/>
    <col min="513" max="513" width="10.125" style="3298" customWidth="1"/>
    <col min="514" max="514" width="5.125" style="3298" customWidth="1"/>
    <col min="515" max="517" width="7.625" style="3298" customWidth="1"/>
    <col min="518" max="565" width="6.5" style="3298" customWidth="1"/>
    <col min="566" max="768" width="9" style="3298"/>
    <col min="769" max="769" width="10.125" style="3298" customWidth="1"/>
    <col min="770" max="770" width="5.125" style="3298" customWidth="1"/>
    <col min="771" max="773" width="7.625" style="3298" customWidth="1"/>
    <col min="774" max="821" width="6.5" style="3298" customWidth="1"/>
    <col min="822" max="1024" width="9" style="3298"/>
    <col min="1025" max="1025" width="10.125" style="3298" customWidth="1"/>
    <col min="1026" max="1026" width="5.125" style="3298" customWidth="1"/>
    <col min="1027" max="1029" width="7.625" style="3298" customWidth="1"/>
    <col min="1030" max="1077" width="6.5" style="3298" customWidth="1"/>
    <col min="1078" max="1280" width="9" style="3298"/>
    <col min="1281" max="1281" width="10.125" style="3298" customWidth="1"/>
    <col min="1282" max="1282" width="5.125" style="3298" customWidth="1"/>
    <col min="1283" max="1285" width="7.625" style="3298" customWidth="1"/>
    <col min="1286" max="1333" width="6.5" style="3298" customWidth="1"/>
    <col min="1334" max="1536" width="9" style="3298"/>
    <col min="1537" max="1537" width="10.125" style="3298" customWidth="1"/>
    <col min="1538" max="1538" width="5.125" style="3298" customWidth="1"/>
    <col min="1539" max="1541" width="7.625" style="3298" customWidth="1"/>
    <col min="1542" max="1589" width="6.5" style="3298" customWidth="1"/>
    <col min="1590" max="1792" width="9" style="3298"/>
    <col min="1793" max="1793" width="10.125" style="3298" customWidth="1"/>
    <col min="1794" max="1794" width="5.125" style="3298" customWidth="1"/>
    <col min="1795" max="1797" width="7.625" style="3298" customWidth="1"/>
    <col min="1798" max="1845" width="6.5" style="3298" customWidth="1"/>
    <col min="1846" max="2048" width="9" style="3298"/>
    <col min="2049" max="2049" width="10.125" style="3298" customWidth="1"/>
    <col min="2050" max="2050" width="5.125" style="3298" customWidth="1"/>
    <col min="2051" max="2053" width="7.625" style="3298" customWidth="1"/>
    <col min="2054" max="2101" width="6.5" style="3298" customWidth="1"/>
    <col min="2102" max="2304" width="9" style="3298"/>
    <col min="2305" max="2305" width="10.125" style="3298" customWidth="1"/>
    <col min="2306" max="2306" width="5.125" style="3298" customWidth="1"/>
    <col min="2307" max="2309" width="7.625" style="3298" customWidth="1"/>
    <col min="2310" max="2357" width="6.5" style="3298" customWidth="1"/>
    <col min="2358" max="2560" width="9" style="3298"/>
    <col min="2561" max="2561" width="10.125" style="3298" customWidth="1"/>
    <col min="2562" max="2562" width="5.125" style="3298" customWidth="1"/>
    <col min="2563" max="2565" width="7.625" style="3298" customWidth="1"/>
    <col min="2566" max="2613" width="6.5" style="3298" customWidth="1"/>
    <col min="2614" max="2816" width="9" style="3298"/>
    <col min="2817" max="2817" width="10.125" style="3298" customWidth="1"/>
    <col min="2818" max="2818" width="5.125" style="3298" customWidth="1"/>
    <col min="2819" max="2821" width="7.625" style="3298" customWidth="1"/>
    <col min="2822" max="2869" width="6.5" style="3298" customWidth="1"/>
    <col min="2870" max="3072" width="9" style="3298"/>
    <col min="3073" max="3073" width="10.125" style="3298" customWidth="1"/>
    <col min="3074" max="3074" width="5.125" style="3298" customWidth="1"/>
    <col min="3075" max="3077" width="7.625" style="3298" customWidth="1"/>
    <col min="3078" max="3125" width="6.5" style="3298" customWidth="1"/>
    <col min="3126" max="3328" width="9" style="3298"/>
    <col min="3329" max="3329" width="10.125" style="3298" customWidth="1"/>
    <col min="3330" max="3330" width="5.125" style="3298" customWidth="1"/>
    <col min="3331" max="3333" width="7.625" style="3298" customWidth="1"/>
    <col min="3334" max="3381" width="6.5" style="3298" customWidth="1"/>
    <col min="3382" max="3584" width="9" style="3298"/>
    <col min="3585" max="3585" width="10.125" style="3298" customWidth="1"/>
    <col min="3586" max="3586" width="5.125" style="3298" customWidth="1"/>
    <col min="3587" max="3589" width="7.625" style="3298" customWidth="1"/>
    <col min="3590" max="3637" width="6.5" style="3298" customWidth="1"/>
    <col min="3638" max="3840" width="9" style="3298"/>
    <col min="3841" max="3841" width="10.125" style="3298" customWidth="1"/>
    <col min="3842" max="3842" width="5.125" style="3298" customWidth="1"/>
    <col min="3843" max="3845" width="7.625" style="3298" customWidth="1"/>
    <col min="3846" max="3893" width="6.5" style="3298" customWidth="1"/>
    <col min="3894" max="4096" width="9" style="3298"/>
    <col min="4097" max="4097" width="10.125" style="3298" customWidth="1"/>
    <col min="4098" max="4098" width="5.125" style="3298" customWidth="1"/>
    <col min="4099" max="4101" width="7.625" style="3298" customWidth="1"/>
    <col min="4102" max="4149" width="6.5" style="3298" customWidth="1"/>
    <col min="4150" max="4352" width="9" style="3298"/>
    <col min="4353" max="4353" width="10.125" style="3298" customWidth="1"/>
    <col min="4354" max="4354" width="5.125" style="3298" customWidth="1"/>
    <col min="4355" max="4357" width="7.625" style="3298" customWidth="1"/>
    <col min="4358" max="4405" width="6.5" style="3298" customWidth="1"/>
    <col min="4406" max="4608" width="9" style="3298"/>
    <col min="4609" max="4609" width="10.125" style="3298" customWidth="1"/>
    <col min="4610" max="4610" width="5.125" style="3298" customWidth="1"/>
    <col min="4611" max="4613" width="7.625" style="3298" customWidth="1"/>
    <col min="4614" max="4661" width="6.5" style="3298" customWidth="1"/>
    <col min="4662" max="4864" width="9" style="3298"/>
    <col min="4865" max="4865" width="10.125" style="3298" customWidth="1"/>
    <col min="4866" max="4866" width="5.125" style="3298" customWidth="1"/>
    <col min="4867" max="4869" width="7.625" style="3298" customWidth="1"/>
    <col min="4870" max="4917" width="6.5" style="3298" customWidth="1"/>
    <col min="4918" max="5120" width="9" style="3298"/>
    <col min="5121" max="5121" width="10.125" style="3298" customWidth="1"/>
    <col min="5122" max="5122" width="5.125" style="3298" customWidth="1"/>
    <col min="5123" max="5125" width="7.625" style="3298" customWidth="1"/>
    <col min="5126" max="5173" width="6.5" style="3298" customWidth="1"/>
    <col min="5174" max="5376" width="9" style="3298"/>
    <col min="5377" max="5377" width="10.125" style="3298" customWidth="1"/>
    <col min="5378" max="5378" width="5.125" style="3298" customWidth="1"/>
    <col min="5379" max="5381" width="7.625" style="3298" customWidth="1"/>
    <col min="5382" max="5429" width="6.5" style="3298" customWidth="1"/>
    <col min="5430" max="5632" width="9" style="3298"/>
    <col min="5633" max="5633" width="10.125" style="3298" customWidth="1"/>
    <col min="5634" max="5634" width="5.125" style="3298" customWidth="1"/>
    <col min="5635" max="5637" width="7.625" style="3298" customWidth="1"/>
    <col min="5638" max="5685" width="6.5" style="3298" customWidth="1"/>
    <col min="5686" max="5888" width="9" style="3298"/>
    <col min="5889" max="5889" width="10.125" style="3298" customWidth="1"/>
    <col min="5890" max="5890" width="5.125" style="3298" customWidth="1"/>
    <col min="5891" max="5893" width="7.625" style="3298" customWidth="1"/>
    <col min="5894" max="5941" width="6.5" style="3298" customWidth="1"/>
    <col min="5942" max="6144" width="9" style="3298"/>
    <col min="6145" max="6145" width="10.125" style="3298" customWidth="1"/>
    <col min="6146" max="6146" width="5.125" style="3298" customWidth="1"/>
    <col min="6147" max="6149" width="7.625" style="3298" customWidth="1"/>
    <col min="6150" max="6197" width="6.5" style="3298" customWidth="1"/>
    <col min="6198" max="6400" width="9" style="3298"/>
    <col min="6401" max="6401" width="10.125" style="3298" customWidth="1"/>
    <col min="6402" max="6402" width="5.125" style="3298" customWidth="1"/>
    <col min="6403" max="6405" width="7.625" style="3298" customWidth="1"/>
    <col min="6406" max="6453" width="6.5" style="3298" customWidth="1"/>
    <col min="6454" max="6656" width="9" style="3298"/>
    <col min="6657" max="6657" width="10.125" style="3298" customWidth="1"/>
    <col min="6658" max="6658" width="5.125" style="3298" customWidth="1"/>
    <col min="6659" max="6661" width="7.625" style="3298" customWidth="1"/>
    <col min="6662" max="6709" width="6.5" style="3298" customWidth="1"/>
    <col min="6710" max="6912" width="9" style="3298"/>
    <col min="6913" max="6913" width="10.125" style="3298" customWidth="1"/>
    <col min="6914" max="6914" width="5.125" style="3298" customWidth="1"/>
    <col min="6915" max="6917" width="7.625" style="3298" customWidth="1"/>
    <col min="6918" max="6965" width="6.5" style="3298" customWidth="1"/>
    <col min="6966" max="7168" width="9" style="3298"/>
    <col min="7169" max="7169" width="10.125" style="3298" customWidth="1"/>
    <col min="7170" max="7170" width="5.125" style="3298" customWidth="1"/>
    <col min="7171" max="7173" width="7.625" style="3298" customWidth="1"/>
    <col min="7174" max="7221" width="6.5" style="3298" customWidth="1"/>
    <col min="7222" max="7424" width="9" style="3298"/>
    <col min="7425" max="7425" width="10.125" style="3298" customWidth="1"/>
    <col min="7426" max="7426" width="5.125" style="3298" customWidth="1"/>
    <col min="7427" max="7429" width="7.625" style="3298" customWidth="1"/>
    <col min="7430" max="7477" width="6.5" style="3298" customWidth="1"/>
    <col min="7478" max="7680" width="9" style="3298"/>
    <col min="7681" max="7681" width="10.125" style="3298" customWidth="1"/>
    <col min="7682" max="7682" width="5.125" style="3298" customWidth="1"/>
    <col min="7683" max="7685" width="7.625" style="3298" customWidth="1"/>
    <col min="7686" max="7733" width="6.5" style="3298" customWidth="1"/>
    <col min="7734" max="7936" width="9" style="3298"/>
    <col min="7937" max="7937" width="10.125" style="3298" customWidth="1"/>
    <col min="7938" max="7938" width="5.125" style="3298" customWidth="1"/>
    <col min="7939" max="7941" width="7.625" style="3298" customWidth="1"/>
    <col min="7942" max="7989" width="6.5" style="3298" customWidth="1"/>
    <col min="7990" max="8192" width="9" style="3298"/>
    <col min="8193" max="8193" width="10.125" style="3298" customWidth="1"/>
    <col min="8194" max="8194" width="5.125" style="3298" customWidth="1"/>
    <col min="8195" max="8197" width="7.625" style="3298" customWidth="1"/>
    <col min="8198" max="8245" width="6.5" style="3298" customWidth="1"/>
    <col min="8246" max="8448" width="9" style="3298"/>
    <col min="8449" max="8449" width="10.125" style="3298" customWidth="1"/>
    <col min="8450" max="8450" width="5.125" style="3298" customWidth="1"/>
    <col min="8451" max="8453" width="7.625" style="3298" customWidth="1"/>
    <col min="8454" max="8501" width="6.5" style="3298" customWidth="1"/>
    <col min="8502" max="8704" width="9" style="3298"/>
    <col min="8705" max="8705" width="10.125" style="3298" customWidth="1"/>
    <col min="8706" max="8706" width="5.125" style="3298" customWidth="1"/>
    <col min="8707" max="8709" width="7.625" style="3298" customWidth="1"/>
    <col min="8710" max="8757" width="6.5" style="3298" customWidth="1"/>
    <col min="8758" max="8960" width="9" style="3298"/>
    <col min="8961" max="8961" width="10.125" style="3298" customWidth="1"/>
    <col min="8962" max="8962" width="5.125" style="3298" customWidth="1"/>
    <col min="8963" max="8965" width="7.625" style="3298" customWidth="1"/>
    <col min="8966" max="9013" width="6.5" style="3298" customWidth="1"/>
    <col min="9014" max="9216" width="9" style="3298"/>
    <col min="9217" max="9217" width="10.125" style="3298" customWidth="1"/>
    <col min="9218" max="9218" width="5.125" style="3298" customWidth="1"/>
    <col min="9219" max="9221" width="7.625" style="3298" customWidth="1"/>
    <col min="9222" max="9269" width="6.5" style="3298" customWidth="1"/>
    <col min="9270" max="9472" width="9" style="3298"/>
    <col min="9473" max="9473" width="10.125" style="3298" customWidth="1"/>
    <col min="9474" max="9474" width="5.125" style="3298" customWidth="1"/>
    <col min="9475" max="9477" width="7.625" style="3298" customWidth="1"/>
    <col min="9478" max="9525" width="6.5" style="3298" customWidth="1"/>
    <col min="9526" max="9728" width="9" style="3298"/>
    <col min="9729" max="9729" width="10.125" style="3298" customWidth="1"/>
    <col min="9730" max="9730" width="5.125" style="3298" customWidth="1"/>
    <col min="9731" max="9733" width="7.625" style="3298" customWidth="1"/>
    <col min="9734" max="9781" width="6.5" style="3298" customWidth="1"/>
    <col min="9782" max="9984" width="9" style="3298"/>
    <col min="9985" max="9985" width="10.125" style="3298" customWidth="1"/>
    <col min="9986" max="9986" width="5.125" style="3298" customWidth="1"/>
    <col min="9987" max="9989" width="7.625" style="3298" customWidth="1"/>
    <col min="9990" max="10037" width="6.5" style="3298" customWidth="1"/>
    <col min="10038" max="10240" width="9" style="3298"/>
    <col min="10241" max="10241" width="10.125" style="3298" customWidth="1"/>
    <col min="10242" max="10242" width="5.125" style="3298" customWidth="1"/>
    <col min="10243" max="10245" width="7.625" style="3298" customWidth="1"/>
    <col min="10246" max="10293" width="6.5" style="3298" customWidth="1"/>
    <col min="10294" max="10496" width="9" style="3298"/>
    <col min="10497" max="10497" width="10.125" style="3298" customWidth="1"/>
    <col min="10498" max="10498" width="5.125" style="3298" customWidth="1"/>
    <col min="10499" max="10501" width="7.625" style="3298" customWidth="1"/>
    <col min="10502" max="10549" width="6.5" style="3298" customWidth="1"/>
    <col min="10550" max="10752" width="9" style="3298"/>
    <col min="10753" max="10753" width="10.125" style="3298" customWidth="1"/>
    <col min="10754" max="10754" width="5.125" style="3298" customWidth="1"/>
    <col min="10755" max="10757" width="7.625" style="3298" customWidth="1"/>
    <col min="10758" max="10805" width="6.5" style="3298" customWidth="1"/>
    <col min="10806" max="11008" width="9" style="3298"/>
    <col min="11009" max="11009" width="10.125" style="3298" customWidth="1"/>
    <col min="11010" max="11010" width="5.125" style="3298" customWidth="1"/>
    <col min="11011" max="11013" width="7.625" style="3298" customWidth="1"/>
    <col min="11014" max="11061" width="6.5" style="3298" customWidth="1"/>
    <col min="11062" max="11264" width="9" style="3298"/>
    <col min="11265" max="11265" width="10.125" style="3298" customWidth="1"/>
    <col min="11266" max="11266" width="5.125" style="3298" customWidth="1"/>
    <col min="11267" max="11269" width="7.625" style="3298" customWidth="1"/>
    <col min="11270" max="11317" width="6.5" style="3298" customWidth="1"/>
    <col min="11318" max="11520" width="9" style="3298"/>
    <col min="11521" max="11521" width="10.125" style="3298" customWidth="1"/>
    <col min="11522" max="11522" width="5.125" style="3298" customWidth="1"/>
    <col min="11523" max="11525" width="7.625" style="3298" customWidth="1"/>
    <col min="11526" max="11573" width="6.5" style="3298" customWidth="1"/>
    <col min="11574" max="11776" width="9" style="3298"/>
    <col min="11777" max="11777" width="10.125" style="3298" customWidth="1"/>
    <col min="11778" max="11778" width="5.125" style="3298" customWidth="1"/>
    <col min="11779" max="11781" width="7.625" style="3298" customWidth="1"/>
    <col min="11782" max="11829" width="6.5" style="3298" customWidth="1"/>
    <col min="11830" max="12032" width="9" style="3298"/>
    <col min="12033" max="12033" width="10.125" style="3298" customWidth="1"/>
    <col min="12034" max="12034" width="5.125" style="3298" customWidth="1"/>
    <col min="12035" max="12037" width="7.625" style="3298" customWidth="1"/>
    <col min="12038" max="12085" width="6.5" style="3298" customWidth="1"/>
    <col min="12086" max="12288" width="9" style="3298"/>
    <col min="12289" max="12289" width="10.125" style="3298" customWidth="1"/>
    <col min="12290" max="12290" width="5.125" style="3298" customWidth="1"/>
    <col min="12291" max="12293" width="7.625" style="3298" customWidth="1"/>
    <col min="12294" max="12341" width="6.5" style="3298" customWidth="1"/>
    <col min="12342" max="12544" width="9" style="3298"/>
    <col min="12545" max="12545" width="10.125" style="3298" customWidth="1"/>
    <col min="12546" max="12546" width="5.125" style="3298" customWidth="1"/>
    <col min="12547" max="12549" width="7.625" style="3298" customWidth="1"/>
    <col min="12550" max="12597" width="6.5" style="3298" customWidth="1"/>
    <col min="12598" max="12800" width="9" style="3298"/>
    <col min="12801" max="12801" width="10.125" style="3298" customWidth="1"/>
    <col min="12802" max="12802" width="5.125" style="3298" customWidth="1"/>
    <col min="12803" max="12805" width="7.625" style="3298" customWidth="1"/>
    <col min="12806" max="12853" width="6.5" style="3298" customWidth="1"/>
    <col min="12854" max="13056" width="9" style="3298"/>
    <col min="13057" max="13057" width="10.125" style="3298" customWidth="1"/>
    <col min="13058" max="13058" width="5.125" style="3298" customWidth="1"/>
    <col min="13059" max="13061" width="7.625" style="3298" customWidth="1"/>
    <col min="13062" max="13109" width="6.5" style="3298" customWidth="1"/>
    <col min="13110" max="13312" width="9" style="3298"/>
    <col min="13313" max="13313" width="10.125" style="3298" customWidth="1"/>
    <col min="13314" max="13314" width="5.125" style="3298" customWidth="1"/>
    <col min="13315" max="13317" width="7.625" style="3298" customWidth="1"/>
    <col min="13318" max="13365" width="6.5" style="3298" customWidth="1"/>
    <col min="13366" max="13568" width="9" style="3298"/>
    <col min="13569" max="13569" width="10.125" style="3298" customWidth="1"/>
    <col min="13570" max="13570" width="5.125" style="3298" customWidth="1"/>
    <col min="13571" max="13573" width="7.625" style="3298" customWidth="1"/>
    <col min="13574" max="13621" width="6.5" style="3298" customWidth="1"/>
    <col min="13622" max="13824" width="9" style="3298"/>
    <col min="13825" max="13825" width="10.125" style="3298" customWidth="1"/>
    <col min="13826" max="13826" width="5.125" style="3298" customWidth="1"/>
    <col min="13827" max="13829" width="7.625" style="3298" customWidth="1"/>
    <col min="13830" max="13877" width="6.5" style="3298" customWidth="1"/>
    <col min="13878" max="14080" width="9" style="3298"/>
    <col min="14081" max="14081" width="10.125" style="3298" customWidth="1"/>
    <col min="14082" max="14082" width="5.125" style="3298" customWidth="1"/>
    <col min="14083" max="14085" width="7.625" style="3298" customWidth="1"/>
    <col min="14086" max="14133" width="6.5" style="3298" customWidth="1"/>
    <col min="14134" max="14336" width="9" style="3298"/>
    <col min="14337" max="14337" width="10.125" style="3298" customWidth="1"/>
    <col min="14338" max="14338" width="5.125" style="3298" customWidth="1"/>
    <col min="14339" max="14341" width="7.625" style="3298" customWidth="1"/>
    <col min="14342" max="14389" width="6.5" style="3298" customWidth="1"/>
    <col min="14390" max="14592" width="9" style="3298"/>
    <col min="14593" max="14593" width="10.125" style="3298" customWidth="1"/>
    <col min="14594" max="14594" width="5.125" style="3298" customWidth="1"/>
    <col min="14595" max="14597" width="7.625" style="3298" customWidth="1"/>
    <col min="14598" max="14645" width="6.5" style="3298" customWidth="1"/>
    <col min="14646" max="14848" width="9" style="3298"/>
    <col min="14849" max="14849" width="10.125" style="3298" customWidth="1"/>
    <col min="14850" max="14850" width="5.125" style="3298" customWidth="1"/>
    <col min="14851" max="14853" width="7.625" style="3298" customWidth="1"/>
    <col min="14854" max="14901" width="6.5" style="3298" customWidth="1"/>
    <col min="14902" max="15104" width="9" style="3298"/>
    <col min="15105" max="15105" width="10.125" style="3298" customWidth="1"/>
    <col min="15106" max="15106" width="5.125" style="3298" customWidth="1"/>
    <col min="15107" max="15109" width="7.625" style="3298" customWidth="1"/>
    <col min="15110" max="15157" width="6.5" style="3298" customWidth="1"/>
    <col min="15158" max="15360" width="9" style="3298"/>
    <col min="15361" max="15361" width="10.125" style="3298" customWidth="1"/>
    <col min="15362" max="15362" width="5.125" style="3298" customWidth="1"/>
    <col min="15363" max="15365" width="7.625" style="3298" customWidth="1"/>
    <col min="15366" max="15413" width="6.5" style="3298" customWidth="1"/>
    <col min="15414" max="15616" width="9" style="3298"/>
    <col min="15617" max="15617" width="10.125" style="3298" customWidth="1"/>
    <col min="15618" max="15618" width="5.125" style="3298" customWidth="1"/>
    <col min="15619" max="15621" width="7.625" style="3298" customWidth="1"/>
    <col min="15622" max="15669" width="6.5" style="3298" customWidth="1"/>
    <col min="15670" max="15872" width="9" style="3298"/>
    <col min="15873" max="15873" width="10.125" style="3298" customWidth="1"/>
    <col min="15874" max="15874" width="5.125" style="3298" customWidth="1"/>
    <col min="15875" max="15877" width="7.625" style="3298" customWidth="1"/>
    <col min="15878" max="15925" width="6.5" style="3298" customWidth="1"/>
    <col min="15926" max="16128" width="9" style="3298"/>
    <col min="16129" max="16129" width="10.125" style="3298" customWidth="1"/>
    <col min="16130" max="16130" width="5.125" style="3298" customWidth="1"/>
    <col min="16131" max="16133" width="7.625" style="3298" customWidth="1"/>
    <col min="16134" max="16181" width="6.5" style="3298" customWidth="1"/>
    <col min="16182" max="16384" width="9" style="3298"/>
  </cols>
  <sheetData>
    <row r="1" spans="1:53">
      <c r="A1" s="3298" t="s">
        <v>3030</v>
      </c>
      <c r="B1" s="3298" t="s">
        <v>3031</v>
      </c>
      <c r="C1" s="3298" t="s">
        <v>3031</v>
      </c>
      <c r="F1" s="3763" t="s">
        <v>3032</v>
      </c>
      <c r="G1" s="3763"/>
      <c r="H1" s="3763"/>
      <c r="I1" s="3763"/>
      <c r="J1" s="3763" t="s">
        <v>3033</v>
      </c>
      <c r="K1" s="3763"/>
      <c r="L1" s="3763"/>
      <c r="M1" s="3763"/>
      <c r="N1" s="3763" t="s">
        <v>3034</v>
      </c>
      <c r="O1" s="3763"/>
      <c r="P1" s="3763"/>
      <c r="Q1" s="3763"/>
      <c r="R1" s="3763" t="s">
        <v>3035</v>
      </c>
      <c r="S1" s="3763"/>
      <c r="T1" s="3763"/>
      <c r="U1" s="3763"/>
      <c r="V1" s="3763" t="s">
        <v>3036</v>
      </c>
      <c r="W1" s="3763"/>
      <c r="X1" s="3763"/>
      <c r="Y1" s="3763"/>
      <c r="Z1" s="3763" t="s">
        <v>3037</v>
      </c>
      <c r="AA1" s="3763"/>
      <c r="AB1" s="3763"/>
      <c r="AC1" s="3763"/>
      <c r="AD1" s="3763" t="s">
        <v>3038</v>
      </c>
      <c r="AE1" s="3763"/>
      <c r="AF1" s="3763"/>
      <c r="AG1" s="3763"/>
      <c r="AH1" s="3763" t="s">
        <v>3039</v>
      </c>
      <c r="AI1" s="3763"/>
      <c r="AJ1" s="3763"/>
      <c r="AK1" s="3763"/>
      <c r="AL1" s="3763" t="s">
        <v>3040</v>
      </c>
      <c r="AM1" s="3763"/>
      <c r="AN1" s="3763"/>
      <c r="AO1" s="3763"/>
      <c r="AP1" s="3763" t="s">
        <v>3041</v>
      </c>
      <c r="AQ1" s="3763"/>
      <c r="AR1" s="3763"/>
      <c r="AS1" s="3763"/>
      <c r="AT1" s="3763" t="s">
        <v>3042</v>
      </c>
      <c r="AU1" s="3763"/>
      <c r="AV1" s="3763"/>
      <c r="AW1" s="3763"/>
      <c r="AX1" s="3763" t="s">
        <v>3043</v>
      </c>
      <c r="AY1" s="3763"/>
      <c r="AZ1" s="3763"/>
      <c r="BA1" s="3763"/>
    </row>
    <row r="2" spans="1:53" s="3299" customFormat="1" ht="53.25">
      <c r="A2" s="3299" t="s">
        <v>3044</v>
      </c>
      <c r="B2" s="3299" t="s">
        <v>2359</v>
      </c>
      <c r="C2" s="3299" t="s">
        <v>3045</v>
      </c>
      <c r="D2" s="3300" t="s">
        <v>3046</v>
      </c>
      <c r="E2" s="3300" t="s">
        <v>3047</v>
      </c>
      <c r="F2" s="3301" t="s">
        <v>3048</v>
      </c>
      <c r="G2" s="3301" t="s">
        <v>3049</v>
      </c>
      <c r="H2" s="3301" t="s">
        <v>3050</v>
      </c>
      <c r="I2" s="3301" t="s">
        <v>3051</v>
      </c>
      <c r="J2" s="3301" t="s">
        <v>3048</v>
      </c>
      <c r="K2" s="3301" t="s">
        <v>3049</v>
      </c>
      <c r="L2" s="3301" t="s">
        <v>3050</v>
      </c>
      <c r="M2" s="3301" t="s">
        <v>3051</v>
      </c>
      <c r="N2" s="3301" t="s">
        <v>3048</v>
      </c>
      <c r="O2" s="3301" t="s">
        <v>3049</v>
      </c>
      <c r="P2" s="3301" t="s">
        <v>3050</v>
      </c>
      <c r="Q2" s="3301" t="s">
        <v>3051</v>
      </c>
      <c r="R2" s="3301" t="s">
        <v>3048</v>
      </c>
      <c r="S2" s="3301" t="s">
        <v>3049</v>
      </c>
      <c r="T2" s="3301" t="s">
        <v>3050</v>
      </c>
      <c r="U2" s="3301" t="s">
        <v>3051</v>
      </c>
      <c r="V2" s="3301" t="s">
        <v>3048</v>
      </c>
      <c r="W2" s="3301" t="s">
        <v>3049</v>
      </c>
      <c r="X2" s="3301" t="s">
        <v>3050</v>
      </c>
      <c r="Y2" s="3301" t="s">
        <v>3051</v>
      </c>
      <c r="Z2" s="3301" t="s">
        <v>3048</v>
      </c>
      <c r="AA2" s="3301" t="s">
        <v>3049</v>
      </c>
      <c r="AB2" s="3301" t="s">
        <v>3050</v>
      </c>
      <c r="AC2" s="3301" t="s">
        <v>3051</v>
      </c>
      <c r="AD2" s="3301" t="s">
        <v>3048</v>
      </c>
      <c r="AE2" s="3301" t="s">
        <v>3049</v>
      </c>
      <c r="AF2" s="3301" t="s">
        <v>3050</v>
      </c>
      <c r="AG2" s="3301" t="s">
        <v>3051</v>
      </c>
      <c r="AH2" s="3301" t="s">
        <v>3048</v>
      </c>
      <c r="AI2" s="3301" t="s">
        <v>3049</v>
      </c>
      <c r="AJ2" s="3301" t="s">
        <v>3050</v>
      </c>
      <c r="AK2" s="3301" t="s">
        <v>3051</v>
      </c>
      <c r="AL2" s="3301" t="s">
        <v>3048</v>
      </c>
      <c r="AM2" s="3301" t="s">
        <v>3049</v>
      </c>
      <c r="AN2" s="3301" t="s">
        <v>3050</v>
      </c>
      <c r="AO2" s="3301" t="s">
        <v>3051</v>
      </c>
      <c r="AP2" s="3301" t="s">
        <v>3048</v>
      </c>
      <c r="AQ2" s="3301" t="s">
        <v>3049</v>
      </c>
      <c r="AR2" s="3301" t="s">
        <v>3050</v>
      </c>
      <c r="AS2" s="3301" t="s">
        <v>3051</v>
      </c>
      <c r="AT2" s="3301" t="s">
        <v>3048</v>
      </c>
      <c r="AU2" s="3301" t="s">
        <v>3049</v>
      </c>
      <c r="AV2" s="3301" t="s">
        <v>3050</v>
      </c>
      <c r="AW2" s="3301" t="s">
        <v>3051</v>
      </c>
      <c r="AX2" s="3301" t="s">
        <v>3048</v>
      </c>
      <c r="AY2" s="3301" t="s">
        <v>3049</v>
      </c>
      <c r="AZ2" s="3301" t="s">
        <v>3050</v>
      </c>
      <c r="BA2" s="3301" t="s">
        <v>3051</v>
      </c>
    </row>
    <row r="3" spans="1:53">
      <c r="A3" s="3298" t="s">
        <v>3030</v>
      </c>
      <c r="B3" s="3298">
        <v>1</v>
      </c>
      <c r="C3" s="3298" t="s">
        <v>3052</v>
      </c>
      <c r="D3" s="3298">
        <f>ROUND(E3*12/365,1)</f>
        <v>2.2000000000000002</v>
      </c>
      <c r="E3" s="3298">
        <f>(F3+J3+N3+R3+V3+Z3+AD3+AH3+AL3+AP3+AT3+AX3)/12</f>
        <v>66.731666666666669</v>
      </c>
      <c r="F3" s="3298">
        <v>67.59</v>
      </c>
      <c r="G3" s="3298">
        <v>4069</v>
      </c>
      <c r="H3" s="3298">
        <v>54797</v>
      </c>
      <c r="I3" s="3298" t="s">
        <v>3053</v>
      </c>
      <c r="J3" s="3298">
        <v>67.19</v>
      </c>
      <c r="K3" s="3298">
        <v>4216</v>
      </c>
      <c r="L3" s="3298">
        <v>56125</v>
      </c>
      <c r="M3" s="3298" t="s">
        <v>3054</v>
      </c>
      <c r="N3" s="3298">
        <v>66.72</v>
      </c>
      <c r="O3" s="3298">
        <v>4365</v>
      </c>
      <c r="P3" s="3298">
        <v>56114</v>
      </c>
      <c r="Q3" s="3298" t="s">
        <v>3055</v>
      </c>
      <c r="R3" s="3298">
        <v>66.59</v>
      </c>
      <c r="S3" s="3298">
        <v>4397</v>
      </c>
      <c r="T3" s="3298">
        <v>55412</v>
      </c>
      <c r="U3" s="3298" t="s">
        <v>3056</v>
      </c>
      <c r="V3" s="3298">
        <v>65.650000000000006</v>
      </c>
      <c r="W3" s="3298">
        <v>4381</v>
      </c>
      <c r="X3" s="3298">
        <v>53485</v>
      </c>
      <c r="Y3" s="3298" t="s">
        <v>3057</v>
      </c>
      <c r="Z3" s="3298">
        <v>64.7</v>
      </c>
      <c r="AA3" s="3298">
        <v>4160</v>
      </c>
      <c r="AB3" s="3298">
        <v>53094</v>
      </c>
      <c r="AC3" s="3298" t="s">
        <v>3058</v>
      </c>
      <c r="AD3" s="3298">
        <v>66.59</v>
      </c>
      <c r="AE3" s="3298">
        <v>4305</v>
      </c>
      <c r="AF3" s="3298">
        <v>53321</v>
      </c>
      <c r="AG3" s="3298" t="s">
        <v>3059</v>
      </c>
      <c r="AH3" s="3298">
        <v>66.290000000000006</v>
      </c>
      <c r="AI3" s="3298">
        <v>4321</v>
      </c>
      <c r="AJ3" s="3298">
        <v>52652</v>
      </c>
      <c r="AK3" s="3298" t="s">
        <v>3060</v>
      </c>
      <c r="AL3" s="3298">
        <v>66.319999999999993</v>
      </c>
      <c r="AM3" s="3298">
        <v>4199</v>
      </c>
      <c r="AN3" s="3298">
        <v>52407</v>
      </c>
      <c r="AO3" s="3298" t="s">
        <v>3061</v>
      </c>
      <c r="AP3" s="3298">
        <v>66.33</v>
      </c>
      <c r="AQ3" s="3298">
        <v>3708</v>
      </c>
      <c r="AR3" s="3298">
        <v>51583</v>
      </c>
      <c r="AS3" s="3298" t="s">
        <v>3062</v>
      </c>
      <c r="AT3" s="3298">
        <v>67.849999999999994</v>
      </c>
      <c r="AU3" s="3298">
        <v>4053</v>
      </c>
      <c r="AV3" s="3298">
        <v>52696</v>
      </c>
      <c r="AW3" s="3298" t="s">
        <v>3063</v>
      </c>
      <c r="AX3" s="3298">
        <v>68.959999999999994</v>
      </c>
      <c r="AY3" s="3298">
        <v>3708</v>
      </c>
      <c r="AZ3" s="3298">
        <v>52961</v>
      </c>
      <c r="BA3" s="3298" t="s">
        <v>3064</v>
      </c>
    </row>
    <row r="4" spans="1:53">
      <c r="A4" s="3298" t="s">
        <v>3030</v>
      </c>
      <c r="B4" s="3298">
        <v>2</v>
      </c>
      <c r="C4" s="3298" t="s">
        <v>3065</v>
      </c>
      <c r="D4" s="3298">
        <f t="shared" ref="D4:D18" si="0">ROUND(E4*12/365,1)</f>
        <v>1.8</v>
      </c>
      <c r="E4" s="3298">
        <f t="shared" ref="E4:E18" si="1">(F4+J4+N4+R4+V4+Z4+AD4+AH4+AL4+AP4+AT4+AX4)/12</f>
        <v>55.425000000000004</v>
      </c>
      <c r="F4" s="3298">
        <v>55.8</v>
      </c>
      <c r="G4" s="3298">
        <v>3398</v>
      </c>
      <c r="H4" s="3298">
        <v>33467</v>
      </c>
      <c r="I4" s="3298" t="s">
        <v>3066</v>
      </c>
      <c r="J4" s="3298">
        <v>55.31</v>
      </c>
      <c r="K4" s="3298">
        <v>3164</v>
      </c>
      <c r="L4" s="3298">
        <v>33644</v>
      </c>
      <c r="M4" s="3298" t="s">
        <v>3067</v>
      </c>
      <c r="N4" s="3298">
        <v>55.01</v>
      </c>
      <c r="O4" s="3298">
        <v>3193</v>
      </c>
      <c r="P4" s="3298">
        <v>34008</v>
      </c>
      <c r="Q4" s="3298" t="s">
        <v>3068</v>
      </c>
      <c r="R4" s="3298">
        <v>54.41</v>
      </c>
      <c r="S4" s="3298">
        <v>3211</v>
      </c>
      <c r="T4" s="3298">
        <v>33537</v>
      </c>
      <c r="U4" s="3298" t="s">
        <v>3069</v>
      </c>
      <c r="V4" s="3298">
        <v>54.83</v>
      </c>
      <c r="W4" s="3298">
        <v>3141</v>
      </c>
      <c r="X4" s="3298">
        <v>33060</v>
      </c>
      <c r="Y4" s="3298" t="s">
        <v>3070</v>
      </c>
      <c r="Z4" s="3298">
        <v>54.7</v>
      </c>
      <c r="AA4" s="3298">
        <v>3135</v>
      </c>
      <c r="AB4" s="3298">
        <v>32493</v>
      </c>
      <c r="AC4" s="3298" t="s">
        <v>3071</v>
      </c>
      <c r="AD4" s="3298">
        <v>54.09</v>
      </c>
      <c r="AE4" s="3298">
        <v>3581</v>
      </c>
      <c r="AF4" s="3298">
        <v>34062</v>
      </c>
      <c r="AG4" s="3298" t="s">
        <v>3072</v>
      </c>
      <c r="AH4" s="3298">
        <v>55.24</v>
      </c>
      <c r="AI4" s="3298">
        <v>4025</v>
      </c>
      <c r="AJ4" s="3298">
        <v>34599</v>
      </c>
      <c r="AK4" s="3298" t="s">
        <v>3073</v>
      </c>
      <c r="AL4" s="3298">
        <v>55.15</v>
      </c>
      <c r="AM4" s="3298">
        <v>3782</v>
      </c>
      <c r="AN4" s="3298">
        <v>34051</v>
      </c>
      <c r="AO4" s="3298" t="s">
        <v>3074</v>
      </c>
      <c r="AP4" s="3298">
        <v>56.25</v>
      </c>
      <c r="AQ4" s="3298">
        <v>2961</v>
      </c>
      <c r="AR4" s="3298">
        <v>32410</v>
      </c>
      <c r="AS4" s="3298" t="s">
        <v>3075</v>
      </c>
      <c r="AT4" s="3298">
        <v>56.49</v>
      </c>
      <c r="AU4" s="3298">
        <v>3496</v>
      </c>
      <c r="AV4" s="3298">
        <v>32952</v>
      </c>
      <c r="AW4" s="3298" t="s">
        <v>3076</v>
      </c>
      <c r="AX4" s="3298">
        <v>57.82</v>
      </c>
      <c r="AY4" s="3298">
        <v>2980</v>
      </c>
      <c r="AZ4" s="3298">
        <v>32538</v>
      </c>
      <c r="BA4" s="3298" t="s">
        <v>3077</v>
      </c>
    </row>
    <row r="5" spans="1:53">
      <c r="A5" s="3298" t="s">
        <v>3030</v>
      </c>
      <c r="B5" s="3298">
        <v>3</v>
      </c>
      <c r="C5" s="3298" t="s">
        <v>3078</v>
      </c>
      <c r="D5" s="3298">
        <f t="shared" si="0"/>
        <v>1.7</v>
      </c>
      <c r="E5" s="3298">
        <f t="shared" si="1"/>
        <v>50.84</v>
      </c>
      <c r="F5" s="3298">
        <v>50.97</v>
      </c>
      <c r="G5" s="3298">
        <v>3185</v>
      </c>
      <c r="H5" s="3298">
        <v>34128</v>
      </c>
      <c r="I5" s="3298" t="s">
        <v>3079</v>
      </c>
      <c r="J5" s="3298">
        <v>50.61</v>
      </c>
      <c r="K5" s="3298">
        <v>3175</v>
      </c>
      <c r="L5" s="3298">
        <v>34175</v>
      </c>
      <c r="M5" s="3298" t="s">
        <v>3080</v>
      </c>
      <c r="N5" s="3298">
        <v>50.25</v>
      </c>
      <c r="O5" s="3298">
        <v>3223</v>
      </c>
      <c r="P5" s="3298">
        <v>34342</v>
      </c>
      <c r="Q5" s="3298" t="s">
        <v>3081</v>
      </c>
      <c r="R5" s="3298">
        <v>50.21</v>
      </c>
      <c r="S5" s="3298">
        <v>3079</v>
      </c>
      <c r="T5" s="3298">
        <v>33429</v>
      </c>
      <c r="U5" s="3298" t="s">
        <v>3082</v>
      </c>
      <c r="V5" s="3298">
        <v>50.21</v>
      </c>
      <c r="W5" s="3298">
        <v>2977</v>
      </c>
      <c r="X5" s="3298">
        <v>33138</v>
      </c>
      <c r="Y5" s="3298" t="s">
        <v>3083</v>
      </c>
      <c r="Z5" s="3298">
        <v>50.68</v>
      </c>
      <c r="AA5" s="3298">
        <v>2928</v>
      </c>
      <c r="AB5" s="3298">
        <v>33121</v>
      </c>
      <c r="AC5" s="3298" t="s">
        <v>3084</v>
      </c>
      <c r="AD5" s="3298">
        <v>50.87</v>
      </c>
      <c r="AE5" s="3298">
        <v>3324</v>
      </c>
      <c r="AF5" s="3298">
        <v>33483</v>
      </c>
      <c r="AG5" s="3298" t="s">
        <v>3085</v>
      </c>
      <c r="AH5" s="3298">
        <v>49.98</v>
      </c>
      <c r="AI5" s="3298">
        <v>3437</v>
      </c>
      <c r="AJ5" s="3298">
        <v>33457</v>
      </c>
      <c r="AK5" s="3298" t="s">
        <v>3079</v>
      </c>
      <c r="AL5" s="3298">
        <v>49.85</v>
      </c>
      <c r="AM5" s="3298">
        <v>3331</v>
      </c>
      <c r="AN5" s="3298">
        <v>32765</v>
      </c>
      <c r="AO5" s="3298" t="s">
        <v>3086</v>
      </c>
      <c r="AP5" s="3298">
        <v>51.86</v>
      </c>
      <c r="AQ5" s="3298">
        <v>2959</v>
      </c>
      <c r="AR5" s="3298">
        <v>32400</v>
      </c>
      <c r="AS5" s="3298" t="s">
        <v>3087</v>
      </c>
      <c r="AT5" s="3298">
        <v>51.04</v>
      </c>
      <c r="AU5" s="3298">
        <v>3346</v>
      </c>
      <c r="AV5" s="3298">
        <v>32525</v>
      </c>
      <c r="AW5" s="3298" t="s">
        <v>3088</v>
      </c>
      <c r="AX5" s="3298">
        <v>53.55</v>
      </c>
      <c r="AY5" s="3298">
        <v>2877</v>
      </c>
      <c r="AZ5" s="3298">
        <v>33319</v>
      </c>
      <c r="BA5" s="3298" t="s">
        <v>3089</v>
      </c>
    </row>
    <row r="6" spans="1:53">
      <c r="A6" s="3298" t="s">
        <v>3030</v>
      </c>
      <c r="B6" s="3298">
        <v>4</v>
      </c>
      <c r="C6" s="3298" t="s">
        <v>3090</v>
      </c>
      <c r="D6" s="3298">
        <f t="shared" si="0"/>
        <v>1.5</v>
      </c>
      <c r="E6" s="3298">
        <f t="shared" si="1"/>
        <v>47.135833333333345</v>
      </c>
      <c r="F6" s="3298">
        <v>48.11</v>
      </c>
      <c r="G6" s="3298">
        <v>2784</v>
      </c>
      <c r="H6" s="3298">
        <v>26087</v>
      </c>
      <c r="I6" s="3298" t="s">
        <v>3091</v>
      </c>
      <c r="J6" s="3298">
        <v>46.56</v>
      </c>
      <c r="K6" s="3298">
        <v>2721</v>
      </c>
      <c r="L6" s="3298">
        <v>26133</v>
      </c>
      <c r="M6" s="3298" t="s">
        <v>3092</v>
      </c>
      <c r="N6" s="3298">
        <v>45.81</v>
      </c>
      <c r="O6" s="3298">
        <v>2599</v>
      </c>
      <c r="P6" s="3298">
        <v>25718</v>
      </c>
      <c r="Q6" s="3298" t="s">
        <v>3092</v>
      </c>
      <c r="R6" s="3298">
        <v>45.66</v>
      </c>
      <c r="S6" s="3298">
        <v>2440</v>
      </c>
      <c r="T6" s="3298">
        <v>25917</v>
      </c>
      <c r="U6" s="3298" t="s">
        <v>3093</v>
      </c>
      <c r="V6" s="3298">
        <v>46.83</v>
      </c>
      <c r="W6" s="3298">
        <v>2528</v>
      </c>
      <c r="X6" s="3298">
        <v>25686</v>
      </c>
      <c r="Y6" s="3298" t="s">
        <v>3094</v>
      </c>
      <c r="Z6" s="3298">
        <v>47.01</v>
      </c>
      <c r="AA6" s="3298">
        <v>2591</v>
      </c>
      <c r="AB6" s="3298">
        <v>25405</v>
      </c>
      <c r="AC6" s="3298" t="s">
        <v>3095</v>
      </c>
      <c r="AD6" s="3298">
        <v>46.2</v>
      </c>
      <c r="AE6" s="3298">
        <v>3002</v>
      </c>
      <c r="AF6" s="3298">
        <v>26795</v>
      </c>
      <c r="AG6" s="3298" t="s">
        <v>3096</v>
      </c>
      <c r="AH6" s="3298">
        <v>46.6</v>
      </c>
      <c r="AI6" s="3298">
        <v>3104</v>
      </c>
      <c r="AJ6" s="3298">
        <v>26680</v>
      </c>
      <c r="AK6" s="3298" t="s">
        <v>3097</v>
      </c>
      <c r="AL6" s="3298">
        <v>46.78</v>
      </c>
      <c r="AM6" s="3298">
        <v>2951</v>
      </c>
      <c r="AN6" s="3298">
        <v>25935</v>
      </c>
      <c r="AO6" s="3298" t="s">
        <v>3098</v>
      </c>
      <c r="AP6" s="3298">
        <v>47.84</v>
      </c>
      <c r="AQ6" s="3298">
        <v>2506</v>
      </c>
      <c r="AR6" s="3298">
        <v>25940</v>
      </c>
      <c r="AS6" s="3298" t="s">
        <v>3091</v>
      </c>
      <c r="AT6" s="3298">
        <v>48.1</v>
      </c>
      <c r="AU6" s="3298">
        <v>2908</v>
      </c>
      <c r="AV6" s="3298">
        <v>26347</v>
      </c>
      <c r="AW6" s="3298" t="s">
        <v>3099</v>
      </c>
      <c r="AX6" s="3298">
        <v>50.13</v>
      </c>
      <c r="AY6" s="3298">
        <v>2433</v>
      </c>
      <c r="AZ6" s="3298">
        <v>25715</v>
      </c>
      <c r="BA6" s="3298" t="s">
        <v>3100</v>
      </c>
    </row>
    <row r="7" spans="1:53">
      <c r="A7" s="3298" t="s">
        <v>3030</v>
      </c>
      <c r="B7" s="3298">
        <v>5</v>
      </c>
      <c r="C7" s="3298" t="s">
        <v>3101</v>
      </c>
      <c r="D7" s="3298">
        <f t="shared" si="0"/>
        <v>1.4</v>
      </c>
      <c r="E7" s="3298">
        <f t="shared" si="1"/>
        <v>43.457500000000003</v>
      </c>
      <c r="F7" s="3298">
        <v>43.98</v>
      </c>
      <c r="G7" s="3298">
        <v>2352</v>
      </c>
      <c r="H7" s="3298">
        <v>25174</v>
      </c>
      <c r="I7" s="3298" t="s">
        <v>3097</v>
      </c>
      <c r="J7" s="3298">
        <v>43.71</v>
      </c>
      <c r="K7" s="3298">
        <v>2365</v>
      </c>
      <c r="L7" s="3298">
        <v>26127</v>
      </c>
      <c r="M7" s="3298" t="s">
        <v>3102</v>
      </c>
      <c r="N7" s="3298">
        <v>43.15</v>
      </c>
      <c r="O7" s="3298">
        <v>2267</v>
      </c>
      <c r="P7" s="3298">
        <v>26052</v>
      </c>
      <c r="Q7" s="3298" t="s">
        <v>3103</v>
      </c>
      <c r="R7" s="3298">
        <v>42.3</v>
      </c>
      <c r="S7" s="3298">
        <v>2024</v>
      </c>
      <c r="T7" s="3298">
        <v>25316</v>
      </c>
      <c r="U7" s="3298" t="s">
        <v>3104</v>
      </c>
      <c r="V7" s="3298">
        <v>43.21</v>
      </c>
      <c r="W7" s="3298">
        <v>2136</v>
      </c>
      <c r="X7" s="3298">
        <v>24834</v>
      </c>
      <c r="Y7" s="3298" t="s">
        <v>3105</v>
      </c>
      <c r="Z7" s="3298">
        <v>44.14</v>
      </c>
      <c r="AA7" s="3298">
        <v>2284</v>
      </c>
      <c r="AB7" s="3298">
        <v>25023</v>
      </c>
      <c r="AC7" s="3298" t="s">
        <v>3106</v>
      </c>
      <c r="AD7" s="3298">
        <v>42.12</v>
      </c>
      <c r="AE7" s="3298">
        <v>2534</v>
      </c>
      <c r="AF7" s="3298">
        <v>26231</v>
      </c>
      <c r="AG7" s="3298" t="s">
        <v>3089</v>
      </c>
      <c r="AH7" s="3298">
        <v>41.97</v>
      </c>
      <c r="AI7" s="3298">
        <v>2613</v>
      </c>
      <c r="AJ7" s="3298">
        <v>26341</v>
      </c>
      <c r="AK7" s="3298" t="s">
        <v>3107</v>
      </c>
      <c r="AL7" s="3298">
        <v>42.28</v>
      </c>
      <c r="AM7" s="3298">
        <v>2388</v>
      </c>
      <c r="AN7" s="3298">
        <v>25008</v>
      </c>
      <c r="AO7" s="3298" t="s">
        <v>3108</v>
      </c>
      <c r="AP7" s="3298">
        <v>44.66</v>
      </c>
      <c r="AQ7" s="3298">
        <v>1983</v>
      </c>
      <c r="AR7" s="3298">
        <v>25256</v>
      </c>
      <c r="AS7" s="3298" t="s">
        <v>3109</v>
      </c>
      <c r="AT7" s="3298">
        <v>43.7</v>
      </c>
      <c r="AU7" s="3298">
        <v>2455</v>
      </c>
      <c r="AV7" s="3298">
        <v>25332</v>
      </c>
      <c r="AW7" s="3298" t="s">
        <v>3096</v>
      </c>
      <c r="AX7" s="3298">
        <v>46.27</v>
      </c>
      <c r="AY7" s="3298">
        <v>2254</v>
      </c>
      <c r="AZ7" s="3298">
        <v>24938</v>
      </c>
      <c r="BA7" s="3298" t="s">
        <v>3110</v>
      </c>
    </row>
    <row r="8" spans="1:53">
      <c r="A8" s="3298" t="s">
        <v>3030</v>
      </c>
      <c r="B8" s="3298">
        <v>6</v>
      </c>
      <c r="C8" s="3298" t="s">
        <v>3111</v>
      </c>
      <c r="D8" s="3298">
        <f t="shared" si="0"/>
        <v>1.4</v>
      </c>
      <c r="E8" s="3298">
        <f t="shared" si="1"/>
        <v>42.408333333333331</v>
      </c>
      <c r="F8" s="3298">
        <v>42.8</v>
      </c>
      <c r="G8" s="3298">
        <v>2240</v>
      </c>
      <c r="H8" s="3298">
        <v>24597</v>
      </c>
      <c r="I8" s="3298" t="s">
        <v>3105</v>
      </c>
      <c r="J8" s="3298">
        <v>42.32</v>
      </c>
      <c r="K8" s="3298">
        <v>2180</v>
      </c>
      <c r="L8" s="3298">
        <v>24847</v>
      </c>
      <c r="M8" s="3298" t="s">
        <v>3112</v>
      </c>
      <c r="N8" s="3298">
        <v>41.59</v>
      </c>
      <c r="O8" s="3298">
        <v>2147</v>
      </c>
      <c r="P8" s="3298">
        <v>24787</v>
      </c>
      <c r="Q8" s="3298" t="s">
        <v>3113</v>
      </c>
      <c r="R8" s="3298">
        <v>41.71</v>
      </c>
      <c r="S8" s="3298">
        <v>2055</v>
      </c>
      <c r="T8" s="3298">
        <v>24780</v>
      </c>
      <c r="U8" s="3298" t="s">
        <v>3071</v>
      </c>
      <c r="V8" s="3298">
        <v>42.68</v>
      </c>
      <c r="W8" s="3298">
        <v>2163</v>
      </c>
      <c r="X8" s="3298">
        <v>25159</v>
      </c>
      <c r="Y8" s="3298" t="s">
        <v>3114</v>
      </c>
      <c r="Z8" s="3298">
        <v>42.7</v>
      </c>
      <c r="AA8" s="3298">
        <v>2184</v>
      </c>
      <c r="AB8" s="3298">
        <v>24623</v>
      </c>
      <c r="AC8" s="3298" t="s">
        <v>3075</v>
      </c>
      <c r="AD8" s="3298">
        <v>41.22</v>
      </c>
      <c r="AE8" s="3298">
        <v>2412</v>
      </c>
      <c r="AF8" s="3298">
        <v>25227</v>
      </c>
      <c r="AG8" s="3298" t="s">
        <v>3115</v>
      </c>
      <c r="AH8" s="3298">
        <v>41.63</v>
      </c>
      <c r="AI8" s="3298">
        <v>2320</v>
      </c>
      <c r="AJ8" s="3298">
        <v>24956</v>
      </c>
      <c r="AK8" s="3298" t="s">
        <v>3066</v>
      </c>
      <c r="AL8" s="3298">
        <v>42.01</v>
      </c>
      <c r="AM8" s="3298">
        <v>2309</v>
      </c>
      <c r="AN8" s="3298">
        <v>25001</v>
      </c>
      <c r="AO8" s="3298" t="s">
        <v>3113</v>
      </c>
      <c r="AP8" s="3298">
        <v>42.37</v>
      </c>
      <c r="AQ8" s="3298">
        <v>2185</v>
      </c>
      <c r="AR8" s="3298">
        <v>25139</v>
      </c>
      <c r="AS8" s="3298" t="s">
        <v>3116</v>
      </c>
      <c r="AT8" s="3298">
        <v>42.28</v>
      </c>
      <c r="AU8" s="3298">
        <v>2398</v>
      </c>
      <c r="AV8" s="3298">
        <v>25457</v>
      </c>
      <c r="AW8" s="3298" t="s">
        <v>3070</v>
      </c>
      <c r="AX8" s="3298">
        <v>45.59</v>
      </c>
      <c r="AY8" s="3298">
        <v>2211</v>
      </c>
      <c r="AZ8" s="3298">
        <v>26370</v>
      </c>
      <c r="BA8" s="3298" t="s">
        <v>3117</v>
      </c>
    </row>
    <row r="9" spans="1:53">
      <c r="A9" s="3298" t="s">
        <v>3030</v>
      </c>
      <c r="B9" s="3298">
        <v>7</v>
      </c>
      <c r="C9" s="3298" t="s">
        <v>3118</v>
      </c>
      <c r="D9" s="3298">
        <f t="shared" si="0"/>
        <v>1.2</v>
      </c>
      <c r="E9" s="3298">
        <f t="shared" si="1"/>
        <v>36.037500000000001</v>
      </c>
      <c r="F9" s="3298">
        <v>41.39</v>
      </c>
      <c r="G9" s="3298">
        <v>3967</v>
      </c>
      <c r="H9" s="3298">
        <v>11232</v>
      </c>
      <c r="I9" s="3298" t="s">
        <v>3119</v>
      </c>
      <c r="J9" s="3298">
        <v>39.26</v>
      </c>
      <c r="K9" s="3298">
        <v>3719</v>
      </c>
      <c r="L9" s="3298">
        <v>11187</v>
      </c>
      <c r="M9" s="3298" t="s">
        <v>3120</v>
      </c>
      <c r="N9" s="3298">
        <v>52</v>
      </c>
      <c r="O9" s="3298">
        <v>5545</v>
      </c>
      <c r="P9" s="3298">
        <v>11585</v>
      </c>
      <c r="Q9" s="3298" t="s">
        <v>3121</v>
      </c>
      <c r="R9" s="3298">
        <v>48.23</v>
      </c>
      <c r="S9" s="3298">
        <v>4650</v>
      </c>
      <c r="T9" s="3298">
        <v>11694</v>
      </c>
      <c r="U9" s="3298" t="s">
        <v>3122</v>
      </c>
      <c r="V9" s="3298">
        <v>32.9</v>
      </c>
      <c r="W9" s="3298">
        <v>2811</v>
      </c>
      <c r="X9" s="3298">
        <v>11342</v>
      </c>
      <c r="Y9" s="3298" t="s">
        <v>3123</v>
      </c>
      <c r="Z9" s="3298">
        <v>31.19</v>
      </c>
      <c r="AA9" s="3298">
        <v>2485</v>
      </c>
      <c r="AB9" s="3298">
        <v>11618</v>
      </c>
      <c r="AC9" s="3298" t="s">
        <v>3124</v>
      </c>
      <c r="AD9" s="3298">
        <v>28.97</v>
      </c>
      <c r="AE9" s="3298">
        <v>2338</v>
      </c>
      <c r="AF9" s="3298">
        <v>11239</v>
      </c>
      <c r="AG9" s="3298" t="s">
        <v>3125</v>
      </c>
      <c r="AH9" s="3298">
        <v>28.97</v>
      </c>
      <c r="AI9" s="3298">
        <v>2380</v>
      </c>
      <c r="AJ9" s="3298">
        <v>11219</v>
      </c>
      <c r="AK9" s="3298" t="s">
        <v>3125</v>
      </c>
      <c r="AL9" s="3298">
        <v>27.79</v>
      </c>
      <c r="AM9" s="3298">
        <v>2094</v>
      </c>
      <c r="AN9" s="3298">
        <v>11398</v>
      </c>
      <c r="AO9" s="3298" t="s">
        <v>3126</v>
      </c>
      <c r="AP9" s="3298">
        <v>33.94</v>
      </c>
      <c r="AQ9" s="3298">
        <v>2320</v>
      </c>
      <c r="AR9" s="3298">
        <v>11320</v>
      </c>
      <c r="AS9" s="3298" t="s">
        <v>3127</v>
      </c>
      <c r="AT9" s="3298">
        <v>31.31</v>
      </c>
      <c r="AU9" s="3298">
        <v>2544</v>
      </c>
      <c r="AV9" s="3298">
        <v>12189</v>
      </c>
      <c r="AW9" s="3298" t="s">
        <v>3128</v>
      </c>
      <c r="AX9" s="3298">
        <v>36.5</v>
      </c>
      <c r="AY9" s="3298">
        <v>3109</v>
      </c>
      <c r="AZ9" s="3298">
        <v>12410</v>
      </c>
      <c r="BA9" s="3298" t="s">
        <v>3129</v>
      </c>
    </row>
    <row r="10" spans="1:53">
      <c r="A10" s="3298" t="s">
        <v>3030</v>
      </c>
      <c r="B10" s="3298">
        <v>8</v>
      </c>
      <c r="C10" s="3298" t="s">
        <v>3130</v>
      </c>
      <c r="D10" s="3298">
        <f t="shared" si="0"/>
        <v>1.2</v>
      </c>
      <c r="E10" s="3298">
        <f t="shared" si="1"/>
        <v>36.479166666666664</v>
      </c>
      <c r="F10" s="3298">
        <v>36.79</v>
      </c>
      <c r="G10" s="3298">
        <v>3172</v>
      </c>
      <c r="H10" s="3298">
        <v>22065</v>
      </c>
      <c r="I10" s="3298" t="s">
        <v>3066</v>
      </c>
      <c r="J10" s="3298">
        <v>35.53</v>
      </c>
      <c r="K10" s="3298">
        <v>3196</v>
      </c>
      <c r="L10" s="3298">
        <v>22205</v>
      </c>
      <c r="M10" s="3298" t="s">
        <v>3087</v>
      </c>
      <c r="N10" s="3298">
        <v>35.380000000000003</v>
      </c>
      <c r="O10" s="3298">
        <v>3024</v>
      </c>
      <c r="P10" s="3298">
        <v>22533</v>
      </c>
      <c r="Q10" s="3298" t="s">
        <v>3131</v>
      </c>
      <c r="R10" s="3298">
        <v>35.6</v>
      </c>
      <c r="S10" s="3298">
        <v>2989</v>
      </c>
      <c r="T10" s="3298">
        <v>22120</v>
      </c>
      <c r="U10" s="3298" t="s">
        <v>3132</v>
      </c>
      <c r="V10" s="3298">
        <v>36.380000000000003</v>
      </c>
      <c r="W10" s="3298">
        <v>2812</v>
      </c>
      <c r="X10" s="3298">
        <v>22344</v>
      </c>
      <c r="Y10" s="3298" t="s">
        <v>3133</v>
      </c>
      <c r="Z10" s="3298">
        <v>37.06</v>
      </c>
      <c r="AA10" s="3298">
        <v>2922</v>
      </c>
      <c r="AB10" s="3298">
        <v>21511</v>
      </c>
      <c r="AC10" s="3298" t="s">
        <v>3134</v>
      </c>
      <c r="AD10" s="3298">
        <v>35.340000000000003</v>
      </c>
      <c r="AE10" s="3298">
        <v>2838</v>
      </c>
      <c r="AF10" s="3298">
        <v>21625</v>
      </c>
      <c r="AG10" s="3298" t="s">
        <v>3135</v>
      </c>
      <c r="AH10" s="3298">
        <v>35.97</v>
      </c>
      <c r="AI10" s="3298">
        <v>2866</v>
      </c>
      <c r="AJ10" s="3298">
        <v>21400</v>
      </c>
      <c r="AK10" s="3298" t="s">
        <v>3071</v>
      </c>
      <c r="AL10" s="3298">
        <v>36.14</v>
      </c>
      <c r="AM10" s="3298">
        <v>2826</v>
      </c>
      <c r="AN10" s="3298">
        <v>21640</v>
      </c>
      <c r="AO10" s="3298" t="s">
        <v>3104</v>
      </c>
      <c r="AP10" s="3298">
        <v>35.799999999999997</v>
      </c>
      <c r="AQ10" s="3298">
        <v>2749</v>
      </c>
      <c r="AR10" s="3298">
        <v>21875</v>
      </c>
      <c r="AS10" s="3298" t="s">
        <v>3135</v>
      </c>
      <c r="AT10" s="3298">
        <v>37.1</v>
      </c>
      <c r="AU10" s="3298">
        <v>3099</v>
      </c>
      <c r="AV10" s="3298">
        <v>21358</v>
      </c>
      <c r="AW10" s="3298" t="s">
        <v>3136</v>
      </c>
      <c r="AX10" s="3298">
        <v>40.659999999999997</v>
      </c>
      <c r="AY10" s="3298">
        <v>3141</v>
      </c>
      <c r="AZ10" s="3298">
        <v>21344</v>
      </c>
      <c r="BA10" s="3298" t="s">
        <v>3137</v>
      </c>
    </row>
    <row r="11" spans="1:53">
      <c r="A11" s="3298" t="s">
        <v>3030</v>
      </c>
      <c r="B11" s="3298">
        <v>9</v>
      </c>
      <c r="C11" s="3298" t="s">
        <v>3138</v>
      </c>
      <c r="D11" s="3298">
        <f t="shared" si="0"/>
        <v>1.1000000000000001</v>
      </c>
      <c r="E11" s="3298">
        <f t="shared" si="1"/>
        <v>34.363333333333337</v>
      </c>
      <c r="F11" s="3298">
        <v>34.4</v>
      </c>
      <c r="G11" s="3298">
        <v>2366</v>
      </c>
      <c r="H11" s="3298">
        <v>18029</v>
      </c>
      <c r="I11" s="3298" t="s">
        <v>3137</v>
      </c>
      <c r="J11" s="3298">
        <v>33.1</v>
      </c>
      <c r="K11" s="3298">
        <v>2317</v>
      </c>
      <c r="L11" s="3298">
        <v>18649</v>
      </c>
      <c r="M11" s="3298" t="s">
        <v>3139</v>
      </c>
      <c r="N11" s="3298">
        <v>33.89</v>
      </c>
      <c r="O11" s="3298">
        <v>2316</v>
      </c>
      <c r="P11" s="3298">
        <v>18899</v>
      </c>
      <c r="Q11" s="3298" t="s">
        <v>3140</v>
      </c>
      <c r="R11" s="3298">
        <v>34.64</v>
      </c>
      <c r="S11" s="3298">
        <v>2218</v>
      </c>
      <c r="T11" s="3298">
        <v>18700</v>
      </c>
      <c r="U11" s="3298" t="s">
        <v>3141</v>
      </c>
      <c r="V11" s="3298">
        <v>34.93</v>
      </c>
      <c r="W11" s="3298">
        <v>2185</v>
      </c>
      <c r="X11" s="3298">
        <v>18521</v>
      </c>
      <c r="Y11" s="3298" t="s">
        <v>3142</v>
      </c>
      <c r="Z11" s="3298">
        <v>34.15</v>
      </c>
      <c r="AA11" s="3298">
        <v>2154</v>
      </c>
      <c r="AB11" s="3298">
        <v>18044</v>
      </c>
      <c r="AC11" s="3298" t="s">
        <v>3143</v>
      </c>
      <c r="AD11" s="3298">
        <v>33.520000000000003</v>
      </c>
      <c r="AE11" s="3298">
        <v>2099</v>
      </c>
      <c r="AF11" s="3298">
        <v>18000</v>
      </c>
      <c r="AG11" s="3298" t="s">
        <v>3144</v>
      </c>
      <c r="AH11" s="3298">
        <v>34.299999999999997</v>
      </c>
      <c r="AI11" s="3298">
        <v>2149</v>
      </c>
      <c r="AJ11" s="3298">
        <v>17890</v>
      </c>
      <c r="AK11" s="3298" t="s">
        <v>3145</v>
      </c>
      <c r="AL11" s="3298">
        <v>33.049999999999997</v>
      </c>
      <c r="AM11" s="3298">
        <v>2042</v>
      </c>
      <c r="AN11" s="3298">
        <v>17756</v>
      </c>
      <c r="AO11" s="3298" t="s">
        <v>3144</v>
      </c>
      <c r="AP11" s="3298">
        <v>34.840000000000003</v>
      </c>
      <c r="AQ11" s="3298">
        <v>2044</v>
      </c>
      <c r="AR11" s="3298">
        <v>17956</v>
      </c>
      <c r="AS11" s="3298" t="s">
        <v>3146</v>
      </c>
      <c r="AT11" s="3298">
        <v>34.24</v>
      </c>
      <c r="AU11" s="3298">
        <v>2326</v>
      </c>
      <c r="AV11" s="3298">
        <v>17835</v>
      </c>
      <c r="AW11" s="3298" t="s">
        <v>3147</v>
      </c>
      <c r="AX11" s="3298">
        <v>37.299999999999997</v>
      </c>
      <c r="AY11" s="3298">
        <v>2442</v>
      </c>
      <c r="AZ11" s="3298">
        <v>19291</v>
      </c>
      <c r="BA11" s="3298" t="s">
        <v>3148</v>
      </c>
    </row>
    <row r="12" spans="1:53">
      <c r="A12" s="3298" t="s">
        <v>3030</v>
      </c>
      <c r="B12" s="3298">
        <v>10</v>
      </c>
      <c r="C12" s="3298" t="s">
        <v>3149</v>
      </c>
      <c r="D12" s="3298">
        <f t="shared" si="0"/>
        <v>1</v>
      </c>
      <c r="E12" s="3298">
        <f t="shared" si="1"/>
        <v>31.92583333333333</v>
      </c>
      <c r="F12" s="3298">
        <v>31.39</v>
      </c>
      <c r="G12" s="3298">
        <v>2340</v>
      </c>
      <c r="H12" s="3298">
        <v>18715</v>
      </c>
      <c r="I12" s="3298" t="s">
        <v>3150</v>
      </c>
      <c r="J12" s="3298">
        <v>30.32</v>
      </c>
      <c r="K12" s="3298">
        <v>2167</v>
      </c>
      <c r="L12" s="3298">
        <v>18675</v>
      </c>
      <c r="M12" s="3298" t="s">
        <v>3151</v>
      </c>
      <c r="N12" s="3298">
        <v>30.46</v>
      </c>
      <c r="O12" s="3298">
        <v>2205</v>
      </c>
      <c r="P12" s="3298">
        <v>18744</v>
      </c>
      <c r="Q12" s="3298" t="s">
        <v>3151</v>
      </c>
      <c r="R12" s="3298">
        <v>31.46</v>
      </c>
      <c r="S12" s="3298">
        <v>2215</v>
      </c>
      <c r="T12" s="3298">
        <v>18381</v>
      </c>
      <c r="U12" s="3298" t="s">
        <v>3152</v>
      </c>
      <c r="V12" s="3298">
        <v>30.7</v>
      </c>
      <c r="W12" s="3298">
        <v>2212</v>
      </c>
      <c r="X12" s="3298">
        <v>18956</v>
      </c>
      <c r="Y12" s="3298" t="s">
        <v>3074</v>
      </c>
      <c r="Z12" s="3298">
        <v>31.76</v>
      </c>
      <c r="AA12" s="3298">
        <v>2206</v>
      </c>
      <c r="AB12" s="3298">
        <v>18969</v>
      </c>
      <c r="AC12" s="3298" t="s">
        <v>3102</v>
      </c>
      <c r="AD12" s="3298">
        <v>31.06</v>
      </c>
      <c r="AE12" s="3298">
        <v>2117</v>
      </c>
      <c r="AF12" s="3298">
        <v>19170</v>
      </c>
      <c r="AG12" s="3298" t="s">
        <v>3074</v>
      </c>
      <c r="AH12" s="3298">
        <v>31.35</v>
      </c>
      <c r="AI12" s="3298">
        <v>2183</v>
      </c>
      <c r="AJ12" s="3298">
        <v>18996</v>
      </c>
      <c r="AK12" s="3298" t="s">
        <v>3153</v>
      </c>
      <c r="AL12" s="3298">
        <v>32.299999999999997</v>
      </c>
      <c r="AM12" s="3298">
        <v>2180</v>
      </c>
      <c r="AN12" s="3298">
        <v>18675</v>
      </c>
      <c r="AO12" s="3298" t="s">
        <v>3117</v>
      </c>
      <c r="AP12" s="3298">
        <v>33.93</v>
      </c>
      <c r="AQ12" s="3298">
        <v>2033</v>
      </c>
      <c r="AR12" s="3298">
        <v>18983</v>
      </c>
      <c r="AS12" s="3298" t="s">
        <v>3154</v>
      </c>
      <c r="AT12" s="3298">
        <v>33.31</v>
      </c>
      <c r="AU12" s="3298">
        <v>2289</v>
      </c>
      <c r="AV12" s="3298">
        <v>18928</v>
      </c>
      <c r="AW12" s="3298" t="s">
        <v>3155</v>
      </c>
      <c r="AX12" s="3298">
        <v>35.07</v>
      </c>
      <c r="AY12" s="3298">
        <v>2232</v>
      </c>
      <c r="AZ12" s="3298">
        <v>19243</v>
      </c>
      <c r="BA12" s="3298" t="s">
        <v>3094</v>
      </c>
    </row>
    <row r="13" spans="1:53">
      <c r="A13" s="3298" t="s">
        <v>3030</v>
      </c>
      <c r="B13" s="3298">
        <v>11</v>
      </c>
      <c r="C13" s="3298" t="s">
        <v>3156</v>
      </c>
      <c r="D13" s="3298">
        <f t="shared" si="0"/>
        <v>1</v>
      </c>
      <c r="E13" s="3298">
        <f>(F13+J13+N13+R13+V13+Z13+AD13+AL13+AP13+AT13+AX13)/11</f>
        <v>29.49909090909091</v>
      </c>
      <c r="F13" s="3298">
        <v>29.5</v>
      </c>
      <c r="G13" s="3298">
        <v>1613</v>
      </c>
      <c r="H13" s="3298">
        <v>12548</v>
      </c>
      <c r="I13" s="3298" t="s">
        <v>3157</v>
      </c>
      <c r="J13" s="3298">
        <v>40.01</v>
      </c>
      <c r="K13" s="3298">
        <v>2632</v>
      </c>
      <c r="L13" s="3298">
        <v>12071</v>
      </c>
      <c r="M13" s="3298" t="s">
        <v>3158</v>
      </c>
      <c r="N13" s="3298">
        <v>27.31</v>
      </c>
      <c r="O13" s="3298">
        <v>1783</v>
      </c>
      <c r="P13" s="3298">
        <v>13150</v>
      </c>
      <c r="Q13" s="3298" t="s">
        <v>3159</v>
      </c>
      <c r="R13" s="3298">
        <v>28.58</v>
      </c>
      <c r="S13" s="3298">
        <v>2023</v>
      </c>
      <c r="T13" s="3298">
        <v>12921</v>
      </c>
      <c r="U13" s="3298" t="s">
        <v>3160</v>
      </c>
      <c r="V13" s="3298">
        <v>30.27</v>
      </c>
      <c r="W13" s="3298">
        <v>2015</v>
      </c>
      <c r="X13" s="3298">
        <v>11982</v>
      </c>
      <c r="Y13" s="3298" t="s">
        <v>3161</v>
      </c>
      <c r="Z13" s="3298">
        <v>27.38</v>
      </c>
      <c r="AA13" s="3298">
        <v>1814</v>
      </c>
      <c r="AB13" s="3298">
        <v>12101</v>
      </c>
      <c r="AC13" s="3298" t="s">
        <v>3162</v>
      </c>
      <c r="AD13" s="3298">
        <v>26.36</v>
      </c>
      <c r="AE13" s="3298">
        <v>1707</v>
      </c>
      <c r="AF13" s="3298">
        <v>12373</v>
      </c>
      <c r="AG13" s="3298" t="s">
        <v>3163</v>
      </c>
      <c r="AH13" s="3298" t="s">
        <v>2790</v>
      </c>
      <c r="AI13" s="3298" t="s">
        <v>2790</v>
      </c>
      <c r="AJ13" s="3298" t="s">
        <v>2790</v>
      </c>
      <c r="AK13" s="3298" t="s">
        <v>2790</v>
      </c>
      <c r="AL13" s="3298">
        <v>26.72</v>
      </c>
      <c r="AM13" s="3298">
        <v>1236</v>
      </c>
      <c r="AN13" s="3298">
        <v>11259</v>
      </c>
      <c r="AO13" s="3298" t="s">
        <v>3164</v>
      </c>
      <c r="AP13" s="3298">
        <v>24.25</v>
      </c>
      <c r="AQ13" s="3298">
        <v>1852</v>
      </c>
      <c r="AR13" s="3298">
        <v>11771</v>
      </c>
      <c r="AS13" s="3298" t="s">
        <v>3165</v>
      </c>
      <c r="AT13" s="3298">
        <v>35.450000000000003</v>
      </c>
      <c r="AU13" s="3298">
        <v>2459</v>
      </c>
      <c r="AV13" s="3298">
        <v>12584</v>
      </c>
      <c r="AW13" s="3298" t="s">
        <v>3166</v>
      </c>
      <c r="AX13" s="3298">
        <v>28.66</v>
      </c>
      <c r="AY13" s="3298">
        <v>2136</v>
      </c>
      <c r="AZ13" s="3298">
        <v>12034</v>
      </c>
      <c r="BA13" s="3298" t="s">
        <v>3167</v>
      </c>
    </row>
    <row r="14" spans="1:53">
      <c r="A14" s="3298" t="s">
        <v>3030</v>
      </c>
      <c r="B14" s="3298">
        <v>12</v>
      </c>
      <c r="C14" s="3298" t="s">
        <v>3168</v>
      </c>
      <c r="D14" s="3298">
        <f t="shared" si="0"/>
        <v>0.8</v>
      </c>
      <c r="E14" s="3298">
        <f t="shared" si="1"/>
        <v>25.127499999999998</v>
      </c>
      <c r="F14" s="3298">
        <v>25.54</v>
      </c>
      <c r="G14" s="3298">
        <v>2212</v>
      </c>
      <c r="H14" s="3298">
        <v>16373</v>
      </c>
      <c r="I14" s="3298" t="s">
        <v>3169</v>
      </c>
      <c r="J14" s="3298">
        <v>24.29</v>
      </c>
      <c r="K14" s="3298">
        <v>2045</v>
      </c>
      <c r="L14" s="3298">
        <v>16643</v>
      </c>
      <c r="M14" s="3298" t="s">
        <v>3170</v>
      </c>
      <c r="N14" s="3298">
        <v>24.67</v>
      </c>
      <c r="O14" s="3298">
        <v>2136</v>
      </c>
      <c r="P14" s="3298">
        <v>16821</v>
      </c>
      <c r="Q14" s="3298" t="s">
        <v>3171</v>
      </c>
      <c r="R14" s="3298">
        <v>24.64</v>
      </c>
      <c r="S14" s="3298">
        <v>2088</v>
      </c>
      <c r="T14" s="3298">
        <v>16971</v>
      </c>
      <c r="U14" s="3298" t="s">
        <v>3172</v>
      </c>
      <c r="V14" s="3298">
        <v>24.77</v>
      </c>
      <c r="W14" s="3298">
        <v>2114</v>
      </c>
      <c r="X14" s="3298">
        <v>16707</v>
      </c>
      <c r="Y14" s="3298" t="s">
        <v>3173</v>
      </c>
      <c r="Z14" s="3298">
        <v>25.37</v>
      </c>
      <c r="AA14" s="3298">
        <v>2168</v>
      </c>
      <c r="AB14" s="3298">
        <v>17193</v>
      </c>
      <c r="AC14" s="3298" t="s">
        <v>3174</v>
      </c>
      <c r="AD14" s="3298">
        <v>24.91</v>
      </c>
      <c r="AE14" s="3298">
        <v>2230</v>
      </c>
      <c r="AF14" s="3298">
        <v>17081</v>
      </c>
      <c r="AG14" s="3298" t="s">
        <v>3170</v>
      </c>
      <c r="AH14" s="3298">
        <v>25.09</v>
      </c>
      <c r="AI14" s="3298">
        <v>2203</v>
      </c>
      <c r="AJ14" s="3298">
        <v>17190</v>
      </c>
      <c r="AK14" s="3298" t="s">
        <v>3170</v>
      </c>
      <c r="AL14" s="3298">
        <v>24.74</v>
      </c>
      <c r="AM14" s="3298">
        <v>2124</v>
      </c>
      <c r="AN14" s="3298">
        <v>16890</v>
      </c>
      <c r="AO14" s="3298" t="s">
        <v>3175</v>
      </c>
      <c r="AP14" s="3298">
        <v>24.26</v>
      </c>
      <c r="AQ14" s="3298">
        <v>2017</v>
      </c>
      <c r="AR14" s="3298">
        <v>16762</v>
      </c>
      <c r="AS14" s="3298" t="s">
        <v>3176</v>
      </c>
      <c r="AT14" s="3298">
        <v>26</v>
      </c>
      <c r="AU14" s="3298">
        <v>2335</v>
      </c>
      <c r="AV14" s="3298">
        <v>16795</v>
      </c>
      <c r="AW14" s="3298" t="s">
        <v>3177</v>
      </c>
      <c r="AX14" s="3298">
        <v>27.25</v>
      </c>
      <c r="AY14" s="3298">
        <v>2353</v>
      </c>
      <c r="AZ14" s="3298">
        <v>16635</v>
      </c>
      <c r="BA14" s="3298" t="s">
        <v>3178</v>
      </c>
    </row>
    <row r="15" spans="1:53">
      <c r="A15" s="3298" t="s">
        <v>3030</v>
      </c>
      <c r="B15" s="3298">
        <v>13</v>
      </c>
      <c r="C15" s="3298" t="s">
        <v>3179</v>
      </c>
      <c r="D15" s="3298">
        <f t="shared" si="0"/>
        <v>0.8</v>
      </c>
      <c r="E15" s="3298">
        <f t="shared" si="1"/>
        <v>24.717500000000001</v>
      </c>
      <c r="F15" s="3298">
        <v>24.09</v>
      </c>
      <c r="G15" s="3298">
        <v>2046</v>
      </c>
      <c r="H15" s="3298">
        <v>15139</v>
      </c>
      <c r="I15" s="3298" t="s">
        <v>3180</v>
      </c>
      <c r="J15" s="3298">
        <v>23.63</v>
      </c>
      <c r="K15" s="3298">
        <v>1985</v>
      </c>
      <c r="L15" s="3298">
        <v>15046</v>
      </c>
      <c r="M15" s="3298" t="s">
        <v>3131</v>
      </c>
      <c r="N15" s="3298">
        <v>24</v>
      </c>
      <c r="O15" s="3298">
        <v>2034</v>
      </c>
      <c r="P15" s="3298">
        <v>15448</v>
      </c>
      <c r="Q15" s="3298" t="s">
        <v>3181</v>
      </c>
      <c r="R15" s="3298">
        <v>24.15</v>
      </c>
      <c r="S15" s="3298">
        <v>2042</v>
      </c>
      <c r="T15" s="3298">
        <v>15402</v>
      </c>
      <c r="U15" s="3298" t="s">
        <v>3088</v>
      </c>
      <c r="V15" s="3298">
        <v>23.75</v>
      </c>
      <c r="W15" s="3298">
        <v>1966</v>
      </c>
      <c r="X15" s="3298">
        <v>15097</v>
      </c>
      <c r="Y15" s="3298" t="s">
        <v>3182</v>
      </c>
      <c r="Z15" s="3298">
        <v>24.58</v>
      </c>
      <c r="AA15" s="3298">
        <v>2040</v>
      </c>
      <c r="AB15" s="3298">
        <v>15380</v>
      </c>
      <c r="AC15" s="3298" t="s">
        <v>3183</v>
      </c>
      <c r="AD15" s="3298">
        <v>25.39</v>
      </c>
      <c r="AE15" s="3298">
        <v>2093</v>
      </c>
      <c r="AF15" s="3298">
        <v>15364</v>
      </c>
      <c r="AG15" s="3298" t="s">
        <v>3153</v>
      </c>
      <c r="AH15" s="3298">
        <v>25.81</v>
      </c>
      <c r="AI15" s="3298">
        <v>2169</v>
      </c>
      <c r="AJ15" s="3298">
        <v>15223</v>
      </c>
      <c r="AK15" s="3298" t="s">
        <v>3114</v>
      </c>
      <c r="AL15" s="3298">
        <v>24.99</v>
      </c>
      <c r="AM15" s="3298">
        <v>2048</v>
      </c>
      <c r="AN15" s="3298">
        <v>15037</v>
      </c>
      <c r="AO15" s="3298" t="s">
        <v>3184</v>
      </c>
      <c r="AP15" s="3298">
        <v>24.58</v>
      </c>
      <c r="AQ15" s="3298">
        <v>2009</v>
      </c>
      <c r="AR15" s="3298">
        <v>15554</v>
      </c>
      <c r="AS15" s="3298" t="s">
        <v>3185</v>
      </c>
      <c r="AT15" s="3298">
        <v>25.03</v>
      </c>
      <c r="AU15" s="3298">
        <v>2109</v>
      </c>
      <c r="AV15" s="3298">
        <v>15531</v>
      </c>
      <c r="AW15" s="3298" t="s">
        <v>3186</v>
      </c>
      <c r="AX15" s="3298">
        <v>26.61</v>
      </c>
      <c r="AY15" s="3298">
        <v>2267</v>
      </c>
      <c r="AZ15" s="3298">
        <v>15897</v>
      </c>
      <c r="BA15" s="3298" t="s">
        <v>3102</v>
      </c>
    </row>
    <row r="16" spans="1:53">
      <c r="A16" s="3298" t="s">
        <v>3030</v>
      </c>
      <c r="B16" s="3298">
        <v>14</v>
      </c>
      <c r="C16" s="3298" t="s">
        <v>3187</v>
      </c>
      <c r="D16" s="3298">
        <f t="shared" si="0"/>
        <v>0.8</v>
      </c>
      <c r="E16" s="3298">
        <f t="shared" si="1"/>
        <v>24.718333333333334</v>
      </c>
      <c r="F16" s="3298">
        <v>22.95</v>
      </c>
      <c r="G16" s="3298">
        <v>1830</v>
      </c>
      <c r="H16" s="3298">
        <v>9095</v>
      </c>
      <c r="I16" s="3298" t="s">
        <v>3188</v>
      </c>
      <c r="J16" s="3298">
        <v>23.09</v>
      </c>
      <c r="K16" s="3298">
        <v>1846</v>
      </c>
      <c r="L16" s="3298">
        <v>8900</v>
      </c>
      <c r="M16" s="3298" t="s">
        <v>3189</v>
      </c>
      <c r="N16" s="3298">
        <v>22.47</v>
      </c>
      <c r="O16" s="3298">
        <v>1794</v>
      </c>
      <c r="P16" s="3298">
        <v>8425</v>
      </c>
      <c r="Q16" s="3298" t="s">
        <v>3190</v>
      </c>
      <c r="R16" s="3298">
        <v>24.23</v>
      </c>
      <c r="S16" s="3298">
        <v>1861</v>
      </c>
      <c r="T16" s="3298">
        <v>9111</v>
      </c>
      <c r="U16" s="3298" t="s">
        <v>3191</v>
      </c>
      <c r="V16" s="3298">
        <v>26.78</v>
      </c>
      <c r="W16" s="3298">
        <v>1708</v>
      </c>
      <c r="X16" s="3298">
        <v>8911</v>
      </c>
      <c r="Y16" s="3298" t="s">
        <v>3192</v>
      </c>
      <c r="Z16" s="3298">
        <v>28.55</v>
      </c>
      <c r="AA16" s="3298">
        <v>1764</v>
      </c>
      <c r="AB16" s="3298">
        <v>8660</v>
      </c>
      <c r="AC16" s="3298" t="s">
        <v>3193</v>
      </c>
      <c r="AD16" s="3298">
        <v>24.62</v>
      </c>
      <c r="AE16" s="3298">
        <v>1968</v>
      </c>
      <c r="AF16" s="3298">
        <v>9709</v>
      </c>
      <c r="AG16" s="3298" t="s">
        <v>3194</v>
      </c>
      <c r="AH16" s="3298">
        <v>24.05</v>
      </c>
      <c r="AI16" s="3298">
        <v>1623</v>
      </c>
      <c r="AJ16" s="3298">
        <v>8567</v>
      </c>
      <c r="AK16" s="3298" t="s">
        <v>3195</v>
      </c>
      <c r="AL16" s="3298">
        <v>23.48</v>
      </c>
      <c r="AM16" s="3298">
        <v>1645</v>
      </c>
      <c r="AN16" s="3298">
        <v>8482</v>
      </c>
      <c r="AO16" s="3298" t="s">
        <v>3196</v>
      </c>
      <c r="AP16" s="3298">
        <v>24.81</v>
      </c>
      <c r="AQ16" s="3298">
        <v>1617</v>
      </c>
      <c r="AR16" s="3298">
        <v>9092</v>
      </c>
      <c r="AS16" s="3298" t="s">
        <v>3197</v>
      </c>
      <c r="AT16" s="3298">
        <v>24.82</v>
      </c>
      <c r="AU16" s="3298">
        <v>1809</v>
      </c>
      <c r="AV16" s="3298">
        <v>9306</v>
      </c>
      <c r="AW16" s="3298" t="s">
        <v>3190</v>
      </c>
      <c r="AX16" s="3298">
        <v>26.77</v>
      </c>
      <c r="AY16" s="3298">
        <v>1704</v>
      </c>
      <c r="AZ16" s="3298">
        <v>10689</v>
      </c>
      <c r="BA16" s="3298" t="s">
        <v>3198</v>
      </c>
    </row>
    <row r="17" spans="1:53">
      <c r="A17" s="3298" t="s">
        <v>3030</v>
      </c>
      <c r="B17" s="3298">
        <v>15</v>
      </c>
      <c r="C17" s="3298" t="s">
        <v>3199</v>
      </c>
      <c r="D17" s="3298">
        <f t="shared" si="0"/>
        <v>0.7</v>
      </c>
      <c r="E17" s="3298">
        <f t="shared" si="1"/>
        <v>19.89</v>
      </c>
      <c r="F17" s="3298">
        <v>20.41</v>
      </c>
      <c r="G17" s="3298">
        <v>1888</v>
      </c>
      <c r="H17" s="3298">
        <v>11978</v>
      </c>
      <c r="I17" s="3298" t="s">
        <v>3200</v>
      </c>
      <c r="J17" s="3298">
        <v>20.55</v>
      </c>
      <c r="K17" s="3298">
        <v>2006</v>
      </c>
      <c r="L17" s="3298">
        <v>12123</v>
      </c>
      <c r="M17" s="3298" t="s">
        <v>3114</v>
      </c>
      <c r="N17" s="3298">
        <v>20.77</v>
      </c>
      <c r="O17" s="3298">
        <v>2018</v>
      </c>
      <c r="P17" s="3298">
        <v>13178</v>
      </c>
      <c r="Q17" s="3298" t="s">
        <v>3201</v>
      </c>
      <c r="R17" s="3298">
        <v>20.27</v>
      </c>
      <c r="S17" s="3298">
        <v>1981</v>
      </c>
      <c r="T17" s="3298">
        <v>12265</v>
      </c>
      <c r="U17" s="3298" t="s">
        <v>3153</v>
      </c>
      <c r="V17" s="3298">
        <v>19.559999999999999</v>
      </c>
      <c r="W17" s="3298">
        <v>1809</v>
      </c>
      <c r="X17" s="3298">
        <v>12220</v>
      </c>
      <c r="Y17" s="3298" t="s">
        <v>3087</v>
      </c>
      <c r="Z17" s="3298">
        <v>19.829999999999998</v>
      </c>
      <c r="AA17" s="3298">
        <v>1842</v>
      </c>
      <c r="AB17" s="3298">
        <v>12697</v>
      </c>
      <c r="AC17" s="3298" t="s">
        <v>3202</v>
      </c>
      <c r="AD17" s="3298">
        <v>19.23</v>
      </c>
      <c r="AE17" s="3298">
        <v>1790</v>
      </c>
      <c r="AF17" s="3298">
        <v>12471</v>
      </c>
      <c r="AG17" s="3298" t="s">
        <v>3203</v>
      </c>
      <c r="AH17" s="3298">
        <v>18.79</v>
      </c>
      <c r="AI17" s="3298">
        <v>1757</v>
      </c>
      <c r="AJ17" s="3298">
        <v>12314</v>
      </c>
      <c r="AK17" s="3298" t="s">
        <v>3204</v>
      </c>
      <c r="AL17" s="3298">
        <v>20.059999999999999</v>
      </c>
      <c r="AM17" s="3298">
        <v>1785</v>
      </c>
      <c r="AN17" s="3298">
        <v>11740</v>
      </c>
      <c r="AO17" s="3298" t="s">
        <v>3205</v>
      </c>
      <c r="AP17" s="3298">
        <v>19.12</v>
      </c>
      <c r="AQ17" s="3298">
        <v>1796</v>
      </c>
      <c r="AR17" s="3298">
        <v>12043</v>
      </c>
      <c r="AS17" s="3298" t="s">
        <v>3072</v>
      </c>
      <c r="AT17" s="3298">
        <v>18.739999999999998</v>
      </c>
      <c r="AU17" s="3298">
        <v>1785</v>
      </c>
      <c r="AV17" s="3298">
        <v>12316</v>
      </c>
      <c r="AW17" s="3298" t="s">
        <v>3086</v>
      </c>
      <c r="AX17" s="3298">
        <v>21.35</v>
      </c>
      <c r="AY17" s="3298">
        <v>1991</v>
      </c>
      <c r="AZ17" s="3298">
        <v>12918</v>
      </c>
      <c r="BA17" s="3298" t="s">
        <v>3153</v>
      </c>
    </row>
    <row r="18" spans="1:53">
      <c r="A18" s="3298" t="s">
        <v>3030</v>
      </c>
      <c r="B18" s="3298">
        <v>16</v>
      </c>
      <c r="C18" s="3298" t="s">
        <v>3206</v>
      </c>
      <c r="D18" s="3298">
        <f t="shared" si="0"/>
        <v>0.7</v>
      </c>
      <c r="E18" s="3298">
        <f t="shared" si="1"/>
        <v>20.697500000000002</v>
      </c>
      <c r="F18" s="3298">
        <v>20.41</v>
      </c>
      <c r="G18" s="3298">
        <v>1706</v>
      </c>
      <c r="H18" s="3298">
        <v>17010</v>
      </c>
      <c r="I18" s="3298" t="s">
        <v>3207</v>
      </c>
      <c r="J18" s="3298">
        <v>20.65</v>
      </c>
      <c r="K18" s="3298">
        <v>1732</v>
      </c>
      <c r="L18" s="3298">
        <v>17041</v>
      </c>
      <c r="M18" s="3298" t="s">
        <v>3208</v>
      </c>
      <c r="N18" s="3298">
        <v>20.02</v>
      </c>
      <c r="O18" s="3298">
        <v>1672</v>
      </c>
      <c r="P18" s="3298">
        <v>17098</v>
      </c>
      <c r="Q18" s="3298" t="s">
        <v>3209</v>
      </c>
      <c r="R18" s="3298">
        <v>20.88</v>
      </c>
      <c r="S18" s="3298">
        <v>1748</v>
      </c>
      <c r="T18" s="3298">
        <v>17446</v>
      </c>
      <c r="U18" s="3298" t="s">
        <v>3054</v>
      </c>
      <c r="V18" s="3298">
        <v>20.72</v>
      </c>
      <c r="W18" s="3298">
        <v>1732</v>
      </c>
      <c r="X18" s="3298">
        <v>17279</v>
      </c>
      <c r="Y18" s="3298" t="s">
        <v>3207</v>
      </c>
      <c r="Z18" s="3298">
        <v>20.85</v>
      </c>
      <c r="AA18" s="3298">
        <v>1704</v>
      </c>
      <c r="AB18" s="3298">
        <v>17296</v>
      </c>
      <c r="AC18" s="3298" t="s">
        <v>3210</v>
      </c>
      <c r="AD18" s="3298">
        <v>20.420000000000002</v>
      </c>
      <c r="AE18" s="3298">
        <v>1685</v>
      </c>
      <c r="AF18" s="3298">
        <v>17707</v>
      </c>
      <c r="AG18" s="3298" t="s">
        <v>3211</v>
      </c>
      <c r="AH18" s="3298">
        <v>20.059999999999999</v>
      </c>
      <c r="AI18" s="3298">
        <v>1646</v>
      </c>
      <c r="AJ18" s="3298">
        <v>17541</v>
      </c>
      <c r="AK18" s="3298" t="s">
        <v>3212</v>
      </c>
      <c r="AL18" s="3298">
        <v>20.43</v>
      </c>
      <c r="AM18" s="3298">
        <v>1651</v>
      </c>
      <c r="AN18" s="3298">
        <v>17493</v>
      </c>
      <c r="AO18" s="3298" t="s">
        <v>3213</v>
      </c>
      <c r="AP18" s="3298">
        <v>19.84</v>
      </c>
      <c r="AQ18" s="3298">
        <v>1653</v>
      </c>
      <c r="AR18" s="3298">
        <v>18007</v>
      </c>
      <c r="AS18" s="3298" t="s">
        <v>3214</v>
      </c>
      <c r="AT18" s="3298">
        <v>21.48</v>
      </c>
      <c r="AU18" s="3298">
        <v>1768</v>
      </c>
      <c r="AV18" s="3298">
        <v>17771</v>
      </c>
      <c r="AW18" s="3298" t="s">
        <v>3215</v>
      </c>
      <c r="AX18" s="3298">
        <v>22.61</v>
      </c>
      <c r="AY18" s="3298">
        <v>1910</v>
      </c>
      <c r="AZ18" s="3298">
        <v>17792</v>
      </c>
      <c r="BA18" s="3298" t="s">
        <v>3216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229" type="noConversion"/>
  <pageMargins left="0.75" right="0.75" top="1" bottom="1" header="0.5" footer="0.5"/>
  <pageSetup orientation="portrait" horizontalDpi="300" verticalDpi="300"/>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M57"/>
  <sheetViews>
    <sheetView topLeftCell="A46" zoomScale="80" zoomScaleNormal="80" workbookViewId="0">
      <selection activeCell="O49" sqref="O49"/>
    </sheetView>
  </sheetViews>
  <sheetFormatPr defaultColWidth="11" defaultRowHeight="13.5"/>
  <cols>
    <col min="1" max="11" width="11" style="3314"/>
    <col min="12" max="12" width="15.625" style="3314" customWidth="1"/>
    <col min="13" max="16384" width="11" style="3314"/>
  </cols>
  <sheetData>
    <row r="46" spans="1:13" s="3313" customFormat="1" ht="24">
      <c r="A46" s="3312" t="s">
        <v>3247</v>
      </c>
      <c r="B46" s="3312" t="s">
        <v>3248</v>
      </c>
      <c r="C46" s="3312" t="s">
        <v>3249</v>
      </c>
      <c r="D46" s="3312" t="s">
        <v>3250</v>
      </c>
      <c r="E46" s="3312" t="s">
        <v>3251</v>
      </c>
      <c r="F46" s="3312" t="s">
        <v>3252</v>
      </c>
      <c r="G46" s="3312" t="s">
        <v>3253</v>
      </c>
      <c r="H46" s="3312" t="s">
        <v>3254</v>
      </c>
      <c r="I46" s="3312" t="s">
        <v>3255</v>
      </c>
      <c r="J46" s="3312" t="s">
        <v>3256</v>
      </c>
      <c r="K46" s="3312" t="s">
        <v>3257</v>
      </c>
      <c r="L46" s="3312" t="s">
        <v>3258</v>
      </c>
      <c r="M46" s="3312" t="s">
        <v>3259</v>
      </c>
    </row>
    <row r="47" spans="1:13" s="3313" customFormat="1" ht="24">
      <c r="A47" s="3312">
        <v>1</v>
      </c>
      <c r="B47" s="3312" t="s">
        <v>3260</v>
      </c>
      <c r="C47" s="3312" t="s">
        <v>3261</v>
      </c>
      <c r="D47" s="3312" t="s">
        <v>3262</v>
      </c>
      <c r="E47" s="3312" t="s">
        <v>3263</v>
      </c>
      <c r="F47" s="3312">
        <v>2017</v>
      </c>
      <c r="G47" s="3312">
        <v>800000</v>
      </c>
      <c r="H47" s="3312">
        <v>500</v>
      </c>
      <c r="I47" s="3312">
        <v>4.4000000000000004</v>
      </c>
      <c r="J47" s="3312">
        <v>3</v>
      </c>
      <c r="K47" s="3312">
        <v>3</v>
      </c>
      <c r="L47" s="3312" t="s">
        <v>3264</v>
      </c>
      <c r="M47" s="3312"/>
    </row>
    <row r="48" spans="1:13" s="3313" customFormat="1" ht="24">
      <c r="A48" s="3312">
        <v>2</v>
      </c>
      <c r="B48" s="3312" t="s">
        <v>3260</v>
      </c>
      <c r="C48" s="3312" t="s">
        <v>3261</v>
      </c>
      <c r="D48" s="3312" t="s">
        <v>3262</v>
      </c>
      <c r="E48" s="3312" t="s">
        <v>3265</v>
      </c>
      <c r="F48" s="3312">
        <v>2017</v>
      </c>
      <c r="G48" s="3312">
        <v>800000</v>
      </c>
      <c r="H48" s="3312">
        <v>500</v>
      </c>
      <c r="I48" s="3312">
        <v>4.4000000000000004</v>
      </c>
      <c r="J48" s="3312">
        <v>3</v>
      </c>
      <c r="K48" s="3312">
        <v>3</v>
      </c>
      <c r="L48" s="3312" t="s">
        <v>3264</v>
      </c>
      <c r="M48" s="3312"/>
    </row>
    <row r="49" spans="1:13" s="3313" customFormat="1" ht="24">
      <c r="A49" s="3312">
        <v>3</v>
      </c>
      <c r="B49" s="3312" t="s">
        <v>3260</v>
      </c>
      <c r="C49" s="3312" t="s">
        <v>3261</v>
      </c>
      <c r="D49" s="3312" t="s">
        <v>3262</v>
      </c>
      <c r="E49" s="3312" t="s">
        <v>3266</v>
      </c>
      <c r="F49" s="3312">
        <v>2017</v>
      </c>
      <c r="G49" s="3312">
        <v>750000</v>
      </c>
      <c r="H49" s="3312">
        <v>450</v>
      </c>
      <c r="I49" s="3312">
        <v>4.5999999999999996</v>
      </c>
      <c r="J49" s="3312">
        <v>3</v>
      </c>
      <c r="K49" s="3312">
        <v>3</v>
      </c>
      <c r="L49" s="3312" t="s">
        <v>3264</v>
      </c>
      <c r="M49" s="3312"/>
    </row>
    <row r="50" spans="1:13" s="3313" customFormat="1" ht="24">
      <c r="A50" s="3312">
        <v>4</v>
      </c>
      <c r="B50" s="3312" t="s">
        <v>3260</v>
      </c>
      <c r="C50" s="3312" t="s">
        <v>3261</v>
      </c>
      <c r="D50" s="3312" t="s">
        <v>3267</v>
      </c>
      <c r="E50" s="3312" t="s">
        <v>3268</v>
      </c>
      <c r="F50" s="3312">
        <v>2017</v>
      </c>
      <c r="G50" s="3312">
        <v>500000</v>
      </c>
      <c r="H50" s="3312">
        <v>400</v>
      </c>
      <c r="I50" s="3312">
        <v>3.4</v>
      </c>
      <c r="J50" s="3312">
        <v>2</v>
      </c>
      <c r="K50" s="3312">
        <v>2</v>
      </c>
      <c r="L50" s="3312" t="s">
        <v>3264</v>
      </c>
      <c r="M50" s="3312"/>
    </row>
    <row r="51" spans="1:13" s="3313" customFormat="1" ht="24">
      <c r="A51" s="3312">
        <v>5</v>
      </c>
      <c r="B51" s="3312" t="s">
        <v>3260</v>
      </c>
      <c r="C51" s="3312" t="s">
        <v>3261</v>
      </c>
      <c r="D51" s="3312" t="s">
        <v>3262</v>
      </c>
      <c r="E51" s="3312" t="s">
        <v>3269</v>
      </c>
      <c r="F51" s="3312">
        <v>2017</v>
      </c>
      <c r="G51" s="3312">
        <v>700000</v>
      </c>
      <c r="H51" s="3312">
        <v>594</v>
      </c>
      <c r="I51" s="3312">
        <v>3.2</v>
      </c>
      <c r="J51" s="3312">
        <v>3</v>
      </c>
      <c r="K51" s="3312">
        <v>3</v>
      </c>
      <c r="L51" s="3312" t="s">
        <v>3264</v>
      </c>
      <c r="M51" s="3312"/>
    </row>
    <row r="57" spans="1:13">
      <c r="M57" s="3315" t="s">
        <v>3270</v>
      </c>
    </row>
  </sheetData>
  <phoneticPr fontId="229"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
  <sheetViews>
    <sheetView workbookViewId="0">
      <selection activeCell="F17" sqref="F17"/>
    </sheetView>
  </sheetViews>
  <sheetFormatPr defaultColWidth="9" defaultRowHeight="13.5"/>
  <cols>
    <col min="1" max="7" width="9" style="3297"/>
    <col min="8" max="8" width="0" style="3297" hidden="1" customWidth="1"/>
    <col min="9" max="10" width="9" style="3297"/>
    <col min="11" max="11" width="0" style="3297" hidden="1" customWidth="1"/>
    <col min="12" max="15" width="9" style="3297"/>
    <col min="16" max="16" width="0" style="3297" hidden="1" customWidth="1"/>
    <col min="17" max="23" width="9" style="3297"/>
    <col min="24" max="24" width="0" style="3297" hidden="1" customWidth="1"/>
    <col min="25" max="25" width="9" style="3297"/>
    <col min="26" max="26" width="0" style="3297" hidden="1" customWidth="1"/>
    <col min="27" max="27" width="9" style="3297"/>
    <col min="28" max="28" width="0" style="3297" hidden="1" customWidth="1"/>
    <col min="29" max="16384" width="9" style="3297"/>
  </cols>
  <sheetData>
    <row r="1" spans="1:42" s="3283" customFormat="1" ht="12">
      <c r="A1" s="3768" t="s">
        <v>2988</v>
      </c>
      <c r="B1" s="3769" t="s">
        <v>2989</v>
      </c>
      <c r="C1" s="3770" t="s">
        <v>2990</v>
      </c>
      <c r="D1" s="3772" t="s">
        <v>2991</v>
      </c>
      <c r="E1" s="3774" t="s">
        <v>2992</v>
      </c>
      <c r="F1" s="3774" t="s">
        <v>2993</v>
      </c>
      <c r="G1" s="3777" t="s">
        <v>2994</v>
      </c>
      <c r="H1" s="3778" t="s">
        <v>2995</v>
      </c>
      <c r="I1" s="3764" t="s">
        <v>2996</v>
      </c>
      <c r="J1" s="3765"/>
      <c r="K1" s="3766"/>
      <c r="L1" s="3764" t="s">
        <v>2997</v>
      </c>
      <c r="M1" s="3765"/>
      <c r="N1" s="3765"/>
      <c r="O1" s="3765"/>
      <c r="P1" s="3766"/>
      <c r="Q1" s="3764" t="s">
        <v>2998</v>
      </c>
      <c r="R1" s="3765"/>
      <c r="S1" s="3765"/>
      <c r="T1" s="3765"/>
      <c r="U1" s="3765"/>
      <c r="V1" s="3765"/>
      <c r="W1" s="3765"/>
      <c r="X1" s="3765"/>
      <c r="Y1" s="3765"/>
      <c r="Z1" s="3765"/>
      <c r="AA1" s="3765"/>
      <c r="AB1" s="3766"/>
      <c r="AC1" s="3282"/>
      <c r="AD1" s="3282"/>
      <c r="AE1" s="3282"/>
      <c r="AF1" s="3282"/>
      <c r="AG1" s="3282"/>
      <c r="AH1" s="3282"/>
      <c r="AI1" s="3282"/>
      <c r="AJ1" s="3282"/>
      <c r="AK1" s="3282"/>
      <c r="AL1" s="3282"/>
      <c r="AM1" s="3282"/>
      <c r="AN1" s="3282"/>
      <c r="AO1" s="3282"/>
    </row>
    <row r="2" spans="1:42" s="3283" customFormat="1" ht="70.5" customHeight="1">
      <c r="A2" s="3768"/>
      <c r="B2" s="3769"/>
      <c r="C2" s="3771"/>
      <c r="D2" s="3773"/>
      <c r="E2" s="3775"/>
      <c r="F2" s="3775"/>
      <c r="G2" s="3769"/>
      <c r="H2" s="3779"/>
      <c r="I2" s="3284" t="s">
        <v>2999</v>
      </c>
      <c r="J2" s="3285" t="s">
        <v>3000</v>
      </c>
      <c r="K2" s="3286" t="s">
        <v>3001</v>
      </c>
      <c r="L2" s="3287" t="s">
        <v>3002</v>
      </c>
      <c r="M2" s="3285" t="s">
        <v>3003</v>
      </c>
      <c r="N2" s="3285" t="s">
        <v>3004</v>
      </c>
      <c r="O2" s="3285" t="s">
        <v>3005</v>
      </c>
      <c r="P2" s="3286" t="s">
        <v>3006</v>
      </c>
      <c r="Q2" s="3287" t="s">
        <v>3007</v>
      </c>
      <c r="R2" s="3285" t="s">
        <v>3008</v>
      </c>
      <c r="S2" s="3285" t="s">
        <v>3009</v>
      </c>
      <c r="T2" s="3285" t="s">
        <v>3010</v>
      </c>
      <c r="U2" s="3285" t="s">
        <v>3011</v>
      </c>
      <c r="V2" s="3285" t="s">
        <v>3012</v>
      </c>
      <c r="W2" s="3285" t="s">
        <v>3013</v>
      </c>
      <c r="X2" s="3286" t="s">
        <v>3014</v>
      </c>
      <c r="Y2" s="3285" t="s">
        <v>3015</v>
      </c>
      <c r="Z2" s="3286"/>
      <c r="AA2" s="3285" t="s">
        <v>3016</v>
      </c>
      <c r="AB2" s="3286" t="s">
        <v>3017</v>
      </c>
      <c r="AC2" s="3282"/>
      <c r="AD2" s="3282"/>
      <c r="AE2" s="3282"/>
      <c r="AF2" s="3282"/>
      <c r="AG2" s="3282"/>
      <c r="AH2" s="3282"/>
      <c r="AI2" s="3282"/>
      <c r="AJ2" s="3282"/>
      <c r="AK2" s="3282"/>
      <c r="AL2" s="3282"/>
      <c r="AM2" s="3282"/>
      <c r="AN2" s="3282"/>
    </row>
    <row r="3" spans="1:42" s="3294" customFormat="1" ht="18.75" customHeight="1">
      <c r="A3" s="3767" t="s">
        <v>3018</v>
      </c>
      <c r="B3" s="3767" t="s">
        <v>3019</v>
      </c>
      <c r="C3" s="3288" t="s">
        <v>3020</v>
      </c>
      <c r="D3" s="3289">
        <f t="shared" ref="D3:D8" si="0">SUM(E3:F3)</f>
        <v>16.04</v>
      </c>
      <c r="E3" s="3290">
        <v>15.73</v>
      </c>
      <c r="F3" s="3290">
        <v>0.31</v>
      </c>
      <c r="G3" s="3291">
        <f t="shared" ref="G3:G8" si="1">SUM(J3,L3,Q3)</f>
        <v>27.89</v>
      </c>
      <c r="H3" s="3291">
        <f>SUM(P3,K3,X3,Z3,AB3)</f>
        <v>9.59</v>
      </c>
      <c r="I3" s="3291">
        <f t="shared" ref="I3:I8" si="2">SUM(J3:K3)</f>
        <v>22.049999999999997</v>
      </c>
      <c r="J3" s="3292">
        <v>15.53</v>
      </c>
      <c r="K3" s="3292">
        <v>6.52</v>
      </c>
      <c r="L3" s="3292">
        <f>SUM(N3:O3)</f>
        <v>1.05</v>
      </c>
      <c r="M3" s="3292">
        <v>0</v>
      </c>
      <c r="N3" s="3292">
        <v>0.59</v>
      </c>
      <c r="O3" s="3292">
        <v>0.46</v>
      </c>
      <c r="P3" s="3292">
        <v>0.15</v>
      </c>
      <c r="Q3" s="3292">
        <f>SUM(R3:W3,Y3,AA3)</f>
        <v>11.31</v>
      </c>
      <c r="R3" s="3292">
        <v>1.51</v>
      </c>
      <c r="S3" s="3292">
        <v>1.55</v>
      </c>
      <c r="T3" s="3292">
        <v>2.3199999999999998</v>
      </c>
      <c r="U3" s="3292">
        <v>3.87</v>
      </c>
      <c r="V3" s="3292">
        <v>0.16</v>
      </c>
      <c r="W3" s="3292">
        <v>0.24</v>
      </c>
      <c r="X3" s="3292">
        <v>2.4900000000000002</v>
      </c>
      <c r="Y3" s="3292">
        <v>0</v>
      </c>
      <c r="Z3" s="3292">
        <v>0</v>
      </c>
      <c r="AA3" s="3292">
        <v>1.66</v>
      </c>
      <c r="AB3" s="3292">
        <v>0.43</v>
      </c>
      <c r="AC3" s="3293"/>
      <c r="AD3" s="3293"/>
      <c r="AE3" s="3293"/>
      <c r="AF3" s="3293"/>
      <c r="AG3" s="3293"/>
      <c r="AH3" s="3293"/>
      <c r="AI3" s="3293"/>
      <c r="AJ3" s="3293"/>
      <c r="AK3" s="3293"/>
      <c r="AL3" s="3293"/>
      <c r="AM3" s="3293"/>
      <c r="AN3" s="3293"/>
    </row>
    <row r="4" spans="1:42" s="3294" customFormat="1" ht="18.75" customHeight="1">
      <c r="A4" s="3767"/>
      <c r="B4" s="3767"/>
      <c r="C4" s="3288" t="s">
        <v>3021</v>
      </c>
      <c r="D4" s="3289">
        <f t="shared" si="0"/>
        <v>19.040000000000003</v>
      </c>
      <c r="E4" s="3290">
        <v>18.850000000000001</v>
      </c>
      <c r="F4" s="3290">
        <v>0.19</v>
      </c>
      <c r="G4" s="3291">
        <f t="shared" si="1"/>
        <v>37.42</v>
      </c>
      <c r="H4" s="3291">
        <f>SUM(P4,K4,X4,Z4,AB4)</f>
        <v>9.32</v>
      </c>
      <c r="I4" s="3292">
        <f t="shared" si="2"/>
        <v>13.350000000000001</v>
      </c>
      <c r="J4" s="3292">
        <v>10.88</v>
      </c>
      <c r="K4" s="3292">
        <v>2.4700000000000002</v>
      </c>
      <c r="L4" s="3292">
        <v>0</v>
      </c>
      <c r="M4" s="3292">
        <v>0</v>
      </c>
      <c r="N4" s="3292">
        <v>0</v>
      </c>
      <c r="O4" s="3292">
        <v>0</v>
      </c>
      <c r="P4" s="3292">
        <v>0</v>
      </c>
      <c r="Q4" s="3292">
        <v>26.54</v>
      </c>
      <c r="R4" s="3292">
        <v>0</v>
      </c>
      <c r="S4" s="3292">
        <v>2.1800000000000002</v>
      </c>
      <c r="T4" s="3292">
        <v>3.27</v>
      </c>
      <c r="U4" s="3292">
        <v>5.44</v>
      </c>
      <c r="V4" s="3292">
        <v>0</v>
      </c>
      <c r="W4" s="3292">
        <v>0</v>
      </c>
      <c r="X4" s="3292">
        <v>2.81</v>
      </c>
      <c r="Y4" s="3292">
        <v>13.35</v>
      </c>
      <c r="Z4" s="3292">
        <v>3.45</v>
      </c>
      <c r="AA4" s="3292">
        <v>2.2999999999999998</v>
      </c>
      <c r="AB4" s="3292">
        <v>0.59</v>
      </c>
      <c r="AC4" s="3293"/>
      <c r="AD4" s="3293"/>
      <c r="AE4" s="3293"/>
      <c r="AF4" s="3293"/>
      <c r="AG4" s="3293"/>
      <c r="AH4" s="3293"/>
      <c r="AI4" s="3293"/>
      <c r="AJ4" s="3293"/>
      <c r="AK4" s="3293"/>
      <c r="AL4" s="3293"/>
      <c r="AM4" s="3293"/>
      <c r="AN4" s="3293"/>
    </row>
    <row r="5" spans="1:42" s="3294" customFormat="1" ht="20.25" customHeight="1">
      <c r="A5" s="3767"/>
      <c r="B5" s="3767" t="s">
        <v>3022</v>
      </c>
      <c r="C5" s="3288" t="s">
        <v>3023</v>
      </c>
      <c r="D5" s="3289">
        <f t="shared" si="0"/>
        <v>17.07</v>
      </c>
      <c r="E5" s="3290">
        <v>16.72</v>
      </c>
      <c r="F5" s="3290">
        <v>0.35</v>
      </c>
      <c r="G5" s="3291">
        <f t="shared" si="1"/>
        <v>25.269999999999996</v>
      </c>
      <c r="H5" s="3291">
        <f t="shared" ref="H5:H8" si="3">SUM(K5,P5,X5,Z5,AB5)</f>
        <v>12.36</v>
      </c>
      <c r="I5" s="3291">
        <f t="shared" si="2"/>
        <v>33.4</v>
      </c>
      <c r="J5" s="3295">
        <v>21.83</v>
      </c>
      <c r="K5" s="3291">
        <v>11.57</v>
      </c>
      <c r="L5" s="3291">
        <f t="shared" ref="L5:L8" si="4">SUM(M5:O5)</f>
        <v>1.1499999999999999</v>
      </c>
      <c r="M5" s="3291">
        <v>0</v>
      </c>
      <c r="N5" s="3291">
        <v>0.76</v>
      </c>
      <c r="O5" s="3291">
        <v>0.39</v>
      </c>
      <c r="P5" s="3291">
        <v>0.2</v>
      </c>
      <c r="Q5" s="3291">
        <f t="shared" ref="Q5:Q8" si="5">SUM(R5:W5,Y5,AA5)</f>
        <v>2.29</v>
      </c>
      <c r="R5" s="3291">
        <v>1.1499999999999999</v>
      </c>
      <c r="S5" s="3291" t="s">
        <v>3024</v>
      </c>
      <c r="T5" s="3291" t="s">
        <v>3024</v>
      </c>
      <c r="U5" s="3291" t="s">
        <v>3024</v>
      </c>
      <c r="V5" s="3291">
        <v>0.46</v>
      </c>
      <c r="W5" s="3291">
        <v>0.68</v>
      </c>
      <c r="X5" s="3291">
        <v>0.59</v>
      </c>
      <c r="Y5" s="3291">
        <v>0</v>
      </c>
      <c r="Z5" s="3291">
        <v>0</v>
      </c>
      <c r="AA5" s="3291">
        <v>0</v>
      </c>
      <c r="AB5" s="3291">
        <v>0</v>
      </c>
      <c r="AC5" s="3293"/>
      <c r="AD5" s="3293"/>
      <c r="AE5" s="3293"/>
      <c r="AF5" s="3293"/>
      <c r="AG5" s="3293"/>
      <c r="AH5" s="3293"/>
      <c r="AI5" s="3293"/>
      <c r="AJ5" s="3296"/>
      <c r="AK5" s="3296"/>
      <c r="AL5" s="3296"/>
      <c r="AM5" s="3296"/>
      <c r="AN5" s="3296"/>
      <c r="AO5" s="3296"/>
      <c r="AP5" s="3296"/>
    </row>
    <row r="6" spans="1:42" s="3294" customFormat="1" ht="20.25" customHeight="1">
      <c r="A6" s="3767"/>
      <c r="B6" s="3767"/>
      <c r="C6" s="3288" t="s">
        <v>3025</v>
      </c>
      <c r="D6" s="3289">
        <f t="shared" si="0"/>
        <v>19.89</v>
      </c>
      <c r="E6" s="3290">
        <v>19.3</v>
      </c>
      <c r="F6" s="3290">
        <v>0.59</v>
      </c>
      <c r="G6" s="3291">
        <f t="shared" si="1"/>
        <v>36.619999999999997</v>
      </c>
      <c r="H6" s="3292">
        <f t="shared" si="3"/>
        <v>17.95</v>
      </c>
      <c r="I6" s="3292">
        <f t="shared" si="2"/>
        <v>48.56</v>
      </c>
      <c r="J6" s="3292">
        <v>31.75</v>
      </c>
      <c r="K6" s="3292">
        <v>16.809999999999999</v>
      </c>
      <c r="L6" s="3292">
        <f t="shared" si="4"/>
        <v>1.04</v>
      </c>
      <c r="M6" s="3292">
        <v>0</v>
      </c>
      <c r="N6" s="3292">
        <v>0.57999999999999996</v>
      </c>
      <c r="O6" s="3292">
        <v>0.46</v>
      </c>
      <c r="P6" s="3292">
        <v>0.15</v>
      </c>
      <c r="Q6" s="3292">
        <f t="shared" si="5"/>
        <v>3.83</v>
      </c>
      <c r="R6" s="3292">
        <v>1.67</v>
      </c>
      <c r="S6" s="3292" t="s">
        <v>3024</v>
      </c>
      <c r="T6" s="3292" t="s">
        <v>3024</v>
      </c>
      <c r="U6" s="3292" t="s">
        <v>3024</v>
      </c>
      <c r="V6" s="3292">
        <v>0.43</v>
      </c>
      <c r="W6" s="3292">
        <v>0.65</v>
      </c>
      <c r="X6" s="3292">
        <v>0.71</v>
      </c>
      <c r="Y6" s="3292">
        <v>0</v>
      </c>
      <c r="Z6" s="3292">
        <v>0</v>
      </c>
      <c r="AA6" s="3292">
        <v>1.08</v>
      </c>
      <c r="AB6" s="3292">
        <v>0.28000000000000003</v>
      </c>
      <c r="AC6" s="3293"/>
      <c r="AD6" s="3293"/>
      <c r="AE6" s="3293"/>
      <c r="AF6" s="3293"/>
      <c r="AG6" s="3293"/>
      <c r="AH6" s="3293"/>
      <c r="AI6" s="3293"/>
      <c r="AJ6" s="3296"/>
      <c r="AK6" s="3296"/>
      <c r="AL6" s="3296"/>
      <c r="AM6" s="3296"/>
      <c r="AN6" s="3296"/>
      <c r="AO6" s="3296"/>
      <c r="AP6" s="3296"/>
    </row>
    <row r="7" spans="1:42" s="3294" customFormat="1" ht="20.25" customHeight="1">
      <c r="A7" s="3767"/>
      <c r="B7" s="3767"/>
      <c r="C7" s="3288" t="s">
        <v>3026</v>
      </c>
      <c r="D7" s="3289">
        <f t="shared" si="0"/>
        <v>21.880000000000003</v>
      </c>
      <c r="E7" s="3290">
        <v>20.87</v>
      </c>
      <c r="F7" s="3290">
        <v>1.01</v>
      </c>
      <c r="G7" s="3291">
        <f t="shared" si="1"/>
        <v>27.12</v>
      </c>
      <c r="H7" s="3291">
        <f t="shared" si="3"/>
        <v>11.120000000000001</v>
      </c>
      <c r="I7" s="3292">
        <f t="shared" si="2"/>
        <v>28.57</v>
      </c>
      <c r="J7" s="3292">
        <v>18.68</v>
      </c>
      <c r="K7" s="3292">
        <v>9.89</v>
      </c>
      <c r="L7" s="3292">
        <f t="shared" si="4"/>
        <v>4.28</v>
      </c>
      <c r="M7" s="3292">
        <v>3.25</v>
      </c>
      <c r="N7" s="3292">
        <v>0.64</v>
      </c>
      <c r="O7" s="3292">
        <v>0.39</v>
      </c>
      <c r="P7" s="3292">
        <v>0.16</v>
      </c>
      <c r="Q7" s="3292">
        <f t="shared" si="5"/>
        <v>4.16</v>
      </c>
      <c r="R7" s="3292">
        <v>0.98</v>
      </c>
      <c r="S7" s="3292" t="s">
        <v>3024</v>
      </c>
      <c r="T7" s="3292" t="s">
        <v>3024</v>
      </c>
      <c r="U7" s="3292" t="s">
        <v>3024</v>
      </c>
      <c r="V7" s="3292">
        <v>0.38</v>
      </c>
      <c r="W7" s="3292">
        <v>0.57999999999999996</v>
      </c>
      <c r="X7" s="3292">
        <v>0.5</v>
      </c>
      <c r="Y7" s="3292">
        <v>0</v>
      </c>
      <c r="Z7" s="3292">
        <v>0</v>
      </c>
      <c r="AA7" s="3292">
        <v>2.2200000000000002</v>
      </c>
      <c r="AB7" s="3292">
        <v>0.56999999999999995</v>
      </c>
      <c r="AC7" s="3293"/>
      <c r="AD7" s="3293"/>
      <c r="AE7" s="3293"/>
      <c r="AF7" s="3293"/>
      <c r="AG7" s="3293"/>
      <c r="AH7" s="3293"/>
      <c r="AI7" s="3293"/>
      <c r="AJ7" s="3296"/>
      <c r="AK7" s="3296"/>
      <c r="AL7" s="3296"/>
      <c r="AM7" s="3296"/>
      <c r="AN7" s="3296"/>
      <c r="AO7" s="3296"/>
      <c r="AP7" s="3296"/>
    </row>
    <row r="8" spans="1:42" s="3294" customFormat="1" ht="20.25" customHeight="1">
      <c r="A8" s="3767"/>
      <c r="B8" s="3767"/>
      <c r="C8" s="3288" t="s">
        <v>3027</v>
      </c>
      <c r="D8" s="3289">
        <f t="shared" si="0"/>
        <v>28.09</v>
      </c>
      <c r="E8" s="3290">
        <v>27.5</v>
      </c>
      <c r="F8" s="3290">
        <v>0.59</v>
      </c>
      <c r="G8" s="3291">
        <f t="shared" si="1"/>
        <v>52.34</v>
      </c>
      <c r="H8" s="3291">
        <f t="shared" si="3"/>
        <v>24.39</v>
      </c>
      <c r="I8" s="3291">
        <f t="shared" si="2"/>
        <v>71.460000000000008</v>
      </c>
      <c r="J8" s="3292">
        <v>48.06</v>
      </c>
      <c r="K8" s="3291">
        <v>23.4</v>
      </c>
      <c r="L8" s="3291">
        <f t="shared" si="4"/>
        <v>1.1300000000000001</v>
      </c>
      <c r="M8" s="3291">
        <v>0</v>
      </c>
      <c r="N8" s="3291">
        <v>0.67</v>
      </c>
      <c r="O8" s="3291">
        <v>0.46</v>
      </c>
      <c r="P8" s="3291">
        <v>0.17</v>
      </c>
      <c r="Q8" s="3291">
        <f t="shared" si="5"/>
        <v>3.15</v>
      </c>
      <c r="R8" s="3291">
        <v>2.48</v>
      </c>
      <c r="S8" s="3291" t="s">
        <v>3024</v>
      </c>
      <c r="T8" s="3291" t="s">
        <v>3024</v>
      </c>
      <c r="U8" s="3291" t="s">
        <v>3024</v>
      </c>
      <c r="V8" s="3291">
        <v>0.27</v>
      </c>
      <c r="W8" s="3291">
        <v>0.4</v>
      </c>
      <c r="X8" s="3291">
        <v>0.82</v>
      </c>
      <c r="Y8" s="3291">
        <v>0</v>
      </c>
      <c r="Z8" s="3291">
        <v>0</v>
      </c>
      <c r="AA8" s="3291">
        <v>0</v>
      </c>
      <c r="AB8" s="3291">
        <v>0</v>
      </c>
      <c r="AC8" s="3293"/>
      <c r="AD8" s="3293"/>
      <c r="AE8" s="3293"/>
      <c r="AF8" s="3293"/>
      <c r="AG8" s="3293"/>
      <c r="AH8" s="3293"/>
      <c r="AI8" s="3293"/>
      <c r="AJ8" s="3296"/>
      <c r="AK8" s="3296"/>
      <c r="AL8" s="3296"/>
      <c r="AM8" s="3296"/>
      <c r="AN8" s="3296"/>
      <c r="AO8" s="3296"/>
      <c r="AP8" s="3296"/>
    </row>
    <row r="10" spans="1:42" s="3294" customFormat="1" ht="12">
      <c r="C10" s="3776" t="s">
        <v>3028</v>
      </c>
      <c r="D10" s="3776"/>
      <c r="E10" s="3776"/>
      <c r="F10" s="3776"/>
      <c r="G10" s="3776"/>
      <c r="H10" s="3776"/>
      <c r="I10" s="3776"/>
      <c r="J10" s="3776"/>
      <c r="K10" s="3776"/>
      <c r="L10" s="3776"/>
      <c r="M10" s="3776"/>
      <c r="N10" s="3776"/>
      <c r="O10" s="3283"/>
      <c r="P10" s="3283"/>
      <c r="Q10" s="3283"/>
      <c r="R10" s="3283"/>
      <c r="S10" s="3283"/>
      <c r="T10" s="3283"/>
      <c r="U10" s="3283"/>
      <c r="V10" s="3283"/>
      <c r="W10" s="3283"/>
      <c r="X10" s="3283"/>
      <c r="Y10" s="3283"/>
      <c r="Z10" s="3283"/>
      <c r="AA10" s="3283"/>
      <c r="AB10" s="3283"/>
      <c r="AC10" s="3293"/>
      <c r="AD10" s="3293"/>
      <c r="AE10" s="3293"/>
      <c r="AF10" s="3293"/>
      <c r="AG10" s="3293"/>
      <c r="AH10" s="3293"/>
      <c r="AI10" s="3293"/>
      <c r="AJ10" s="3293"/>
      <c r="AK10" s="3293"/>
      <c r="AL10" s="3293"/>
      <c r="AM10" s="3293"/>
      <c r="AN10" s="3293"/>
      <c r="AO10" s="3293"/>
    </row>
    <row r="11" spans="1:42" s="3294" customFormat="1" ht="12">
      <c r="C11" s="3776" t="s">
        <v>3029</v>
      </c>
      <c r="D11" s="3776"/>
      <c r="E11" s="3776"/>
      <c r="F11" s="3776"/>
      <c r="G11" s="3776"/>
      <c r="H11" s="3776"/>
      <c r="I11" s="3776"/>
      <c r="J11" s="3776"/>
      <c r="K11" s="3776"/>
      <c r="L11" s="3776"/>
      <c r="M11" s="3776"/>
      <c r="N11" s="3776"/>
      <c r="O11" s="3283"/>
      <c r="P11" s="3283"/>
      <c r="Q11" s="3283"/>
      <c r="R11" s="3283"/>
      <c r="S11" s="3283"/>
      <c r="T11" s="3283"/>
      <c r="U11" s="3283"/>
      <c r="V11" s="3283"/>
      <c r="W11" s="3283"/>
      <c r="X11" s="3283"/>
      <c r="Y11" s="3283"/>
      <c r="Z11" s="3283"/>
      <c r="AA11" s="3283"/>
      <c r="AB11" s="3283"/>
      <c r="AC11" s="3293"/>
      <c r="AD11" s="3293"/>
      <c r="AE11" s="3293"/>
      <c r="AF11" s="3293"/>
      <c r="AG11" s="3293"/>
      <c r="AH11" s="3293"/>
      <c r="AI11" s="3293"/>
      <c r="AJ11" s="3293"/>
      <c r="AK11" s="3293"/>
      <c r="AL11" s="3293"/>
      <c r="AM11" s="3293"/>
      <c r="AN11" s="3293"/>
      <c r="AO11" s="3293"/>
    </row>
  </sheetData>
  <mergeCells count="16">
    <mergeCell ref="C10:N10"/>
    <mergeCell ref="C11:N11"/>
    <mergeCell ref="G1:G2"/>
    <mergeCell ref="H1:H2"/>
    <mergeCell ref="I1:K1"/>
    <mergeCell ref="L1:P1"/>
    <mergeCell ref="Q1:AB1"/>
    <mergeCell ref="A3:A8"/>
    <mergeCell ref="B3:B4"/>
    <mergeCell ref="B5:B8"/>
    <mergeCell ref="A1:A2"/>
    <mergeCell ref="B1:B2"/>
    <mergeCell ref="C1:C2"/>
    <mergeCell ref="D1:D2"/>
    <mergeCell ref="E1:E2"/>
    <mergeCell ref="F1:F2"/>
  </mergeCells>
  <phoneticPr fontId="229" type="noConversion"/>
  <pageMargins left="0.7" right="0.7" top="0.75" bottom="0.75" header="0.3" footer="0.3"/>
  <pageSetup paperSize="9" scale="6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1" customWidth="1"/>
    <col min="2" max="16384" width="14.625" style="3181"/>
  </cols>
  <sheetData>
    <row r="1" spans="1:10" ht="16.5">
      <c r="A1" s="3180" t="s">
        <v>2816</v>
      </c>
      <c r="B1" s="3180">
        <f>SUM(B14:B23)</f>
        <v>196602</v>
      </c>
      <c r="C1" s="3189"/>
      <c r="D1" s="3189"/>
      <c r="E1" s="3189"/>
      <c r="F1" s="3189"/>
      <c r="G1" s="3190"/>
      <c r="H1" s="3190"/>
      <c r="I1" s="3190"/>
      <c r="J1" s="3190"/>
    </row>
    <row r="2" spans="1:10" ht="16.5">
      <c r="A2" s="3180" t="s">
        <v>2817</v>
      </c>
      <c r="B2" s="3180">
        <f>SUM(C14:C23)</f>
        <v>98307</v>
      </c>
      <c r="C2" s="3189"/>
      <c r="D2" s="3189"/>
      <c r="E2" s="3189"/>
      <c r="F2" s="3189"/>
      <c r="G2" s="3190"/>
      <c r="H2" s="3190"/>
      <c r="I2" s="3190"/>
      <c r="J2" s="3190"/>
    </row>
    <row r="3" spans="1:10" ht="16.5">
      <c r="A3" s="3180" t="s">
        <v>2818</v>
      </c>
      <c r="B3" s="3182">
        <f>项目基本情况!D3</f>
        <v>44125</v>
      </c>
      <c r="C3" s="3189"/>
      <c r="D3" s="3189"/>
      <c r="E3" s="3189"/>
      <c r="F3" s="3189"/>
      <c r="G3" s="3190"/>
      <c r="H3" s="3190"/>
      <c r="I3" s="3190"/>
      <c r="J3" s="3190"/>
    </row>
    <row r="4" spans="1:10" ht="33">
      <c r="A4" s="3180" t="s">
        <v>2819</v>
      </c>
      <c r="B4" s="3180" t="s">
        <v>2820</v>
      </c>
      <c r="C4" s="3180" t="s">
        <v>2821</v>
      </c>
      <c r="D4" s="3180" t="s">
        <v>2822</v>
      </c>
      <c r="E4" s="3189"/>
      <c r="F4" s="3189"/>
      <c r="G4" s="3190"/>
      <c r="H4" s="3190"/>
      <c r="I4" s="3190"/>
      <c r="J4" s="3190"/>
    </row>
    <row r="5" spans="1:10" ht="16.5">
      <c r="A5" s="3180" t="s">
        <v>2823</v>
      </c>
      <c r="B5" s="3180">
        <f ca="1">SUM(D14:D23)</f>
        <v>17216</v>
      </c>
      <c r="C5" s="3180">
        <f ca="1">ROUND(B5*10000/$B$1,0)</f>
        <v>876</v>
      </c>
      <c r="D5" s="3180">
        <f ca="1">ROUND(B5*10000/$B$2,0)</f>
        <v>1751</v>
      </c>
      <c r="E5" s="3189"/>
      <c r="F5" s="3189"/>
      <c r="G5" s="3190"/>
      <c r="H5" s="3190"/>
      <c r="I5" s="3190"/>
      <c r="J5" s="3190"/>
    </row>
    <row r="6" spans="1:10" ht="16.5">
      <c r="A6" s="3180" t="s">
        <v>2824</v>
      </c>
      <c r="B6" s="3180">
        <f>SUM(G14:G23)</f>
        <v>0</v>
      </c>
      <c r="C6" s="3180">
        <f t="shared" ref="C6:C8" si="0">ROUND(B6*10000/$B$1,0)</f>
        <v>0</v>
      </c>
      <c r="D6" s="3180">
        <f t="shared" ref="D6:D8" si="1">ROUND(B6*10000/$B$2,0)</f>
        <v>0</v>
      </c>
      <c r="E6" s="3189"/>
      <c r="F6" s="3189"/>
      <c r="G6" s="3190"/>
      <c r="H6" s="3190"/>
      <c r="I6" s="3190"/>
      <c r="J6" s="3190"/>
    </row>
    <row r="7" spans="1:10" ht="16.5">
      <c r="A7" s="3180" t="s">
        <v>2825</v>
      </c>
      <c r="B7" s="3180">
        <f>SUM(H14:H23)</f>
        <v>0</v>
      </c>
      <c r="C7" s="3180">
        <f t="shared" si="0"/>
        <v>0</v>
      </c>
      <c r="D7" s="3180">
        <f t="shared" si="1"/>
        <v>0</v>
      </c>
      <c r="E7" s="3189"/>
      <c r="F7" s="3189"/>
      <c r="G7" s="3190"/>
      <c r="H7" s="3190"/>
      <c r="I7" s="3190"/>
      <c r="J7" s="3190"/>
    </row>
    <row r="8" spans="1:10" ht="16.5">
      <c r="A8" s="3180" t="s">
        <v>2826</v>
      </c>
      <c r="B8" s="3180">
        <f>SUM(I14:I23)</f>
        <v>0</v>
      </c>
      <c r="C8" s="3180">
        <f t="shared" si="0"/>
        <v>0</v>
      </c>
      <c r="D8" s="3180">
        <f t="shared" si="1"/>
        <v>0</v>
      </c>
      <c r="E8" s="3189"/>
      <c r="F8" s="3189"/>
      <c r="G8" s="3190"/>
      <c r="H8" s="3190"/>
      <c r="I8" s="3190"/>
      <c r="J8" s="3190"/>
    </row>
    <row r="9" spans="1:10" ht="16.5">
      <c r="A9" s="3180" t="s">
        <v>2827</v>
      </c>
      <c r="B9" s="3188"/>
      <c r="C9" s="3189"/>
      <c r="D9" s="3189"/>
      <c r="E9" s="3189"/>
      <c r="F9" s="3189"/>
      <c r="G9" s="3190"/>
      <c r="H9" s="3190"/>
      <c r="I9" s="3190"/>
      <c r="J9" s="3190"/>
    </row>
    <row r="10" spans="1:10" ht="16.5">
      <c r="A10" s="3180" t="s">
        <v>2828</v>
      </c>
      <c r="B10" s="3188"/>
      <c r="C10" s="3189"/>
      <c r="D10" s="3189"/>
      <c r="E10" s="3189"/>
      <c r="F10" s="3189"/>
      <c r="G10" s="3190"/>
      <c r="H10" s="3190"/>
      <c r="I10" s="3190"/>
      <c r="J10" s="3190"/>
    </row>
    <row r="11" spans="1:10" ht="16.5">
      <c r="A11" s="3180" t="s">
        <v>2845</v>
      </c>
      <c r="B11" s="3188"/>
      <c r="C11" s="3189"/>
      <c r="D11" s="3189"/>
      <c r="E11" s="3189"/>
      <c r="F11" s="3189"/>
      <c r="G11" s="3190"/>
      <c r="H11" s="3190"/>
      <c r="I11" s="3190"/>
      <c r="J11" s="3190"/>
    </row>
    <row r="12" spans="1:10" ht="16.5">
      <c r="A12" s="3189"/>
      <c r="B12" s="3189"/>
      <c r="C12" s="3189"/>
      <c r="D12" s="3189"/>
      <c r="E12" s="3189"/>
      <c r="F12" s="3189"/>
      <c r="G12" s="3190"/>
      <c r="H12" s="3190"/>
      <c r="I12" s="3190"/>
      <c r="J12" s="3190"/>
    </row>
    <row r="13" spans="1:10" ht="33">
      <c r="A13" s="3183" t="s">
        <v>2844</v>
      </c>
      <c r="B13" s="3184" t="s">
        <v>2816</v>
      </c>
      <c r="C13" s="3184" t="s">
        <v>2817</v>
      </c>
      <c r="D13" s="3184" t="s">
        <v>2829</v>
      </c>
      <c r="E13" s="3180" t="s">
        <v>2843</v>
      </c>
      <c r="F13" s="3180" t="s">
        <v>2822</v>
      </c>
      <c r="G13" s="3184" t="s">
        <v>2830</v>
      </c>
      <c r="H13" s="3184" t="s">
        <v>2831</v>
      </c>
      <c r="I13" s="3184" t="s">
        <v>2832</v>
      </c>
      <c r="J13" s="3190"/>
    </row>
    <row r="14" spans="1:10" ht="16.5">
      <c r="A14" s="3185" t="s">
        <v>2842</v>
      </c>
      <c r="B14" s="3186">
        <f>结果表!L38</f>
        <v>196602</v>
      </c>
      <c r="C14" s="3186">
        <f>结果表!K38</f>
        <v>98307</v>
      </c>
      <c r="D14" s="3186">
        <f ca="1">结果表!C42</f>
        <v>17216</v>
      </c>
      <c r="E14" s="3186">
        <f ca="1">ROUND(D14*10000/B14,0)</f>
        <v>876</v>
      </c>
      <c r="F14" s="3186">
        <f ca="1">ROUND(D14*10000/C14,0)</f>
        <v>1751</v>
      </c>
      <c r="G14" s="3186" t="str">
        <f>结果表!C44</f>
        <v>——</v>
      </c>
      <c r="H14" s="3186" t="str">
        <f>结果表!C45</f>
        <v>——</v>
      </c>
      <c r="I14" s="3186" t="str">
        <f>结果表!C46</f>
        <v>——</v>
      </c>
      <c r="J14" s="3190"/>
    </row>
    <row r="15" spans="1:10" ht="16.5">
      <c r="A15" s="3185" t="s">
        <v>2833</v>
      </c>
      <c r="B15" s="3187"/>
      <c r="C15" s="3187"/>
      <c r="D15" s="3187"/>
      <c r="E15" s="3186" t="e">
        <f t="shared" ref="E15:E23" si="2">ROUND(D15*10000/B15,0)</f>
        <v>#DIV/0!</v>
      </c>
      <c r="F15" s="3186" t="e">
        <f t="shared" ref="F15:F23" si="3">ROUND(D15*10000/C15,0)</f>
        <v>#DIV/0!</v>
      </c>
      <c r="G15" s="2754"/>
      <c r="H15" s="2754"/>
      <c r="I15" s="3187"/>
      <c r="J15" s="3190"/>
    </row>
    <row r="16" spans="1:10" ht="16.5">
      <c r="A16" s="3185" t="s">
        <v>2834</v>
      </c>
      <c r="B16" s="3187"/>
      <c r="C16" s="3187"/>
      <c r="D16" s="3187"/>
      <c r="E16" s="3186" t="e">
        <f t="shared" si="2"/>
        <v>#DIV/0!</v>
      </c>
      <c r="F16" s="3186" t="e">
        <f t="shared" si="3"/>
        <v>#DIV/0!</v>
      </c>
      <c r="G16" s="2754"/>
      <c r="H16" s="2754"/>
      <c r="I16" s="3187"/>
      <c r="J16" s="3190"/>
    </row>
    <row r="17" spans="1:10" ht="16.5">
      <c r="A17" s="3185" t="s">
        <v>2835</v>
      </c>
      <c r="B17" s="3187"/>
      <c r="C17" s="3187"/>
      <c r="D17" s="3187"/>
      <c r="E17" s="3186" t="e">
        <f t="shared" si="2"/>
        <v>#DIV/0!</v>
      </c>
      <c r="F17" s="3186" t="e">
        <f t="shared" si="3"/>
        <v>#DIV/0!</v>
      </c>
      <c r="G17" s="2754"/>
      <c r="H17" s="2754"/>
      <c r="I17" s="3187"/>
      <c r="J17" s="3190"/>
    </row>
    <row r="18" spans="1:10" ht="16.5">
      <c r="A18" s="3185" t="s">
        <v>2836</v>
      </c>
      <c r="B18" s="3187"/>
      <c r="C18" s="3187"/>
      <c r="D18" s="3187"/>
      <c r="E18" s="3186" t="e">
        <f t="shared" si="2"/>
        <v>#DIV/0!</v>
      </c>
      <c r="F18" s="3186" t="e">
        <f t="shared" si="3"/>
        <v>#DIV/0!</v>
      </c>
      <c r="G18" s="3187"/>
      <c r="H18" s="3187"/>
      <c r="I18" s="3187"/>
      <c r="J18" s="3190"/>
    </row>
    <row r="19" spans="1:10" ht="16.5">
      <c r="A19" s="3185" t="s">
        <v>2837</v>
      </c>
      <c r="B19" s="3187"/>
      <c r="C19" s="3187"/>
      <c r="D19" s="3187"/>
      <c r="E19" s="3186" t="e">
        <f t="shared" si="2"/>
        <v>#DIV/0!</v>
      </c>
      <c r="F19" s="3186" t="e">
        <f t="shared" si="3"/>
        <v>#DIV/0!</v>
      </c>
      <c r="G19" s="3187"/>
      <c r="H19" s="3187"/>
      <c r="I19" s="3187"/>
      <c r="J19" s="3190"/>
    </row>
    <row r="20" spans="1:10" ht="16.5">
      <c r="A20" s="3185" t="s">
        <v>2838</v>
      </c>
      <c r="B20" s="3187"/>
      <c r="C20" s="3187"/>
      <c r="D20" s="3187"/>
      <c r="E20" s="3186" t="e">
        <f t="shared" si="2"/>
        <v>#DIV/0!</v>
      </c>
      <c r="F20" s="3186" t="e">
        <f t="shared" si="3"/>
        <v>#DIV/0!</v>
      </c>
      <c r="G20" s="3187"/>
      <c r="H20" s="3187"/>
      <c r="I20" s="3187"/>
      <c r="J20" s="3190"/>
    </row>
    <row r="21" spans="1:10" ht="16.5">
      <c r="A21" s="3185" t="s">
        <v>2839</v>
      </c>
      <c r="B21" s="3187"/>
      <c r="C21" s="3187"/>
      <c r="D21" s="3187"/>
      <c r="E21" s="3186" t="e">
        <f t="shared" si="2"/>
        <v>#DIV/0!</v>
      </c>
      <c r="F21" s="3186" t="e">
        <f t="shared" si="3"/>
        <v>#DIV/0!</v>
      </c>
      <c r="G21" s="3187"/>
      <c r="H21" s="3187"/>
      <c r="I21" s="3187"/>
      <c r="J21" s="3190"/>
    </row>
    <row r="22" spans="1:10" ht="16.5">
      <c r="A22" s="3185" t="s">
        <v>2840</v>
      </c>
      <c r="B22" s="3187"/>
      <c r="C22" s="3187"/>
      <c r="D22" s="3187"/>
      <c r="E22" s="3186" t="e">
        <f t="shared" si="2"/>
        <v>#DIV/0!</v>
      </c>
      <c r="F22" s="3186" t="e">
        <f t="shared" si="3"/>
        <v>#DIV/0!</v>
      </c>
      <c r="G22" s="3187"/>
      <c r="H22" s="3187"/>
      <c r="I22" s="3187"/>
      <c r="J22" s="3190"/>
    </row>
    <row r="23" spans="1:10" ht="16.5">
      <c r="A23" s="3185" t="s">
        <v>2841</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5" customWidth="1"/>
    <col min="2" max="3" width="21.375" style="1715" customWidth="1"/>
    <col min="4" max="4" width="19.875" style="1715" customWidth="1"/>
    <col min="5" max="16384" width="9" style="1715"/>
  </cols>
  <sheetData>
    <row r="1" spans="1:4">
      <c r="A1" s="3420" t="s">
        <v>2053</v>
      </c>
      <c r="B1" s="3420"/>
      <c r="C1" s="3420"/>
      <c r="D1" s="3420"/>
    </row>
    <row r="2" spans="1:4" ht="47.25" customHeight="1">
      <c r="A2" s="3421" t="str">
        <f>"1.权利限制："&amp;项目基本情况!L24&amp;"未设定租赁等其他他项权利。"</f>
        <v>1.权利限制：根据估价对象《不动产权证书》原件、《国有土地使用权》复印件，截至估价期日，估价对象抵押权未见登记。未设定租赁等其他他项权利。</v>
      </c>
      <c r="B2" s="3421"/>
      <c r="C2" s="3421"/>
      <c r="D2" s="3421"/>
    </row>
    <row r="3" spans="1:4" ht="48" customHeight="1">
      <c r="A3" s="34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0"/>
      <c r="C3" s="3420"/>
      <c r="D3" s="3420"/>
    </row>
    <row r="4" spans="1:4" ht="36.75" customHeight="1">
      <c r="A4" s="3420" t="str">
        <f>"3.估价规划限制条件：详见"&amp;项目基本情况!E21&amp;"。"</f>
        <v>3.估价规划限制条件：详见《建设工程规划许可证》[]、《出让合同》[]。</v>
      </c>
      <c r="B4" s="3420"/>
      <c r="C4" s="3420"/>
      <c r="D4" s="3420"/>
    </row>
    <row r="5" spans="1:4">
      <c r="A5" s="3419" t="s">
        <v>2054</v>
      </c>
      <c r="B5" s="3419"/>
      <c r="C5" s="3419"/>
      <c r="D5" s="3419"/>
    </row>
    <row r="6" spans="1:4">
      <c r="A6" s="3420" t="s">
        <v>2032</v>
      </c>
      <c r="B6" s="3420"/>
      <c r="C6" s="3420"/>
      <c r="D6" s="3420"/>
    </row>
    <row r="7" spans="1:4" ht="33" customHeight="1">
      <c r="A7" s="3420" t="s">
        <v>2548</v>
      </c>
      <c r="B7" s="3420"/>
      <c r="C7" s="3420"/>
      <c r="D7" s="3420"/>
    </row>
    <row r="8" spans="1:4" ht="32.25" customHeight="1">
      <c r="A8" s="34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0"/>
      <c r="C8" s="3420"/>
      <c r="D8" s="3420"/>
    </row>
    <row r="9" spans="1:4" ht="33.75" customHeight="1">
      <c r="A9" s="3420" t="str">
        <f>IF(项目基本情况!B8="抵押","3.抵押双方在办理抵押登记手续时，应使用本公司出具的正式《土地估价报告》，特提请报告使用者注意。","——")</f>
        <v>——</v>
      </c>
      <c r="B9" s="3420"/>
      <c r="C9" s="3420"/>
      <c r="D9" s="3420"/>
    </row>
    <row r="10" spans="1:4">
      <c r="A10" s="3420" t="str">
        <f>IF(项目基本情况!B8="抵押","4.估价师所知悉的法定优先受偿款情况为：","——")</f>
        <v>——</v>
      </c>
      <c r="B10" s="3420"/>
      <c r="C10" s="3420"/>
      <c r="D10" s="3420"/>
    </row>
    <row r="11" spans="1:4" ht="37.5" customHeight="1">
      <c r="A11" s="3422" t="str">
        <f>IF(项目基本情况!B8="抵押","（1）"&amp;CONCATENATE(项目基本情况!L24,项目基本情况!L25,项目基本情况!L26),"——")</f>
        <v>——</v>
      </c>
      <c r="B11" s="3422"/>
      <c r="C11" s="3422"/>
      <c r="D11" s="3422"/>
    </row>
    <row r="12" spans="1:4" ht="168" customHeight="1">
      <c r="A12" s="3419" t="s">
        <v>2056</v>
      </c>
      <c r="B12" s="3419"/>
      <c r="C12" s="3419"/>
      <c r="D12" s="3419"/>
    </row>
    <row r="13" spans="1:4">
      <c r="A13" s="3423" t="s">
        <v>2719</v>
      </c>
      <c r="B13" s="3423"/>
      <c r="C13" s="3423"/>
      <c r="D13" s="3423"/>
    </row>
    <row r="14" spans="1:4">
      <c r="A14" s="3422" t="str">
        <f>IF(项目基本情况!B8="抵押","综上，"&amp;结果表!K47,"——")</f>
        <v>——</v>
      </c>
      <c r="B14" s="3422"/>
      <c r="C14" s="3422"/>
      <c r="D14" s="3422"/>
    </row>
    <row r="15" spans="1:4" ht="58.5" customHeight="1">
      <c r="A15" s="34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0"/>
      <c r="C15" s="3420"/>
      <c r="D15" s="3420"/>
    </row>
    <row r="16" spans="1:4" ht="70.5" customHeight="1">
      <c r="A16" s="34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0"/>
      <c r="C16" s="3420"/>
      <c r="D16" s="3420"/>
    </row>
    <row r="17" spans="1:4">
      <c r="A17" s="3420" t="s">
        <v>2675</v>
      </c>
      <c r="B17" s="3420"/>
      <c r="C17" s="3420"/>
      <c r="D17" s="3420"/>
    </row>
    <row r="18" spans="1:4">
      <c r="A18" s="3420" t="s">
        <v>2667</v>
      </c>
      <c r="B18" s="3420"/>
      <c r="C18" s="3420"/>
      <c r="D18" s="3420"/>
    </row>
    <row r="19" spans="1:4">
      <c r="A19" s="2582" t="s">
        <v>2668</v>
      </c>
      <c r="B19" s="2582" t="s">
        <v>2669</v>
      </c>
      <c r="C19" s="2582" t="s">
        <v>2670</v>
      </c>
      <c r="D19" s="2582" t="s">
        <v>2671</v>
      </c>
    </row>
    <row r="20" spans="1:4">
      <c r="A20" s="2582" t="str">
        <f>项目基本情况!B4</f>
        <v>土地估价师</v>
      </c>
      <c r="B20" s="2582">
        <f>项目基本情况!C4</f>
        <v>0</v>
      </c>
      <c r="C20" s="2584"/>
      <c r="D20" s="1713" t="s">
        <v>2676</v>
      </c>
    </row>
    <row r="21" spans="1:4">
      <c r="A21" s="2582" t="str">
        <f>项目基本情况!D4</f>
        <v>土地估价师</v>
      </c>
      <c r="B21" s="2582">
        <f>项目基本情况!E4</f>
        <v>0</v>
      </c>
      <c r="C21" s="2584"/>
      <c r="D21" s="1713" t="s">
        <v>2677</v>
      </c>
    </row>
    <row r="23" spans="1:4">
      <c r="A23" s="3420" t="s">
        <v>2672</v>
      </c>
      <c r="B23" s="3420"/>
      <c r="C23" s="3420"/>
      <c r="D23" s="3420"/>
    </row>
    <row r="24" spans="1:4">
      <c r="A24" s="2582" t="s">
        <v>2668</v>
      </c>
      <c r="B24" s="2582" t="s">
        <v>2673</v>
      </c>
      <c r="C24" s="2582" t="s">
        <v>2670</v>
      </c>
      <c r="D24" s="2582" t="s">
        <v>2671</v>
      </c>
    </row>
    <row r="25" spans="1:4">
      <c r="A25" s="2585" t="s">
        <v>2674</v>
      </c>
      <c r="B25" s="2582" t="s">
        <v>943</v>
      </c>
      <c r="C25" s="2584"/>
      <c r="D25" s="1713" t="s">
        <v>2677</v>
      </c>
    </row>
    <row r="29" spans="1:4">
      <c r="D29" s="2583" t="s">
        <v>2027</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431" t="s">
        <v>53</v>
      </c>
      <c r="B15" s="3432" t="s">
        <v>838</v>
      </c>
      <c r="C15" s="3428"/>
    </row>
    <row r="16" spans="1:7" ht="14.25">
      <c r="A16" s="3431"/>
      <c r="B16" s="3429" t="s">
        <v>54</v>
      </c>
      <c r="C16" s="1153" t="s">
        <v>53</v>
      </c>
    </row>
    <row r="17" spans="1:3" ht="14.25">
      <c r="A17" s="3431"/>
      <c r="B17" s="3429"/>
      <c r="C17" s="1153" t="s">
        <v>55</v>
      </c>
    </row>
    <row r="18" spans="1:3" ht="14.25">
      <c r="A18" s="3431"/>
      <c r="B18" s="3429"/>
      <c r="C18" s="1153" t="s">
        <v>56</v>
      </c>
    </row>
    <row r="19" spans="1:3" ht="14.25">
      <c r="A19" s="3431"/>
      <c r="B19" s="3427" t="s">
        <v>57</v>
      </c>
      <c r="C19" s="3428"/>
    </row>
    <row r="20" spans="1:3" ht="14.25">
      <c r="A20" s="1154" t="s">
        <v>58</v>
      </c>
      <c r="B20" s="1155"/>
      <c r="C20" s="1156"/>
    </row>
    <row r="21" spans="1:3" ht="14.25">
      <c r="A21" s="3430" t="s">
        <v>59</v>
      </c>
      <c r="B21" s="3427" t="s">
        <v>60</v>
      </c>
      <c r="C21" s="3428"/>
    </row>
    <row r="22" spans="1:3" ht="14.25">
      <c r="A22" s="3430"/>
      <c r="B22" s="3427" t="s">
        <v>61</v>
      </c>
      <c r="C22" s="3428"/>
    </row>
    <row r="23" spans="1:3" ht="14.25">
      <c r="A23" s="3430"/>
      <c r="B23" s="3427" t="s">
        <v>62</v>
      </c>
      <c r="C23" s="3428"/>
    </row>
    <row r="24" spans="1:3" ht="14.25">
      <c r="A24" s="3430"/>
      <c r="B24" s="3433" t="s">
        <v>63</v>
      </c>
      <c r="C24" s="1157" t="s">
        <v>829</v>
      </c>
    </row>
    <row r="25" spans="1:3" ht="14.25">
      <c r="A25" s="3430"/>
      <c r="B25" s="3434"/>
      <c r="C25" s="1157" t="s">
        <v>830</v>
      </c>
    </row>
    <row r="26" spans="1:3" ht="14.25">
      <c r="A26" s="3430"/>
      <c r="B26" s="3434"/>
      <c r="C26" s="1157" t="s">
        <v>831</v>
      </c>
    </row>
    <row r="27" spans="1:3" ht="14.25">
      <c r="A27" s="3430"/>
      <c r="B27" s="3434"/>
      <c r="C27" s="1157" t="s">
        <v>832</v>
      </c>
    </row>
    <row r="28" spans="1:3" ht="14.25">
      <c r="A28" s="3430"/>
      <c r="B28" s="3434"/>
      <c r="C28" s="1157" t="s">
        <v>833</v>
      </c>
    </row>
    <row r="29" spans="1:3" ht="14.25">
      <c r="A29" s="3430"/>
      <c r="B29" s="3434"/>
      <c r="C29" s="1157" t="s">
        <v>834</v>
      </c>
    </row>
    <row r="30" spans="1:3" ht="14.25">
      <c r="A30" s="3430"/>
      <c r="B30" s="3434"/>
      <c r="C30" s="1157" t="s">
        <v>835</v>
      </c>
    </row>
    <row r="31" spans="1:3" ht="14.25">
      <c r="A31" s="3430"/>
      <c r="B31" s="3434"/>
      <c r="C31" s="1157" t="s">
        <v>836</v>
      </c>
    </row>
    <row r="32" spans="1:3" ht="14.25">
      <c r="A32" s="3430"/>
      <c r="B32" s="3434"/>
      <c r="C32" s="1157" t="s">
        <v>1637</v>
      </c>
    </row>
    <row r="33" spans="1:3" ht="14.25">
      <c r="A33" s="3430"/>
      <c r="B33" s="3424" t="s">
        <v>1643</v>
      </c>
      <c r="C33" s="1157" t="s">
        <v>1638</v>
      </c>
    </row>
    <row r="34" spans="1:3" ht="14.25">
      <c r="A34" s="3430"/>
      <c r="B34" s="3425"/>
      <c r="C34" s="1162" t="s">
        <v>1639</v>
      </c>
    </row>
    <row r="35" spans="1:3" ht="14.25">
      <c r="A35" s="3430"/>
      <c r="B35" s="3425"/>
      <c r="C35" s="1163" t="s">
        <v>1640</v>
      </c>
    </row>
    <row r="36" spans="1:3" ht="14.25">
      <c r="A36" s="3430"/>
      <c r="B36" s="3425"/>
      <c r="C36" s="1163" t="s">
        <v>1641</v>
      </c>
    </row>
    <row r="37" spans="1:3" ht="14.25">
      <c r="A37" s="3430"/>
      <c r="B37" s="3426"/>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1897</v>
      </c>
      <c r="B2" s="3024">
        <f ca="1">TODAY()</f>
        <v>44364</v>
      </c>
      <c r="C2" s="3025" t="s">
        <v>1898</v>
      </c>
      <c r="D2" s="3025"/>
      <c r="E2" s="3022"/>
      <c r="F2" s="3022"/>
      <c r="G2" s="3022"/>
    </row>
    <row r="3" spans="1:7" ht="20.25" customHeight="1">
      <c r="A3" s="3046" t="s">
        <v>1899</v>
      </c>
      <c r="B3" s="3027" t="s">
        <v>1900</v>
      </c>
      <c r="C3" s="3028" t="s">
        <v>1901</v>
      </c>
      <c r="D3" s="3047" t="s">
        <v>1902</v>
      </c>
      <c r="E3" s="3027" t="s">
        <v>1903</v>
      </c>
      <c r="F3" s="3027" t="s">
        <v>1901</v>
      </c>
      <c r="G3" s="3022"/>
    </row>
    <row r="4" spans="1:7" ht="20.25" customHeight="1">
      <c r="A4" s="3027" t="s">
        <v>1904</v>
      </c>
      <c r="B4" s="3027">
        <f ca="1">IF(C4&lt;B2,"已过期",1119970066)</f>
        <v>1119970066</v>
      </c>
      <c r="C4" s="3030">
        <v>44876</v>
      </c>
      <c r="D4" s="3038" t="s">
        <v>1904</v>
      </c>
      <c r="E4" s="3027">
        <f ca="1">IF(F4&lt;B2,"已过期",96010014)</f>
        <v>96010014</v>
      </c>
      <c r="F4" s="3029">
        <v>47118</v>
      </c>
      <c r="G4" s="3022"/>
    </row>
    <row r="5" spans="1:7" ht="20.25" customHeight="1">
      <c r="A5" s="3027" t="s">
        <v>1905</v>
      </c>
      <c r="B5" s="3027">
        <f ca="1">IF(C5&lt;B2,"已过期",1119970111)</f>
        <v>1119970111</v>
      </c>
      <c r="C5" s="3030">
        <v>44876</v>
      </c>
      <c r="D5" s="3038" t="s">
        <v>1905</v>
      </c>
      <c r="E5" s="3027">
        <f ca="1">IF(F5&lt;B2,"已过期",94010078)</f>
        <v>94010078</v>
      </c>
      <c r="F5" s="3029">
        <v>46387</v>
      </c>
      <c r="G5" s="3022"/>
    </row>
    <row r="6" spans="1:7" ht="20.25" customHeight="1">
      <c r="A6" s="3027" t="s">
        <v>1906</v>
      </c>
      <c r="B6" s="3027">
        <f ca="1">IF(C6&lt;B2,"已过期",1120050019)</f>
        <v>1120050019</v>
      </c>
      <c r="C6" s="3030">
        <v>44395</v>
      </c>
      <c r="D6" s="3038" t="s">
        <v>1906</v>
      </c>
      <c r="E6" s="3027">
        <f ca="1">IF(F6&lt;B2,"已过期",2002110030)</f>
        <v>2002110030</v>
      </c>
      <c r="F6" s="3029">
        <v>46387</v>
      </c>
      <c r="G6" s="3022"/>
    </row>
    <row r="7" spans="1:7" ht="20.25" customHeight="1">
      <c r="A7" s="3027" t="s">
        <v>1907</v>
      </c>
      <c r="B7" s="3027">
        <f ca="1">IF(C7&lt;B2,"已过期",1120000080)</f>
        <v>1120000080</v>
      </c>
      <c r="C7" s="3030">
        <v>44876</v>
      </c>
      <c r="D7" s="3038" t="s">
        <v>1907</v>
      </c>
      <c r="E7" s="3027">
        <f ca="1">IF(F7&lt;B2,"已过期",2000110082)</f>
        <v>2000110082</v>
      </c>
      <c r="F7" s="3029">
        <v>46387</v>
      </c>
      <c r="G7" s="3022"/>
    </row>
    <row r="8" spans="1:7" ht="20.25" customHeight="1">
      <c r="A8" s="3027" t="s">
        <v>1908</v>
      </c>
      <c r="B8" s="3027">
        <f ca="1">IF(C8&lt;B2,"已过期",1419970001)</f>
        <v>1419970001</v>
      </c>
      <c r="C8" s="3030">
        <v>44899</v>
      </c>
      <c r="D8" s="3038" t="s">
        <v>1908</v>
      </c>
      <c r="E8" s="3027">
        <f ca="1">IF(F8&lt;B2,"已过期",2002110125)</f>
        <v>2002110125</v>
      </c>
      <c r="F8" s="3029">
        <v>47118</v>
      </c>
      <c r="G8" s="3022"/>
    </row>
    <row r="9" spans="1:7" ht="20.25" customHeight="1">
      <c r="A9" s="3027" t="s">
        <v>1909</v>
      </c>
      <c r="B9" s="3027">
        <f ca="1">IF(C9&lt;B2,"已过期",1120060040)</f>
        <v>1120060040</v>
      </c>
      <c r="C9" s="3030">
        <v>44554</v>
      </c>
      <c r="D9" s="3038" t="s">
        <v>1909</v>
      </c>
      <c r="E9" s="3027">
        <f ca="1">IF(F9&lt;B2,"已过期",2004110096)</f>
        <v>2004110096</v>
      </c>
      <c r="F9" s="3029">
        <v>47118</v>
      </c>
      <c r="G9" s="3022"/>
    </row>
    <row r="10" spans="1:7" ht="20.25" customHeight="1">
      <c r="A10" s="3027" t="s">
        <v>1910</v>
      </c>
      <c r="B10" s="3027">
        <f ca="1">IF(C10&lt;B2,"已过期",1120100036)</f>
        <v>1120100036</v>
      </c>
      <c r="C10" s="3030">
        <v>44675</v>
      </c>
      <c r="D10" s="3038" t="s">
        <v>1910</v>
      </c>
      <c r="E10" s="3027">
        <f ca="1">IF(F10&lt;B2,"已过期",2010110070)</f>
        <v>2010110070</v>
      </c>
      <c r="F10" s="3029">
        <v>47907</v>
      </c>
      <c r="G10" s="3022"/>
    </row>
    <row r="11" spans="1:7" ht="20.25" customHeight="1">
      <c r="A11" s="3027" t="s">
        <v>1911</v>
      </c>
      <c r="B11" s="3027">
        <f ca="1">IF(C11&lt;B2,"已过期",1120070131)</f>
        <v>1120070131</v>
      </c>
      <c r="C11" s="3030">
        <v>44849</v>
      </c>
      <c r="D11" s="3038" t="s">
        <v>1911</v>
      </c>
      <c r="E11" s="3027">
        <f ca="1">IF(F11&lt;B2,"已过期",2014110011)</f>
        <v>2014110011</v>
      </c>
      <c r="F11" s="3029">
        <v>49302</v>
      </c>
      <c r="G11" s="3022"/>
    </row>
    <row r="12" spans="1:7" ht="20.25" customHeight="1">
      <c r="A12" s="3027" t="s">
        <v>2934</v>
      </c>
      <c r="B12" s="3027">
        <f ca="1">IF(C12&lt;B2,"已过期",1120040230)</f>
        <v>1120040230</v>
      </c>
      <c r="C12" s="3030">
        <v>44864</v>
      </c>
      <c r="D12" s="3038" t="s">
        <v>2935</v>
      </c>
      <c r="E12" s="3027">
        <f ca="1">IF(F12&lt;B2,"已过期",98030020)</f>
        <v>98030020</v>
      </c>
      <c r="F12" s="3029">
        <v>47118</v>
      </c>
      <c r="G12" s="3022"/>
    </row>
    <row r="13" spans="1:7" ht="20.25" customHeight="1">
      <c r="A13" s="3027"/>
      <c r="B13" s="3027"/>
      <c r="C13" s="3030"/>
      <c r="D13" s="3038" t="s">
        <v>1912</v>
      </c>
      <c r="E13" s="3027">
        <f ca="1">IF(F13&lt;B2,"已过期",2011110090)</f>
        <v>2011110090</v>
      </c>
      <c r="F13" s="3029">
        <v>48302</v>
      </c>
      <c r="G13" s="3022"/>
    </row>
    <row r="14" spans="1:7" ht="20.25" customHeight="1">
      <c r="A14" s="3027" t="s">
        <v>1913</v>
      </c>
      <c r="B14" s="3027" t="str">
        <f ca="1">IF(C14&lt;B2,"已过期",1120020033)</f>
        <v>已过期</v>
      </c>
      <c r="C14" s="3030">
        <v>44339</v>
      </c>
      <c r="D14" s="3038" t="s">
        <v>1913</v>
      </c>
      <c r="E14" s="3027">
        <f ca="1">IF(F14&lt;B2,"已过期",2000110137)</f>
        <v>2000110137</v>
      </c>
      <c r="F14" s="3029">
        <v>46387</v>
      </c>
      <c r="G14" s="3022"/>
    </row>
    <row r="15" spans="1:7" ht="20.25" customHeight="1">
      <c r="A15" s="3027" t="s">
        <v>2946</v>
      </c>
      <c r="B15" s="3027" t="str">
        <f ca="1">IF(C14&lt;B2,"已过期",1119980106)</f>
        <v>已过期</v>
      </c>
      <c r="C15" s="3030">
        <v>44969</v>
      </c>
      <c r="D15" s="3038"/>
      <c r="E15" s="3027"/>
      <c r="F15" s="3027"/>
      <c r="G15" s="3022"/>
    </row>
    <row r="16" spans="1:7" s="2828" customFormat="1" ht="20.25" customHeight="1">
      <c r="A16" s="3026" t="s">
        <v>2041</v>
      </c>
      <c r="B16" s="3026" t="s">
        <v>2041</v>
      </c>
      <c r="C16" s="3030"/>
      <c r="D16" s="3039" t="s">
        <v>2041</v>
      </c>
      <c r="E16" s="3027" t="s">
        <v>2041</v>
      </c>
      <c r="F16" s="3029"/>
      <c r="G16" s="3031"/>
    </row>
    <row r="17" spans="1:7" ht="20.25" customHeight="1">
      <c r="A17" s="3438" t="s">
        <v>1914</v>
      </c>
      <c r="B17" s="3439"/>
      <c r="C17" s="3439"/>
      <c r="D17" s="3439"/>
      <c r="E17" s="3439"/>
      <c r="F17" s="3439"/>
      <c r="G17" s="3031"/>
    </row>
    <row r="18" spans="1:7" ht="20.25" customHeight="1">
      <c r="A18" s="3435" t="s">
        <v>1915</v>
      </c>
      <c r="B18" s="3435"/>
      <c r="C18" s="3436"/>
      <c r="D18" s="3437" t="s">
        <v>1916</v>
      </c>
      <c r="E18" s="3435"/>
      <c r="F18" s="3435"/>
      <c r="G18" s="3031"/>
    </row>
    <row r="19" spans="1:7" s="2826" customFormat="1" ht="20.25" customHeight="1">
      <c r="A19" s="3032" t="s">
        <v>1917</v>
      </c>
      <c r="B19" s="3033" t="s">
        <v>1918</v>
      </c>
      <c r="C19" s="3040" t="s">
        <v>1919</v>
      </c>
      <c r="D19" s="3038" t="s">
        <v>1917</v>
      </c>
      <c r="E19" s="3033" t="s">
        <v>1918</v>
      </c>
      <c r="F19" s="3033" t="s">
        <v>1919</v>
      </c>
      <c r="G19" s="3023"/>
    </row>
    <row r="20" spans="1:7" s="2826" customFormat="1" ht="20.25" customHeight="1">
      <c r="A20" s="3034" t="s">
        <v>1920</v>
      </c>
      <c r="B20" s="3034" t="s">
        <v>1921</v>
      </c>
      <c r="C20" s="3041">
        <v>44820</v>
      </c>
      <c r="D20" s="3043" t="s">
        <v>1922</v>
      </c>
      <c r="E20" s="3034" t="s">
        <v>1923</v>
      </c>
      <c r="F20" s="3035">
        <v>44377</v>
      </c>
      <c r="G20" s="3023"/>
    </row>
    <row r="21" spans="1:7" s="2826" customFormat="1" ht="20.25" customHeight="1">
      <c r="A21" s="3034"/>
      <c r="B21" s="3034"/>
      <c r="C21" s="3042"/>
      <c r="D21" s="3043" t="s">
        <v>1924</v>
      </c>
      <c r="E21" s="3034" t="s">
        <v>2945</v>
      </c>
      <c r="F21" s="3035">
        <v>44012</v>
      </c>
      <c r="G21" s="3023"/>
    </row>
    <row r="22" spans="1:7" ht="20.25" customHeight="1">
      <c r="A22" s="3022"/>
      <c r="B22" s="3022"/>
      <c r="C22" s="3036"/>
      <c r="D22" s="3044"/>
      <c r="E22" s="3045"/>
      <c r="F22" s="3037" t="s">
        <v>2959</v>
      </c>
      <c r="G22" s="3022"/>
    </row>
  </sheetData>
  <sheetProtection password="CEE9" sheet="1" objects="1" scenarios="1"/>
  <mergeCells count="3">
    <mergeCell ref="A18:C18"/>
    <mergeCell ref="D18:F18"/>
    <mergeCell ref="A17:F17"/>
  </mergeCells>
  <phoneticPr fontId="4" type="noConversion"/>
  <conditionalFormatting sqref="C16:D16 C5 C12:C13">
    <cfRule type="expression" dxfId="265" priority="149">
      <formula>AND($C5-TODAY()&lt;30,TODAY()&lt;$C5)</formula>
    </cfRule>
  </conditionalFormatting>
  <conditionalFormatting sqref="C20">
    <cfRule type="expression" dxfId="264" priority="148">
      <formula>AND($C20-TODAY()&lt;30,TODAY()&lt;$C20)</formula>
    </cfRule>
  </conditionalFormatting>
  <conditionalFormatting sqref="C20 F4 C5 C13">
    <cfRule type="cellIs" dxfId="263" priority="150" stopIfTrue="1" operator="lessThan">
      <formula>$B$2</formula>
    </cfRule>
  </conditionalFormatting>
  <conditionalFormatting sqref="F5 F7 F9">
    <cfRule type="cellIs" dxfId="262" priority="144" stopIfTrue="1" operator="lessThan">
      <formula>$B$2</formula>
    </cfRule>
  </conditionalFormatting>
  <conditionalFormatting sqref="C16:D16">
    <cfRule type="expression" dxfId="261" priority="142">
      <formula>AND($C16-TODAY()&lt;30,TODAY()&lt;$C16)</formula>
    </cfRule>
  </conditionalFormatting>
  <conditionalFormatting sqref="F6 F8 F10 C16:D16">
    <cfRule type="cellIs" dxfId="260" priority="143" stopIfTrue="1" operator="lessThan">
      <formula>$B$2</formula>
    </cfRule>
  </conditionalFormatting>
  <conditionalFormatting sqref="F14">
    <cfRule type="cellIs" dxfId="259" priority="114" stopIfTrue="1" operator="lessThan">
      <formula>$B$2</formula>
    </cfRule>
  </conditionalFormatting>
  <conditionalFormatting sqref="F13">
    <cfRule type="cellIs" dxfId="258" priority="113" stopIfTrue="1" operator="lessThan">
      <formula>$B$2</formula>
    </cfRule>
  </conditionalFormatting>
  <conditionalFormatting sqref="B4:B11 E4:E11 E13:E15 B13:B15">
    <cfRule type="cellIs" dxfId="257" priority="111" stopIfTrue="1" operator="equal">
      <formula>"已过期"</formula>
    </cfRule>
  </conditionalFormatting>
  <conditionalFormatting sqref="F20">
    <cfRule type="cellIs" dxfId="256" priority="108" stopIfTrue="1" operator="lessThan">
      <formula>$B$2</formula>
    </cfRule>
  </conditionalFormatting>
  <conditionalFormatting sqref="F20">
    <cfRule type="expression" dxfId="255" priority="152">
      <formula>AND($E20-TODAY()&lt;30,TODAY()&lt;$E20)</formula>
    </cfRule>
  </conditionalFormatting>
  <conditionalFormatting sqref="C6">
    <cfRule type="expression" dxfId="254" priority="82">
      <formula>AND($C6-TODAY()&lt;30,TODAY()&lt;$C6)</formula>
    </cfRule>
  </conditionalFormatting>
  <conditionalFormatting sqref="C6">
    <cfRule type="cellIs" dxfId="253" priority="83" stopIfTrue="1" operator="lessThan">
      <formula>$B$2</formula>
    </cfRule>
  </conditionalFormatting>
  <conditionalFormatting sqref="C11 C15">
    <cfRule type="expression" dxfId="252" priority="80">
      <formula>AND($C11-TODAY()&lt;30,TODAY()&lt;$C11)</formula>
    </cfRule>
  </conditionalFormatting>
  <conditionalFormatting sqref="C11 C15">
    <cfRule type="cellIs" dxfId="251" priority="81" stopIfTrue="1" operator="lessThan">
      <formula>$B$2</formula>
    </cfRule>
  </conditionalFormatting>
  <conditionalFormatting sqref="F11">
    <cfRule type="cellIs" dxfId="250" priority="79" stopIfTrue="1" operator="lessThan">
      <formula>$B$2</formula>
    </cfRule>
  </conditionalFormatting>
  <conditionalFormatting sqref="C14">
    <cfRule type="expression" dxfId="249" priority="60">
      <formula>AND($C14-TODAY()&lt;30,TODAY()&lt;$C14)</formula>
    </cfRule>
  </conditionalFormatting>
  <conditionalFormatting sqref="C14">
    <cfRule type="cellIs" dxfId="248" priority="61" stopIfTrue="1" operator="lessThan">
      <formula>$B$2</formula>
    </cfRule>
  </conditionalFormatting>
  <conditionalFormatting sqref="C12">
    <cfRule type="cellIs" dxfId="247" priority="54" stopIfTrue="1" operator="lessThan">
      <formula>$B$2</formula>
    </cfRule>
  </conditionalFormatting>
  <conditionalFormatting sqref="C12">
    <cfRule type="expression" dxfId="246" priority="51">
      <formula>AND($C12-TODAY()&lt;30,TODAY()&lt;$C12)</formula>
    </cfRule>
  </conditionalFormatting>
  <conditionalFormatting sqref="C12">
    <cfRule type="cellIs" dxfId="245" priority="52" stopIfTrue="1" operator="lessThan">
      <formula>$B$2</formula>
    </cfRule>
  </conditionalFormatting>
  <conditionalFormatting sqref="B12">
    <cfRule type="cellIs" dxfId="244" priority="48" stopIfTrue="1" operator="equal">
      <formula>"已过期"</formula>
    </cfRule>
  </conditionalFormatting>
  <conditionalFormatting sqref="E12">
    <cfRule type="cellIs" dxfId="243" priority="38" stopIfTrue="1" operator="equal">
      <formula>"已过期"</formula>
    </cfRule>
  </conditionalFormatting>
  <conditionalFormatting sqref="F12">
    <cfRule type="cellIs" dxfId="242" priority="37" stopIfTrue="1" operator="lessThan">
      <formula>$B$2</formula>
    </cfRule>
  </conditionalFormatting>
  <conditionalFormatting sqref="C9:C10">
    <cfRule type="expression" dxfId="241" priority="33">
      <formula>AND($C9-TODAY()&lt;30,TODAY()&lt;$C9)</formula>
    </cfRule>
  </conditionalFormatting>
  <conditionalFormatting sqref="C9:C10">
    <cfRule type="cellIs" dxfId="240" priority="34" stopIfTrue="1" operator="lessThan">
      <formula>$B$2</formula>
    </cfRule>
  </conditionalFormatting>
  <conditionalFormatting sqref="F21">
    <cfRule type="cellIs" dxfId="239" priority="13" stopIfTrue="1" operator="lessThan">
      <formula>$B$2</formula>
    </cfRule>
  </conditionalFormatting>
  <conditionalFormatting sqref="F21">
    <cfRule type="expression" dxfId="238" priority="14">
      <formula>AND($E21-TODAY()&lt;30,TODAY()&lt;$E21)</formula>
    </cfRule>
  </conditionalFormatting>
  <conditionalFormatting sqref="C7:C8">
    <cfRule type="expression" dxfId="237" priority="5">
      <formula>AND($C7-TODAY()&lt;30,TODAY()&lt;$C7)</formula>
    </cfRule>
  </conditionalFormatting>
  <conditionalFormatting sqref="C7:C8">
    <cfRule type="cellIs" dxfId="236" priority="6" stopIfTrue="1" operator="lessThan">
      <formula>$B$2</formula>
    </cfRule>
  </conditionalFormatting>
  <conditionalFormatting sqref="C7:C8">
    <cfRule type="expression" dxfId="235" priority="3">
      <formula>AND($C7-TODAY()&lt;30,TODAY()&lt;$C7)</formula>
    </cfRule>
  </conditionalFormatting>
  <conditionalFormatting sqref="C7:C8">
    <cfRule type="cellIs" dxfId="234" priority="4" stopIfTrue="1" operator="lessThan">
      <formula>$B$2</formula>
    </cfRule>
  </conditionalFormatting>
  <conditionalFormatting sqref="C4">
    <cfRule type="expression" dxfId="233" priority="1">
      <formula>AND($C4-TODAY()&lt;30,TODAY()&lt;$C4)</formula>
    </cfRule>
  </conditionalFormatting>
  <conditionalFormatting sqref="C4">
    <cfRule type="cellIs" dxfId="232"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4" t="s">
        <v>848</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0" t="s">
        <v>2519</v>
      </c>
      <c r="R1" s="2429" t="s">
        <v>2513</v>
      </c>
      <c r="S1" s="6" t="s">
        <v>146</v>
      </c>
      <c r="T1" s="7" t="s">
        <v>147</v>
      </c>
      <c r="U1" s="6" t="s">
        <v>148</v>
      </c>
      <c r="V1" s="6" t="s">
        <v>149</v>
      </c>
      <c r="W1" s="990" t="s">
        <v>865</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2514</v>
      </c>
      <c r="S2" s="9" t="s">
        <v>75</v>
      </c>
      <c r="T2" s="9" t="s">
        <v>76</v>
      </c>
      <c r="U2" s="9" t="s">
        <v>75</v>
      </c>
      <c r="V2" s="9" t="s">
        <v>77</v>
      </c>
      <c r="W2" s="9" t="s">
        <v>866</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2515</v>
      </c>
      <c r="S3" s="9" t="s">
        <v>84</v>
      </c>
      <c r="T3" s="9" t="s">
        <v>85</v>
      </c>
      <c r="U3" s="9" t="s">
        <v>84</v>
      </c>
      <c r="V3" s="9" t="s">
        <v>86</v>
      </c>
      <c r="W3" s="9" t="s">
        <v>867</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1" t="s">
        <v>754</v>
      </c>
      <c r="Q4" s="9" t="s">
        <v>92</v>
      </c>
      <c r="R4" s="991" t="s">
        <v>2516</v>
      </c>
      <c r="S4" s="9" t="s">
        <v>92</v>
      </c>
      <c r="T4" s="9" t="s">
        <v>93</v>
      </c>
      <c r="U4" s="9" t="s">
        <v>92</v>
      </c>
      <c r="W4" s="9" t="s">
        <v>868</v>
      </c>
    </row>
    <row r="5" spans="1:23">
      <c r="A5" s="8" t="s">
        <v>94</v>
      </c>
      <c r="B5" s="8" t="s">
        <v>153</v>
      </c>
      <c r="C5" s="1488" t="s">
        <v>1702</v>
      </c>
      <c r="F5" s="9" t="s">
        <v>95</v>
      </c>
      <c r="H5" s="9" t="s">
        <v>70</v>
      </c>
      <c r="I5" s="9" t="s">
        <v>96</v>
      </c>
      <c r="K5" s="9" t="s">
        <v>97</v>
      </c>
      <c r="L5" s="9" t="s">
        <v>97</v>
      </c>
      <c r="M5" s="9" t="s">
        <v>97</v>
      </c>
      <c r="N5" s="9" t="s">
        <v>97</v>
      </c>
      <c r="O5" s="9" t="s">
        <v>97</v>
      </c>
      <c r="P5" s="991" t="s">
        <v>540</v>
      </c>
      <c r="Q5" s="9" t="s">
        <v>97</v>
      </c>
      <c r="R5" s="991" t="s">
        <v>2517</v>
      </c>
      <c r="S5" s="9" t="s">
        <v>97</v>
      </c>
      <c r="T5" s="9" t="s">
        <v>98</v>
      </c>
      <c r="U5" s="9" t="s">
        <v>97</v>
      </c>
      <c r="W5" s="9" t="s">
        <v>869</v>
      </c>
    </row>
    <row r="6" spans="1:23">
      <c r="A6" s="8" t="s">
        <v>99</v>
      </c>
      <c r="B6" s="1130" t="s">
        <v>1631</v>
      </c>
      <c r="C6" s="1490" t="s">
        <v>1703</v>
      </c>
      <c r="F6" s="9" t="s">
        <v>71</v>
      </c>
      <c r="H6" s="9" t="s">
        <v>72</v>
      </c>
      <c r="I6" s="9" t="s">
        <v>100</v>
      </c>
      <c r="K6" s="9" t="s">
        <v>101</v>
      </c>
      <c r="L6" s="9" t="s">
        <v>101</v>
      </c>
      <c r="M6" s="9" t="s">
        <v>101</v>
      </c>
      <c r="N6" s="9" t="s">
        <v>101</v>
      </c>
      <c r="O6" s="9" t="s">
        <v>101</v>
      </c>
      <c r="P6" s="991" t="s">
        <v>872</v>
      </c>
      <c r="Q6" s="9" t="s">
        <v>101</v>
      </c>
      <c r="R6" s="991" t="s">
        <v>2518</v>
      </c>
      <c r="S6" s="9" t="s">
        <v>101</v>
      </c>
      <c r="T6" s="9"/>
      <c r="U6" s="9" t="s">
        <v>101</v>
      </c>
      <c r="W6" s="9" t="s">
        <v>870</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3279" t="s">
        <v>3351</v>
      </c>
      <c r="C15" s="1491"/>
    </row>
    <row r="16" spans="1:23">
      <c r="A16" s="8" t="s">
        <v>117</v>
      </c>
      <c r="B16" s="8" t="s">
        <v>1672</v>
      </c>
      <c r="C16" s="1491"/>
    </row>
    <row r="17" spans="1:3">
      <c r="A17" s="8" t="s">
        <v>118</v>
      </c>
      <c r="B17" s="8" t="s">
        <v>1673</v>
      </c>
      <c r="C17" s="1491"/>
    </row>
    <row r="18" spans="1:3">
      <c r="A18" s="8" t="s">
        <v>119</v>
      </c>
      <c r="B18" s="2789" t="s">
        <v>2910</v>
      </c>
      <c r="C18" s="1491"/>
    </row>
    <row r="19" spans="1:3">
      <c r="A19" s="8" t="s">
        <v>120</v>
      </c>
      <c r="B19" s="2789" t="s">
        <v>2917</v>
      </c>
      <c r="C19" s="1491"/>
    </row>
    <row r="20" spans="1:3">
      <c r="A20" s="8" t="s">
        <v>121</v>
      </c>
      <c r="B20" s="2789" t="s">
        <v>2960</v>
      </c>
      <c r="C20" s="1491"/>
    </row>
    <row r="21" spans="1:3">
      <c r="A21" s="8" t="s">
        <v>122</v>
      </c>
      <c r="B21" s="8" t="s">
        <v>3340</v>
      </c>
      <c r="C21" s="1491"/>
    </row>
    <row r="22" spans="1:3">
      <c r="A22" s="8" t="s">
        <v>123</v>
      </c>
      <c r="B22" s="8" t="s">
        <v>3341</v>
      </c>
      <c r="C22" s="1491"/>
    </row>
    <row r="23" spans="1:3">
      <c r="A23" s="8" t="s">
        <v>124</v>
      </c>
      <c r="B23" s="2789" t="s">
        <v>3343</v>
      </c>
      <c r="C23" s="1491"/>
    </row>
    <row r="24" spans="1:3">
      <c r="A24" s="8" t="s">
        <v>12</v>
      </c>
      <c r="B24" s="2789" t="s">
        <v>3445</v>
      </c>
      <c r="C24" s="1491"/>
    </row>
    <row r="25" spans="1:3">
      <c r="A25" s="8" t="s">
        <v>125</v>
      </c>
      <c r="B25" s="2789" t="s">
        <v>3521</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1" t="s">
        <v>1930</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1974</v>
      </c>
      <c r="B52" s="1684" t="s">
        <v>1975</v>
      </c>
      <c r="C52" s="1682" t="s">
        <v>1976</v>
      </c>
      <c r="D52" s="1682" t="s">
        <v>1977</v>
      </c>
      <c r="E52" s="1683"/>
    </row>
    <row r="53" spans="1:5">
      <c r="A53" s="3440" t="s">
        <v>1978</v>
      </c>
      <c r="B53" s="1682" t="s">
        <v>1984</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c r="D53" s="1683"/>
      <c r="E53" s="1683"/>
    </row>
    <row r="54" spans="1:5">
      <c r="A54" s="3440"/>
      <c r="B54" s="1682" t="s">
        <v>1985</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440"/>
      <c r="B55" s="1682" t="s">
        <v>1979</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440"/>
      <c r="B56" s="1682" t="s">
        <v>1980</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440"/>
      <c r="B57" s="1682" t="s">
        <v>1981</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2037</v>
      </c>
      <c r="B58" s="1682" t="s">
        <v>2038</v>
      </c>
      <c r="C58" s="11" t="s">
        <v>2039</v>
      </c>
      <c r="D58" s="1271"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163</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结果表</vt:lpstr>
      <vt:lpstr>汇总5</vt:lpstr>
      <vt:lpstr>汇总0617</vt:lpstr>
      <vt:lpstr>面积拆分</vt:lpstr>
      <vt:lpstr>地块指标20210118</vt:lpstr>
      <vt:lpstr>估价对象房地状况</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剩余法-酒店</vt:lpstr>
      <vt:lpstr>不动产收益法-酒店</vt:lpstr>
      <vt:lpstr>酒店收入计算</vt:lpstr>
      <vt:lpstr>成本逼近法</vt:lpstr>
      <vt:lpstr>剩余法-车库+商业</vt:lpstr>
      <vt:lpstr>剩余法-车位</vt:lpstr>
      <vt:lpstr>剩余法-待开发</vt:lpstr>
      <vt:lpstr>剩余法-底商</vt:lpstr>
      <vt:lpstr>不动产收益法-住宅</vt:lpstr>
      <vt:lpstr>剩余法-住宅</vt:lpstr>
      <vt:lpstr>不动产收益法-车库</vt:lpstr>
      <vt:lpstr>不动产收益法-底商</vt:lpstr>
      <vt:lpstr>不动产收益法-独商</vt:lpstr>
      <vt:lpstr>不动产收益法-办公</vt:lpstr>
      <vt:lpstr>不动产收益法-公寓</vt:lpstr>
      <vt:lpstr>不动产比较法-住宅</vt:lpstr>
      <vt:lpstr>不动产比较法-商业</vt:lpstr>
      <vt:lpstr>商业案例</vt:lpstr>
      <vt:lpstr>不动产比较法-办公</vt:lpstr>
      <vt:lpstr>不动产比较法-工业</vt:lpstr>
      <vt:lpstr>不动产比较法-车位</vt:lpstr>
      <vt:lpstr>不动产比较法-仓储</vt:lpstr>
      <vt:lpstr>典型户型修正</vt:lpstr>
      <vt:lpstr>存贷款利率</vt:lpstr>
      <vt:lpstr>住宅案例-天津</vt:lpstr>
      <vt:lpstr>办公案例</vt:lpstr>
      <vt:lpstr>表-彩色</vt:lpstr>
      <vt:lpstr>系统读取表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'不动产收益法-底商'!Print_Area</vt:lpstr>
      <vt:lpstr>'不动产收益法-独商'!Print_Area</vt:lpstr>
      <vt:lpstr>'不动产收益法-公寓'!Print_Area</vt:lpstr>
      <vt:lpstr>'不动产收益法-酒店'!Print_Area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'剩余法-车库+商业'!Print_Area</vt:lpstr>
      <vt:lpstr>'剩余法-车位'!Print_Area</vt:lpstr>
      <vt:lpstr>'剩余法-待开发'!Print_Area</vt:lpstr>
      <vt:lpstr>'剩余法-底商'!Print_Area</vt:lpstr>
      <vt:lpstr>'剩余法-酒店'!Print_Area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2021-06-17T03:17:15Z</dcterms:modified>
</cp:coreProperties>
</file>