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CE3CD959-2CF9-4328-BAC0-F0383C7C4DD2}" xr6:coauthVersionLast="47" xr6:coauthVersionMax="47"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汇总）" sheetId="70" r:id="rId24"/>
    <sheet name="收益法 (元)1" sheetId="67" r:id="rId25"/>
    <sheet name="收益法 (元)2" sheetId="81"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信息表" sheetId="80" r:id="rId41"/>
    <sheet name="案例" sheetId="82"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(元)1'!$A$1:$F$43,'收益法 (元)1'!$H$3:$M$29,'收益法 (元)1'!$A$45:$F$71,'收益法 (元)1'!$I$46:$N$65</definedName>
    <definedName name="_xlnm.Print_Area" localSheetId="25">'收益法 (元)2'!$A$1:$F$43,'收益法 (元)2'!$H$3:$M$29,'收益法 (元)2'!$A$45:$F$71,'收益法 (元)2'!$I$46:$N$65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6" i="80" l="1"/>
  <c r="D33" i="43"/>
  <c r="B14" i="74"/>
  <c r="G44" i="43"/>
  <c r="Q72" i="81"/>
  <c r="F60" i="81"/>
  <c r="Q59" i="81"/>
  <c r="K59" i="81"/>
  <c r="P74" i="81" s="1"/>
  <c r="F59" i="81"/>
  <c r="Q58" i="81"/>
  <c r="Q51" i="81"/>
  <c r="J50" i="81"/>
  <c r="M47" i="81"/>
  <c r="D46" i="81"/>
  <c r="F34" i="81"/>
  <c r="F62" i="81" s="1"/>
  <c r="F33" i="81"/>
  <c r="F61" i="81" s="1"/>
  <c r="F32" i="81"/>
  <c r="F31" i="81"/>
  <c r="F28" i="81"/>
  <c r="C28" i="81" s="1"/>
  <c r="F23" i="81"/>
  <c r="D23" i="81" s="1"/>
  <c r="F21" i="81"/>
  <c r="M20" i="81"/>
  <c r="F20" i="81"/>
  <c r="M19" i="81"/>
  <c r="M18" i="81"/>
  <c r="F18" i="81"/>
  <c r="M17" i="81"/>
  <c r="F17" i="81"/>
  <c r="F15" i="81"/>
  <c r="G1" i="81"/>
  <c r="O45" i="1"/>
  <c r="N45" i="1"/>
  <c r="M45" i="1"/>
  <c r="O44" i="1"/>
  <c r="N44" i="1"/>
  <c r="O43" i="1"/>
  <c r="P33" i="1"/>
  <c r="P45" i="1" s="1"/>
  <c r="O33" i="1"/>
  <c r="N33" i="1"/>
  <c r="N43" i="1" s="1"/>
  <c r="M33" i="1"/>
  <c r="M44" i="1" s="1"/>
  <c r="L33" i="1"/>
  <c r="L45" i="1" s="1"/>
  <c r="F37" i="81"/>
  <c r="F13" i="81"/>
  <c r="M27" i="81"/>
  <c r="C76" i="81"/>
  <c r="F42" i="81"/>
  <c r="F6" i="81"/>
  <c r="M29" i="81"/>
  <c r="M8" i="81"/>
  <c r="F26" i="81"/>
  <c r="M9" i="81"/>
  <c r="J15" i="81"/>
  <c r="M26" i="81"/>
  <c r="M6" i="81"/>
  <c r="M23" i="81"/>
  <c r="F16" i="81"/>
  <c r="Q71" i="81" l="1"/>
  <c r="F65" i="81"/>
  <c r="D24" i="81"/>
  <c r="P61" i="81"/>
  <c r="C27" i="81"/>
  <c r="J51" i="81"/>
  <c r="D22" i="81"/>
  <c r="L43" i="1"/>
  <c r="P43" i="1"/>
  <c r="M43" i="1"/>
  <c r="L44" i="1"/>
  <c r="P44" i="1"/>
  <c r="F8" i="81"/>
  <c r="F9" i="81"/>
  <c r="F7" i="81"/>
  <c r="M28" i="81"/>
  <c r="F40" i="81"/>
  <c r="F43" i="81"/>
  <c r="L47" i="81"/>
  <c r="L48" i="81"/>
  <c r="N59" i="81" l="1"/>
  <c r="L58" i="81"/>
  <c r="M59" i="81"/>
  <c r="L59" i="81"/>
  <c r="M7" i="81"/>
  <c r="J6" i="81" s="1"/>
  <c r="F50" i="81"/>
  <c r="F68" i="81"/>
  <c r="F51" i="81"/>
  <c r="C49" i="81" s="1"/>
  <c r="C6" i="81"/>
  <c r="L57" i="81"/>
  <c r="L56" i="81"/>
  <c r="J59" i="81"/>
  <c r="J57" i="81"/>
  <c r="J55" i="81" s="1"/>
  <c r="J58" i="81" s="1"/>
  <c r="Q50" i="81" s="1"/>
  <c r="J60" i="81"/>
  <c r="Q48" i="81" s="1"/>
  <c r="I54" i="81"/>
  <c r="J53" i="81"/>
  <c r="L60" i="81"/>
  <c r="F71" i="81"/>
  <c r="AM7" i="1"/>
  <c r="AL7" i="1"/>
  <c r="AK7" i="1"/>
  <c r="Y7" i="1"/>
  <c r="N7" i="1"/>
  <c r="N6" i="1"/>
  <c r="J7" i="1"/>
  <c r="I7" i="1"/>
  <c r="H7" i="1"/>
  <c r="F16" i="4"/>
  <c r="L7" i="1"/>
  <c r="F19" i="6"/>
  <c r="F20" i="6"/>
  <c r="E16" i="80"/>
  <c r="H15" i="80"/>
  <c r="H14" i="80"/>
  <c r="H13" i="80"/>
  <c r="G15" i="80"/>
  <c r="G14" i="80"/>
  <c r="G13" i="80"/>
  <c r="B59" i="1"/>
  <c r="J45" i="1"/>
  <c r="K44" i="1"/>
  <c r="J43" i="1"/>
  <c r="K33" i="1"/>
  <c r="K45" i="1" s="1"/>
  <c r="J33" i="1"/>
  <c r="J44" i="1" s="1"/>
  <c r="I33" i="1"/>
  <c r="I43" i="1" s="1"/>
  <c r="M24" i="81"/>
  <c r="F38" i="81"/>
  <c r="M22" i="81"/>
  <c r="F36" i="81"/>
  <c r="C16" i="81"/>
  <c r="C14" i="81"/>
  <c r="C17" i="81"/>
  <c r="F66" i="81" l="1"/>
  <c r="F64" i="81"/>
  <c r="C18" i="81"/>
  <c r="C15" i="81"/>
  <c r="Q52" i="81"/>
  <c r="F1" i="81"/>
  <c r="C61" i="81"/>
  <c r="Q61" i="81"/>
  <c r="Q74" i="81"/>
  <c r="Q66" i="81"/>
  <c r="Q57" i="81"/>
  <c r="L46" i="81"/>
  <c r="Q73" i="81"/>
  <c r="Q60" i="81"/>
  <c r="C32" i="81"/>
  <c r="C33" i="81"/>
  <c r="J19" i="81"/>
  <c r="J18" i="81"/>
  <c r="K43" i="1"/>
  <c r="I45" i="1"/>
  <c r="I44" i="1"/>
  <c r="C19" i="81" l="1"/>
  <c r="C20" i="81" s="1"/>
  <c r="L20" i="1"/>
  <c r="M20" i="1" s="1"/>
  <c r="O20" i="1" s="1"/>
  <c r="L19" i="1"/>
  <c r="M19" i="1" s="1"/>
  <c r="O19" i="1" s="1"/>
  <c r="I14" i="3"/>
  <c r="I13" i="3"/>
  <c r="C14" i="3"/>
  <c r="C13" i="3"/>
  <c r="J4" i="80"/>
  <c r="G14" i="73"/>
  <c r="F14" i="73"/>
  <c r="E14" i="73"/>
  <c r="C26" i="81" l="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39" i="71"/>
  <c r="B40" i="71"/>
  <c r="S40" i="71" s="1"/>
  <c r="E38" i="71"/>
  <c r="N68" i="71"/>
  <c r="C30" i="71"/>
  <c r="C31" i="71" s="1"/>
  <c r="D31" i="71" s="1"/>
  <c r="Y29" i="71"/>
  <c r="Z29" i="71" s="1"/>
  <c r="AA35" i="71"/>
  <c r="C38" i="71"/>
  <c r="D38" i="71" s="1"/>
  <c r="X38" i="71"/>
  <c r="C28" i="71"/>
  <c r="T28" i="71" s="1"/>
  <c r="Y25" i="71"/>
  <c r="Z25" i="71" s="1"/>
  <c r="X26" i="71"/>
  <c r="C39" i="71"/>
  <c r="C43" i="71"/>
  <c r="C44" i="71" s="1"/>
  <c r="D44" i="71" s="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B27" i="71"/>
  <c r="O67" i="71"/>
  <c r="C82" i="71"/>
  <c r="D82" i="71"/>
  <c r="C78" i="71"/>
  <c r="D78" i="71" s="1"/>
  <c r="D71" i="71"/>
  <c r="C60" i="71"/>
  <c r="D60" i="71" s="1"/>
  <c r="D59" i="71"/>
  <c r="P67" i="71"/>
  <c r="E66"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F13" i="35" s="1"/>
  <c r="B59" i="35"/>
  <c r="F12" i="35" s="1"/>
  <c r="B131" i="34"/>
  <c r="B129" i="34"/>
  <c r="B127" i="34"/>
  <c r="B99" i="34"/>
  <c r="B97" i="34"/>
  <c r="B95" i="34"/>
  <c r="B93" i="34"/>
  <c r="J29" i="34" s="1"/>
  <c r="B75" i="34"/>
  <c r="B73" i="34"/>
  <c r="B71" i="34"/>
  <c r="J12" i="34" s="1"/>
  <c r="W12" i="34" s="1"/>
  <c r="B130" i="33"/>
  <c r="H46" i="33" s="1"/>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B96" i="21"/>
  <c r="B94" i="21"/>
  <c r="J29" i="21" s="1"/>
  <c r="AC29" i="21" s="1"/>
  <c r="B92" i="21"/>
  <c r="H28" i="21" s="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U34" i="35"/>
  <c r="F36" i="34"/>
  <c r="J35" i="34"/>
  <c r="U34" i="34"/>
  <c r="H39" i="33"/>
  <c r="AB39" i="33"/>
  <c r="U33" i="33"/>
  <c r="U35" i="33"/>
  <c r="S40" i="33"/>
  <c r="W33" i="33"/>
  <c r="W39" i="33"/>
  <c r="H39" i="37"/>
  <c r="AB39" i="37" s="1"/>
  <c r="S27" i="35"/>
  <c r="F11" i="40"/>
  <c r="AA11" i="40"/>
  <c r="H11" i="40"/>
  <c r="AB11" i="40"/>
  <c r="W8" i="40"/>
  <c r="AB39" i="40"/>
  <c r="AA9" i="40"/>
  <c r="U9" i="40"/>
  <c r="U38" i="40"/>
  <c r="U34" i="40"/>
  <c r="S38" i="40"/>
  <c r="F42" i="39"/>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30" i="21"/>
  <c r="U30" i="21" s="1"/>
  <c r="F30" i="21"/>
  <c r="S30" i="21" s="1"/>
  <c r="J30" i="21"/>
  <c r="AC30" i="21"/>
  <c r="J44" i="21"/>
  <c r="AC44" i="21" s="1"/>
  <c r="H44" i="21"/>
  <c r="U44" i="21" s="1"/>
  <c r="F44" i="21"/>
  <c r="AA44" i="21" s="1"/>
  <c r="F46" i="21"/>
  <c r="AA46" i="21" s="1"/>
  <c r="E119" i="21"/>
  <c r="F119" i="21" s="1"/>
  <c r="G119" i="21" s="1"/>
  <c r="H119" i="21" s="1"/>
  <c r="I119" i="21" s="1"/>
  <c r="J119" i="21" s="1"/>
  <c r="K119" i="21" s="1"/>
  <c r="L119" i="21" s="1"/>
  <c r="M119" i="21" s="1"/>
  <c r="H26" i="33"/>
  <c r="AB26" i="33" s="1"/>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c r="F27" i="21"/>
  <c r="AA27" i="21" s="1"/>
  <c r="H29" i="21"/>
  <c r="U29" i="21" s="1"/>
  <c r="J31" i="21"/>
  <c r="AC31" i="21" s="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AC12" i="40"/>
  <c r="H14" i="33"/>
  <c r="U14" i="33" s="1"/>
  <c r="F14" i="33"/>
  <c r="S14" i="33"/>
  <c r="J14" i="33"/>
  <c r="H30" i="33"/>
  <c r="AB30" i="33" s="1"/>
  <c r="F30" i="33"/>
  <c r="H44" i="33"/>
  <c r="J44" i="33"/>
  <c r="AC44" i="33"/>
  <c r="F44" i="33"/>
  <c r="S44" i="33" s="1"/>
  <c r="J46" i="33"/>
  <c r="AC46" i="33" s="1"/>
  <c r="F46" i="33"/>
  <c r="AA46" i="33" s="1"/>
  <c r="AB46" i="33"/>
  <c r="H13" i="34"/>
  <c r="U13" i="34" s="1"/>
  <c r="J13" i="34"/>
  <c r="W13" i="34" s="1"/>
  <c r="F13" i="34"/>
  <c r="AA13" i="34" s="1"/>
  <c r="F29" i="34"/>
  <c r="S29" i="34" s="1"/>
  <c r="H29" i="34"/>
  <c r="AB29" i="34" s="1"/>
  <c r="J31" i="34"/>
  <c r="AC31" i="34"/>
  <c r="H31" i="34"/>
  <c r="F31" i="34"/>
  <c r="S31" i="34" s="1"/>
  <c r="H45" i="34"/>
  <c r="U45" i="34" s="1"/>
  <c r="H47" i="34"/>
  <c r="U47" i="34" s="1"/>
  <c r="F47" i="34"/>
  <c r="S47" i="34" s="1"/>
  <c r="J47" i="34"/>
  <c r="AC47" i="34"/>
  <c r="J13" i="35"/>
  <c r="AC13" i="35" s="1"/>
  <c r="H13" i="35"/>
  <c r="U13" i="35" s="1"/>
  <c r="J25" i="35"/>
  <c r="W25" i="35"/>
  <c r="F25" i="35"/>
  <c r="S25" i="35" s="1"/>
  <c r="H25" i="35"/>
  <c r="AB25" i="35" s="1"/>
  <c r="J35" i="35"/>
  <c r="AC35" i="35" s="1"/>
  <c r="J25" i="36"/>
  <c r="W25" i="36" s="1"/>
  <c r="F25" i="36"/>
  <c r="S25" i="36" s="1"/>
  <c r="H25" i="36"/>
  <c r="AB25" i="36"/>
  <c r="H13" i="37"/>
  <c r="AB13" i="37" s="1"/>
  <c r="F13" i="37"/>
  <c r="S13" i="37" s="1"/>
  <c r="J13" i="37"/>
  <c r="W13" i="37" s="1"/>
  <c r="J28" i="37"/>
  <c r="AC28" i="37" s="1"/>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BA586" i="3"/>
  <c r="F17" i="21"/>
  <c r="AA17" i="21" s="1"/>
  <c r="H17" i="21"/>
  <c r="AB17" i="21" s="1"/>
  <c r="F15" i="21"/>
  <c r="S15" i="21" s="1"/>
  <c r="J41" i="39"/>
  <c r="W41" i="39" s="1"/>
  <c r="S35" i="39"/>
  <c r="G540" i="3"/>
  <c r="G532" i="3"/>
  <c r="G531" i="3"/>
  <c r="G527" i="3"/>
  <c r="G523" i="3"/>
  <c r="G518" i="3"/>
  <c r="G510" i="3"/>
  <c r="G504" i="3"/>
  <c r="G496" i="3"/>
  <c r="G584" i="3"/>
  <c r="G580" i="3"/>
  <c r="G572" i="3"/>
  <c r="G564" i="3"/>
  <c r="G560" i="3"/>
  <c r="G554" i="3"/>
  <c r="BL584" i="3"/>
  <c r="BL568" i="3"/>
  <c r="BL564" i="3"/>
  <c r="BL560" i="3"/>
  <c r="BL554" i="3"/>
  <c r="BL546" i="3"/>
  <c r="BL522" i="3"/>
  <c r="BL512" i="3"/>
  <c r="BL494" i="3"/>
  <c r="BL582" i="3"/>
  <c r="BL578" i="3"/>
  <c r="BL562" i="3"/>
  <c r="BL556" i="3"/>
  <c r="BL552" i="3"/>
  <c r="G533" i="3"/>
  <c r="G529" i="3"/>
  <c r="G525" i="3"/>
  <c r="BL510" i="3"/>
  <c r="BL500" i="3"/>
  <c r="G493" i="3"/>
  <c r="BA584" i="3"/>
  <c r="BA582" i="3"/>
  <c r="AZ582" i="3" s="1"/>
  <c r="BA574" i="3"/>
  <c r="BA564" i="3"/>
  <c r="BA562" i="3"/>
  <c r="BA560" i="3"/>
  <c r="BA558" i="3"/>
  <c r="AZ558" i="3" s="1"/>
  <c r="BA556" i="3"/>
  <c r="AZ556" i="3" s="1"/>
  <c r="BA554" i="3"/>
  <c r="AZ554" i="3" s="1"/>
  <c r="BA552" i="3"/>
  <c r="BA542" i="3"/>
  <c r="BA528" i="3"/>
  <c r="BA524" i="3"/>
  <c r="BA520" i="3"/>
  <c r="AZ520" i="3" s="1"/>
  <c r="BA512" i="3"/>
  <c r="BA510" i="3"/>
  <c r="AZ510" i="3" s="1"/>
  <c r="BA508" i="3"/>
  <c r="BA502" i="3"/>
  <c r="BA498" i="3"/>
  <c r="BA496" i="3"/>
  <c r="BA587" i="3"/>
  <c r="BA583" i="3"/>
  <c r="BA575" i="3"/>
  <c r="BA565" i="3"/>
  <c r="BA563" i="3"/>
  <c r="BA561" i="3"/>
  <c r="BA559" i="3"/>
  <c r="BA555" i="3"/>
  <c r="BA553" i="3"/>
  <c r="AZ553" i="3" s="1"/>
  <c r="BA535" i="3"/>
  <c r="BA527" i="3"/>
  <c r="BA523" i="3"/>
  <c r="BA517" i="3"/>
  <c r="BA507" i="3"/>
  <c r="BA503" i="3"/>
  <c r="BA499" i="3"/>
  <c r="AZ560" i="3"/>
  <c r="G583" i="3"/>
  <c r="G581" i="3"/>
  <c r="G575" i="3"/>
  <c r="G573" i="3"/>
  <c r="G569" i="3"/>
  <c r="G565" i="3"/>
  <c r="G563" i="3"/>
  <c r="G561" i="3"/>
  <c r="BL558" i="3"/>
  <c r="BA557" i="3"/>
  <c r="AC557" i="3"/>
  <c r="G557" i="3" s="1"/>
  <c r="BQ557" i="3"/>
  <c r="BL557" i="3" s="1"/>
  <c r="BQ583" i="3"/>
  <c r="BL583" i="3" s="1"/>
  <c r="BQ581" i="3"/>
  <c r="BQ579" i="3"/>
  <c r="BQ577" i="3"/>
  <c r="BQ575" i="3"/>
  <c r="BQ573" i="3"/>
  <c r="BQ571" i="3"/>
  <c r="BQ569" i="3"/>
  <c r="BL569" i="3" s="1"/>
  <c r="BQ567" i="3"/>
  <c r="BQ565" i="3"/>
  <c r="BL565" i="3" s="1"/>
  <c r="AZ565" i="3"/>
  <c r="BQ563" i="3"/>
  <c r="BL563" i="3"/>
  <c r="BQ561" i="3"/>
  <c r="BL561" i="3"/>
  <c r="AZ561" i="3" s="1"/>
  <c r="BQ559" i="3"/>
  <c r="BL559" i="3" s="1"/>
  <c r="AZ559" i="3"/>
  <c r="G559" i="3"/>
  <c r="G555" i="3"/>
  <c r="G553" i="3"/>
  <c r="G549" i="3"/>
  <c r="G547" i="3"/>
  <c r="G545" i="3"/>
  <c r="G541" i="3"/>
  <c r="G539" i="3"/>
  <c r="BQ555" i="3"/>
  <c r="BL555" i="3"/>
  <c r="BQ553" i="3"/>
  <c r="BL553" i="3" s="1"/>
  <c r="BQ551" i="3"/>
  <c r="BQ549" i="3"/>
  <c r="BQ547" i="3"/>
  <c r="BQ545" i="3"/>
  <c r="BQ543" i="3"/>
  <c r="BQ541" i="3"/>
  <c r="BQ539" i="3"/>
  <c r="BQ537" i="3"/>
  <c r="BQ535" i="3"/>
  <c r="BL535" i="3" s="1"/>
  <c r="AZ535" i="3" s="1"/>
  <c r="BQ533" i="3"/>
  <c r="BQ531" i="3"/>
  <c r="BQ529" i="3"/>
  <c r="BQ527" i="3"/>
  <c r="BQ525" i="3"/>
  <c r="BQ523" i="3"/>
  <c r="BL523" i="3" s="1"/>
  <c r="AZ523" i="3" s="1"/>
  <c r="AC521" i="3"/>
  <c r="BQ521" i="3"/>
  <c r="BL520" i="3"/>
  <c r="G519" i="3"/>
  <c r="G517" i="3"/>
  <c r="G511" i="3"/>
  <c r="BQ519" i="3"/>
  <c r="BQ517" i="3"/>
  <c r="BQ515" i="3"/>
  <c r="BQ513" i="3"/>
  <c r="BL513" i="3"/>
  <c r="BQ511" i="3"/>
  <c r="AC509" i="3"/>
  <c r="BQ509" i="3"/>
  <c r="BL508" i="3"/>
  <c r="G505" i="3"/>
  <c r="G503"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A13" i="33"/>
  <c r="AC45" i="33"/>
  <c r="W44" i="33"/>
  <c r="U19" i="21"/>
  <c r="W44"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6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AZ392" i="3" s="1"/>
  <c r="G393" i="3"/>
  <c r="BO5" i="3"/>
  <c r="BM5" i="3"/>
  <c r="BH5" i="3"/>
  <c r="BF5" i="3"/>
  <c r="BD5" i="3"/>
  <c r="AZ325" i="3"/>
  <c r="AZ341" i="3"/>
  <c r="AC5" i="3"/>
  <c r="G548" i="3"/>
  <c r="G538" i="3"/>
  <c r="G520" i="3"/>
  <c r="G502" i="3"/>
  <c r="BS5" i="3"/>
  <c r="BP5" i="3"/>
  <c r="BK5" i="3"/>
  <c r="BI5" i="3"/>
  <c r="BG5" i="3"/>
  <c r="BE5" i="3"/>
  <c r="BC5" i="3"/>
  <c r="G17" i="3"/>
  <c r="BA17" i="3"/>
  <c r="BT5" i="3"/>
  <c r="AZ350" i="3"/>
  <c r="BA15" i="3"/>
  <c r="BR5" i="3"/>
  <c r="AZ380" i="3"/>
  <c r="G509" i="3"/>
  <c r="BL493" i="3"/>
  <c r="U36" i="40"/>
  <c r="F83" i="43"/>
  <c r="H85" i="43" s="1"/>
  <c r="F50" i="43"/>
  <c r="H54" i="43" s="1"/>
  <c r="F72" i="43"/>
  <c r="H75" i="43" s="1"/>
  <c r="U17" i="39"/>
  <c r="S14" i="35"/>
  <c r="U43" i="21"/>
  <c r="U35" i="21"/>
  <c r="AC35" i="21"/>
  <c r="G10" i="1"/>
  <c r="AZ563" i="3"/>
  <c r="W37" i="37"/>
  <c r="W44" i="34"/>
  <c r="AC44" i="34"/>
  <c r="S15" i="37"/>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3" i="3"/>
  <c r="AZ50" i="3"/>
  <c r="AZ82" i="3"/>
  <c r="AZ9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C39" i="40"/>
  <c r="W39" i="40"/>
  <c r="AZ465" i="3"/>
  <c r="AA32" i="36"/>
  <c r="S32" i="36"/>
  <c r="U30" i="33"/>
  <c r="AC13" i="34"/>
  <c r="AA47" i="34"/>
  <c r="S19" i="39"/>
  <c r="F12" i="33"/>
  <c r="H12" i="39"/>
  <c r="AB12" i="39" s="1"/>
  <c r="F39" i="40"/>
  <c r="AA39" i="40" s="1"/>
  <c r="AZ254" i="3"/>
  <c r="AZ286" i="3"/>
  <c r="AZ157" i="3"/>
  <c r="AZ173"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B27"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2" i="39"/>
  <c r="S23" i="36"/>
  <c r="U26" i="36"/>
  <c r="S33" i="36"/>
  <c r="AA26" i="36"/>
  <c r="AC26" i="36"/>
  <c r="AA22" i="36"/>
  <c r="W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S25" i="37"/>
  <c r="W27" i="37"/>
  <c r="AC29" i="37"/>
  <c r="U29" i="37"/>
  <c r="S32" i="37"/>
  <c r="AB31" i="37"/>
  <c r="W30" i="37"/>
  <c r="S36" i="37"/>
  <c r="AA38"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U27" i="33" s="1"/>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G13" i="3"/>
  <c r="BA13" i="3"/>
  <c r="BL17" i="3"/>
  <c r="AZ17" i="3"/>
  <c r="BL13" i="3"/>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W35" i="35"/>
  <c r="AA16" i="35"/>
  <c r="AA35" i="37"/>
  <c r="W36" i="37"/>
  <c r="S27" i="37"/>
  <c r="S28" i="37"/>
  <c r="W32" i="37"/>
  <c r="U36" i="37"/>
  <c r="U38" i="37"/>
  <c r="AB37" i="37"/>
  <c r="AC34" i="37"/>
  <c r="AB35" i="37"/>
  <c r="AA31" i="37"/>
  <c r="U19" i="37"/>
  <c r="AA29" i="37"/>
  <c r="U8" i="37"/>
  <c r="AA40" i="34"/>
  <c r="AB40" i="34"/>
  <c r="U19" i="34"/>
  <c r="W19" i="34"/>
  <c r="AB33" i="34"/>
  <c r="AA31" i="34"/>
  <c r="AA30"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U17" i="21"/>
  <c r="W29" i="21"/>
  <c r="S19" i="21"/>
  <c r="S9" i="21"/>
  <c r="AA9" i="21"/>
  <c r="K141" i="21"/>
  <c r="K144" i="21"/>
  <c r="K143" i="21"/>
  <c r="U27" i="21"/>
  <c r="AB25" i="21"/>
  <c r="AB44" i="21"/>
  <c r="AA30" i="21"/>
  <c r="W42" i="21"/>
  <c r="AC45" i="21"/>
  <c r="F10" i="21"/>
  <c r="AA10" i="21" s="1"/>
  <c r="K145" i="21"/>
  <c r="W25" i="21"/>
  <c r="W31" i="21"/>
  <c r="S2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U23" i="21" s="1"/>
  <c r="AP7" i="1"/>
  <c r="AB45" i="21"/>
  <c r="U9" i="21"/>
  <c r="AA32" i="21"/>
  <c r="S32" i="21"/>
  <c r="AB32" i="21"/>
  <c r="U32" i="21"/>
  <c r="U32" i="39"/>
  <c r="AC32" i="39"/>
  <c r="W32" i="39"/>
  <c r="AC23" i="37"/>
  <c r="J63" i="37"/>
  <c r="K63" i="37" s="1"/>
  <c r="L63" i="37" s="1"/>
  <c r="M63" i="37" s="1"/>
  <c r="J11" i="37"/>
  <c r="AC11" i="37" s="1"/>
  <c r="J11" i="34"/>
  <c r="W11" i="34" s="1"/>
  <c r="AB36" i="33"/>
  <c r="W25" i="33"/>
  <c r="AC25" i="33"/>
  <c r="AB19" i="33"/>
  <c r="U19" i="33"/>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E2" i="69"/>
  <c r="B7" i="76"/>
  <c r="E11" i="76"/>
  <c r="F4" i="73"/>
  <c r="F3" i="73"/>
  <c r="B10" i="76"/>
  <c r="F7" i="73"/>
  <c r="B13" i="76"/>
  <c r="F6" i="73"/>
  <c r="E10" i="76"/>
  <c r="F5" i="73"/>
  <c r="E8" i="76"/>
  <c r="E7" i="76"/>
  <c r="E9" i="76"/>
  <c r="E2" i="68"/>
  <c r="B12" i="76"/>
  <c r="E12" i="76"/>
  <c r="AO13" i="1"/>
  <c r="B8" i="76"/>
  <c r="B11" i="76"/>
  <c r="D6" i="73"/>
  <c r="B9" i="76"/>
  <c r="F20" i="31"/>
  <c r="J56" i="9" l="1"/>
  <c r="J57" i="9" s="1"/>
  <c r="J59" i="9" s="1"/>
  <c r="J61" i="9" s="1"/>
  <c r="K1" i="12"/>
  <c r="BN5" i="3"/>
  <c r="G29" i="6" s="1"/>
  <c r="BA14" i="3"/>
  <c r="F6" i="1"/>
  <c r="F7" i="1"/>
  <c r="G7" i="1" s="1"/>
  <c r="A18" i="51"/>
  <c r="B13" i="72" s="1"/>
  <c r="M20" i="67"/>
  <c r="F34" i="67"/>
  <c r="F62" i="67" s="1"/>
  <c r="F34" i="15"/>
  <c r="F62" i="15" s="1"/>
  <c r="C21" i="68"/>
  <c r="G1" i="67"/>
  <c r="G1" i="68"/>
  <c r="G1" i="69"/>
  <c r="G1" i="15"/>
  <c r="AB28" i="21"/>
  <c r="U28" i="21"/>
  <c r="U40" i="37"/>
  <c r="AB40" i="37"/>
  <c r="AZ570" i="3"/>
  <c r="W23" i="21"/>
  <c r="AA17" i="33"/>
  <c r="U24" i="35"/>
  <c r="U32" i="40"/>
  <c r="S13" i="34"/>
  <c r="AC15" i="37"/>
  <c r="S15" i="39"/>
  <c r="U37" i="39"/>
  <c r="W28" i="37"/>
  <c r="AA30" i="40"/>
  <c r="AC17" i="34"/>
  <c r="U12" i="40"/>
  <c r="AC11" i="39"/>
  <c r="AZ345" i="3"/>
  <c r="AZ372" i="3"/>
  <c r="AZ347" i="3"/>
  <c r="AZ337" i="3"/>
  <c r="W16" i="35"/>
  <c r="U39" i="37"/>
  <c r="BL547" i="3"/>
  <c r="AZ547" i="3" s="1"/>
  <c r="BL577" i="3"/>
  <c r="U33" i="40"/>
  <c r="AB33" i="40"/>
  <c r="AC36" i="34"/>
  <c r="W36" i="34"/>
  <c r="AB42" i="34"/>
  <c r="S29" i="35"/>
  <c r="AA29" i="35"/>
  <c r="BA585" i="3"/>
  <c r="AC27" i="33"/>
  <c r="AC9" i="21"/>
  <c r="D6" i="52"/>
  <c r="AB27" i="33"/>
  <c r="AA23" i="37"/>
  <c r="S43" i="33"/>
  <c r="S37" i="37"/>
  <c r="AB14" i="36"/>
  <c r="U13" i="36"/>
  <c r="AZ527" i="3"/>
  <c r="AZ512" i="3"/>
  <c r="AB30" i="21"/>
  <c r="S14" i="34"/>
  <c r="AA14" i="34"/>
  <c r="W31" i="33"/>
  <c r="AC31" i="33"/>
  <c r="J13" i="21"/>
  <c r="W28" i="34"/>
  <c r="AC28" i="34"/>
  <c r="AB36" i="39"/>
  <c r="U36" i="39"/>
  <c r="S41" i="21"/>
  <c r="AC31" i="40"/>
  <c r="W31" i="40"/>
  <c r="W27" i="40"/>
  <c r="AB23" i="21"/>
  <c r="S13" i="21"/>
  <c r="AC17" i="37"/>
  <c r="W30" i="40"/>
  <c r="S17" i="21"/>
  <c r="W15" i="21"/>
  <c r="U32" i="37"/>
  <c r="U25" i="39"/>
  <c r="AZ14" i="3"/>
  <c r="F29" i="6"/>
  <c r="AZ318" i="3"/>
  <c r="AZ364" i="3"/>
  <c r="AZ329" i="3"/>
  <c r="AZ376" i="3"/>
  <c r="AZ309" i="3"/>
  <c r="W35" i="40"/>
  <c r="U11" i="33"/>
  <c r="BL503" i="3"/>
  <c r="AZ503" i="3" s="1"/>
  <c r="BL515" i="3"/>
  <c r="AZ515" i="3" s="1"/>
  <c r="BL527" i="3"/>
  <c r="AZ557" i="3"/>
  <c r="AZ552" i="3"/>
  <c r="AZ584" i="3"/>
  <c r="AA14" i="37"/>
  <c r="S14" i="37"/>
  <c r="H28" i="37"/>
  <c r="U45" i="33"/>
  <c r="AB45" i="33"/>
  <c r="S28" i="34"/>
  <c r="S41" i="33"/>
  <c r="U17" i="34"/>
  <c r="AB17" i="34"/>
  <c r="AA42" i="39"/>
  <c r="S42" i="39"/>
  <c r="U38" i="21"/>
  <c r="AB38" i="21"/>
  <c r="BL585" i="3"/>
  <c r="H31" i="21"/>
  <c r="F31" i="21"/>
  <c r="J46" i="21"/>
  <c r="H46" i="21"/>
  <c r="F28" i="33"/>
  <c r="H28" i="33"/>
  <c r="J28" i="33"/>
  <c r="J12" i="33"/>
  <c r="H12" i="33"/>
  <c r="U12" i="33" s="1"/>
  <c r="J45" i="34"/>
  <c r="F45" i="34"/>
  <c r="H35" i="35"/>
  <c r="F35" i="35"/>
  <c r="H44" i="39"/>
  <c r="J44" i="39"/>
  <c r="F44" i="39"/>
  <c r="AA34" i="40"/>
  <c r="S34" i="40"/>
  <c r="AZ575" i="3"/>
  <c r="AZ508" i="3"/>
  <c r="S44" i="34"/>
  <c r="AA44" i="34"/>
  <c r="J28" i="21"/>
  <c r="F28" i="21"/>
  <c r="H34" i="36"/>
  <c r="F34" i="36"/>
  <c r="J40" i="37"/>
  <c r="F40" i="37"/>
  <c r="BL581" i="3"/>
  <c r="BA581" i="3"/>
  <c r="BL580" i="3"/>
  <c r="BA580" i="3"/>
  <c r="AZ580" i="3" s="1"/>
  <c r="BL579" i="3"/>
  <c r="AZ579" i="3" s="1"/>
  <c r="BA577" i="3"/>
  <c r="BA576" i="3"/>
  <c r="AZ576" i="3" s="1"/>
  <c r="BL574" i="3"/>
  <c r="AZ574" i="3" s="1"/>
  <c r="BA573" i="3"/>
  <c r="BL572" i="3"/>
  <c r="BA572" i="3"/>
  <c r="AZ572" i="3" s="1"/>
  <c r="BL571" i="3"/>
  <c r="AZ571" i="3" s="1"/>
  <c r="BA569" i="3"/>
  <c r="AZ569" i="3" s="1"/>
  <c r="BA568" i="3"/>
  <c r="AZ568" i="3" s="1"/>
  <c r="BL566" i="3"/>
  <c r="AZ566" i="3" s="1"/>
  <c r="BL550" i="3"/>
  <c r="BA549" i="3"/>
  <c r="AZ549" i="3" s="1"/>
  <c r="BA546" i="3"/>
  <c r="AZ546" i="3" s="1"/>
  <c r="BA545" i="3"/>
  <c r="BL544" i="3"/>
  <c r="AZ544" i="3" s="1"/>
  <c r="BL542" i="3"/>
  <c r="AZ542" i="3" s="1"/>
  <c r="BA541" i="3"/>
  <c r="AZ541" i="3" s="1"/>
  <c r="BA538" i="3"/>
  <c r="AZ538" i="3" s="1"/>
  <c r="BL537" i="3"/>
  <c r="BA537" i="3"/>
  <c r="AZ537" i="3" s="1"/>
  <c r="BL536" i="3"/>
  <c r="BA536" i="3"/>
  <c r="AZ536" i="3" s="1"/>
  <c r="BL534" i="3"/>
  <c r="BA534" i="3"/>
  <c r="AZ534" i="3" s="1"/>
  <c r="BA533" i="3"/>
  <c r="AZ533" i="3" s="1"/>
  <c r="BL532" i="3"/>
  <c r="BA532" i="3"/>
  <c r="AZ532" i="3" s="1"/>
  <c r="BA530" i="3"/>
  <c r="AZ530" i="3" s="1"/>
  <c r="BL529" i="3"/>
  <c r="BA529" i="3"/>
  <c r="AZ529" i="3" s="1"/>
  <c r="BL528" i="3"/>
  <c r="AZ528" i="3" s="1"/>
  <c r="BL526" i="3"/>
  <c r="BA526" i="3"/>
  <c r="BL525" i="3"/>
  <c r="BA525" i="3"/>
  <c r="BL524" i="3"/>
  <c r="AZ524" i="3" s="1"/>
  <c r="BA522" i="3"/>
  <c r="AZ522" i="3" s="1"/>
  <c r="BL521" i="3"/>
  <c r="BA521" i="3"/>
  <c r="G521" i="3"/>
  <c r="BA519" i="3"/>
  <c r="BA518" i="3"/>
  <c r="AZ518" i="3" s="1"/>
  <c r="BL517" i="3"/>
  <c r="BL516" i="3"/>
  <c r="AZ516" i="3" s="1"/>
  <c r="BA515" i="3"/>
  <c r="BL514" i="3"/>
  <c r="BA514" i="3"/>
  <c r="AZ514" i="3" s="1"/>
  <c r="BA511" i="3"/>
  <c r="BL509" i="3"/>
  <c r="AZ509" i="3" s="1"/>
  <c r="BL506" i="3"/>
  <c r="BA506" i="3"/>
  <c r="AZ506" i="3" s="1"/>
  <c r="BL505" i="3"/>
  <c r="AZ505" i="3" s="1"/>
  <c r="BA505" i="3"/>
  <c r="BL504" i="3"/>
  <c r="AZ504" i="3" s="1"/>
  <c r="BL501" i="3"/>
  <c r="BA501" i="3"/>
  <c r="AZ501" i="3" s="1"/>
  <c r="BA500" i="3"/>
  <c r="AZ500" i="3" s="1"/>
  <c r="BL499" i="3"/>
  <c r="AZ499" i="3" s="1"/>
  <c r="BL498" i="3"/>
  <c r="AZ498" i="3" s="1"/>
  <c r="BL497" i="3"/>
  <c r="BA497" i="3"/>
  <c r="BL496" i="3"/>
  <c r="AZ496" i="3" s="1"/>
  <c r="BL495" i="3"/>
  <c r="BA494" i="3"/>
  <c r="AZ494" i="3" s="1"/>
  <c r="BA493" i="3"/>
  <c r="AZ493" i="3" s="1"/>
  <c r="AZ360" i="3"/>
  <c r="BL511" i="3"/>
  <c r="BL539" i="3"/>
  <c r="AZ539" i="3" s="1"/>
  <c r="BL543" i="3"/>
  <c r="AZ543" i="3" s="1"/>
  <c r="AZ564" i="3"/>
  <c r="S11" i="36"/>
  <c r="W40" i="33"/>
  <c r="AB41" i="21"/>
  <c r="B97" i="43"/>
  <c r="B75" i="43"/>
  <c r="J36" i="35"/>
  <c r="AC36" i="35" s="1"/>
  <c r="H36" i="35"/>
  <c r="J23" i="36"/>
  <c r="W31" i="35"/>
  <c r="AC31" i="35"/>
  <c r="G585" i="3"/>
  <c r="BL587" i="3"/>
  <c r="AZ587" i="3" s="1"/>
  <c r="BL586" i="3"/>
  <c r="AZ586" i="3" s="1"/>
  <c r="BA551" i="3"/>
  <c r="AZ551" i="3" s="1"/>
  <c r="BA550" i="3"/>
  <c r="BL548" i="3"/>
  <c r="AZ548" i="3" s="1"/>
  <c r="AZ419" i="3"/>
  <c r="AZ448" i="3"/>
  <c r="BL519" i="3"/>
  <c r="AZ519" i="3" s="1"/>
  <c r="BL531" i="3"/>
  <c r="AZ531" i="3" s="1"/>
  <c r="BL573" i="3"/>
  <c r="AZ583" i="3"/>
  <c r="F26" i="33"/>
  <c r="F39" i="37"/>
  <c r="S39" i="37" s="1"/>
  <c r="G587" i="3"/>
  <c r="J24" i="36"/>
  <c r="H24" i="36"/>
  <c r="G558" i="3"/>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12" i="3"/>
  <c r="BL214" i="3"/>
  <c r="AZ214" i="3" s="1"/>
  <c r="BL217" i="3"/>
  <c r="BA230" i="3"/>
  <c r="AZ230" i="3" s="1"/>
  <c r="AZ270" i="3"/>
  <c r="J9" i="34"/>
  <c r="G574"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G450" i="3"/>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L395" i="3"/>
  <c r="BA210" i="3"/>
  <c r="BL210" i="3"/>
  <c r="BA223" i="3"/>
  <c r="AZ223" i="3" s="1"/>
  <c r="BL227" i="3"/>
  <c r="BL228" i="3"/>
  <c r="AZ228" i="3" s="1"/>
  <c r="BL16" i="3"/>
  <c r="AZ16" i="3" s="1"/>
  <c r="BA401" i="3"/>
  <c r="AZ401" i="3" s="1"/>
  <c r="BA403" i="3"/>
  <c r="AZ403" i="3" s="1"/>
  <c r="BA404" i="3"/>
  <c r="BA405" i="3"/>
  <c r="AZ405" i="3" s="1"/>
  <c r="BL410" i="3"/>
  <c r="G412" i="3"/>
  <c r="G418" i="3"/>
  <c r="BA422" i="3"/>
  <c r="AZ422" i="3" s="1"/>
  <c r="G429"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397" i="3"/>
  <c r="BL397" i="3"/>
  <c r="BA209" i="3"/>
  <c r="BA217" i="3"/>
  <c r="AZ217" i="3" s="1"/>
  <c r="BA218" i="3"/>
  <c r="BL218" i="3"/>
  <c r="BA221" i="3"/>
  <c r="BL224" i="3"/>
  <c r="G225" i="3"/>
  <c r="BL225" i="3"/>
  <c r="BL226" i="3"/>
  <c r="G227" i="3"/>
  <c r="AZ177" i="3"/>
  <c r="BL273" i="3"/>
  <c r="G274" i="3"/>
  <c r="BA277" i="3"/>
  <c r="BL277" i="3"/>
  <c r="BA282" i="3"/>
  <c r="BL282" i="3"/>
  <c r="BA284" i="3"/>
  <c r="BL290" i="3"/>
  <c r="BL291" i="3"/>
  <c r="AZ291" i="3" s="1"/>
  <c r="BL293"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81" i="3"/>
  <c r="AZ181" i="3" s="1"/>
  <c r="BA182" i="3"/>
  <c r="AZ182" i="3" s="1"/>
  <c r="BL185" i="3"/>
  <c r="G186" i="3"/>
  <c r="BA201" i="3"/>
  <c r="AZ201" i="3" s="1"/>
  <c r="G18" i="3"/>
  <c r="BL232" i="3"/>
  <c r="BL234" i="3"/>
  <c r="BA236" i="3"/>
  <c r="BA238" i="3"/>
  <c r="AZ238" i="3" s="1"/>
  <c r="BA243" i="3"/>
  <c r="BL248" i="3"/>
  <c r="AZ248" i="3" s="1"/>
  <c r="BL250" i="3"/>
  <c r="AZ250" i="3" s="1"/>
  <c r="BA259" i="3"/>
  <c r="AZ259" i="3" s="1"/>
  <c r="BL261" i="3"/>
  <c r="BA263" i="3"/>
  <c r="BA267" i="3"/>
  <c r="AZ267" i="3" s="1"/>
  <c r="BA269" i="3"/>
  <c r="AZ269" i="3" s="1"/>
  <c r="BA296"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9" i="3"/>
  <c r="BL170" i="3"/>
  <c r="G171" i="3"/>
  <c r="BL177" i="3"/>
  <c r="G190" i="3"/>
  <c r="BL193" i="3"/>
  <c r="G194" i="3"/>
  <c r="BL194" i="3"/>
  <c r="AZ194" i="3" s="1"/>
  <c r="C55" i="71"/>
  <c r="D54" i="71"/>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BL113" i="3"/>
  <c r="BL115" i="3"/>
  <c r="AZ115" i="3" s="1"/>
  <c r="BA118" i="3"/>
  <c r="BL118" i="3"/>
  <c r="BA122" i="3"/>
  <c r="AZ122" i="3" s="1"/>
  <c r="BL125" i="3"/>
  <c r="AZ125" i="3" s="1"/>
  <c r="BL126" i="3"/>
  <c r="AZ126" i="3" s="1"/>
  <c r="BA144" i="3"/>
  <c r="AZ144" i="3" s="1"/>
  <c r="BA153" i="3"/>
  <c r="BL155" i="3"/>
  <c r="AZ155" i="3" s="1"/>
  <c r="BL166" i="3"/>
  <c r="BL205" i="3"/>
  <c r="BL23" i="3"/>
  <c r="BL178" i="3"/>
  <c r="BA180" i="3"/>
  <c r="AZ180" i="3" s="1"/>
  <c r="BL182" i="3"/>
  <c r="BA185" i="3"/>
  <c r="BL191" i="3"/>
  <c r="AZ191" i="3" s="1"/>
  <c r="BA193" i="3"/>
  <c r="BA196" i="3"/>
  <c r="AZ196" i="3" s="1"/>
  <c r="G203" i="3"/>
  <c r="BA205" i="3"/>
  <c r="BL20" i="3"/>
  <c r="BA21" i="3"/>
  <c r="AZ21" i="3" s="1"/>
  <c r="BA25" i="3"/>
  <c r="AZ25" i="3" s="1"/>
  <c r="BA26" i="3"/>
  <c r="BL28" i="3"/>
  <c r="BA29" i="3"/>
  <c r="AZ29" i="3" s="1"/>
  <c r="BA36" i="3"/>
  <c r="BL38" i="3"/>
  <c r="BA39" i="3"/>
  <c r="AZ39" i="3" s="1"/>
  <c r="BL47" i="3"/>
  <c r="AZ47" i="3" s="1"/>
  <c r="G50" i="3"/>
  <c r="G52" i="3"/>
  <c r="BA52" i="3"/>
  <c r="AZ52" i="3" s="1"/>
  <c r="BA53" i="3"/>
  <c r="AZ53" i="3" s="1"/>
  <c r="BA54" i="3"/>
  <c r="BL57" i="3"/>
  <c r="G59" i="3"/>
  <c r="G67" i="3"/>
  <c r="BL68" i="3"/>
  <c r="BA69" i="3"/>
  <c r="BA73" i="3"/>
  <c r="G81" i="3"/>
  <c r="BL85" i="3"/>
  <c r="BA86" i="3"/>
  <c r="BL97" i="3"/>
  <c r="AZ97" i="3" s="1"/>
  <c r="G103" i="3"/>
  <c r="BA103" i="3"/>
  <c r="AZ103" i="3" s="1"/>
  <c r="BA104" i="3"/>
  <c r="BA106" i="3"/>
  <c r="BL108" i="3"/>
  <c r="Y30" i="71"/>
  <c r="Z30" i="71" s="1"/>
  <c r="C34" i="71"/>
  <c r="Y28" i="71"/>
  <c r="Z28" i="71" s="1"/>
  <c r="Y27" i="71"/>
  <c r="Z27" i="71" s="1"/>
  <c r="Y26" i="71"/>
  <c r="Z26" i="71" s="1"/>
  <c r="AA3"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AZ55" i="3" s="1"/>
  <c r="G57" i="3"/>
  <c r="G58" i="3"/>
  <c r="BA59" i="3"/>
  <c r="G61" i="3"/>
  <c r="BL61" i="3"/>
  <c r="G64" i="3"/>
  <c r="BA64" i="3"/>
  <c r="AZ64" i="3" s="1"/>
  <c r="BA68" i="3"/>
  <c r="BL74" i="3"/>
  <c r="AZ74" i="3" s="1"/>
  <c r="G75" i="3"/>
  <c r="BL75" i="3"/>
  <c r="BA80" i="3"/>
  <c r="BL84" i="3"/>
  <c r="G89" i="3"/>
  <c r="BA90" i="3"/>
  <c r="BA109" i="3"/>
  <c r="BA111" i="3"/>
  <c r="AZ111" i="3" s="1"/>
  <c r="K13" i="1"/>
  <c r="M13" i="1" s="1"/>
  <c r="O13" i="1" s="1"/>
  <c r="P13" i="1" s="1"/>
  <c r="F40" i="69"/>
  <c r="C40" i="69"/>
  <c r="AB21" i="37"/>
  <c r="U21" i="37"/>
  <c r="T44" i="71"/>
  <c r="P65" i="71"/>
  <c r="P66" i="71"/>
  <c r="AB25" i="71"/>
  <c r="AB28" i="71"/>
  <c r="AB26" i="71"/>
  <c r="C52" i="71"/>
  <c r="D51" i="7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BL105" i="3"/>
  <c r="AZ105" i="3" s="1"/>
  <c r="G107" i="3"/>
  <c r="BL107" i="3"/>
  <c r="BA110" i="3"/>
  <c r="AZ110" i="3" s="1"/>
  <c r="F3" i="35"/>
  <c r="U21" i="33"/>
  <c r="AB21" i="33"/>
  <c r="C86" i="71"/>
  <c r="D86" i="71" s="1"/>
  <c r="D87" i="71"/>
  <c r="B27" i="71"/>
  <c r="B26" i="71" s="1"/>
  <c r="S28" i="71"/>
  <c r="AA38" i="71"/>
  <c r="AA37" i="71"/>
  <c r="AA27" i="71"/>
  <c r="D67" i="71"/>
  <c r="C66" i="71"/>
  <c r="AZ57" i="3"/>
  <c r="AZ70" i="3"/>
  <c r="AZ108" i="3"/>
  <c r="C32" i="71"/>
  <c r="N66" i="71"/>
  <c r="AA28" i="71"/>
  <c r="C40" i="71"/>
  <c r="E39" i="71"/>
  <c r="E40" i="71" s="1"/>
  <c r="U40" i="71" s="1"/>
  <c r="X33" i="71"/>
  <c r="X34" i="71"/>
  <c r="X36" i="71"/>
  <c r="X35" i="71"/>
  <c r="AB37" i="71"/>
  <c r="AB35" i="71"/>
  <c r="F38" i="71"/>
  <c r="F39" i="71" s="1"/>
  <c r="F40" i="71" s="1"/>
  <c r="V40" i="71" s="1"/>
  <c r="C47" i="71"/>
  <c r="D47" i="71" s="1"/>
  <c r="D46" i="71"/>
  <c r="C64" i="71"/>
  <c r="D63" i="71"/>
  <c r="X25" i="71"/>
  <c r="V24" i="71"/>
  <c r="E23" i="71"/>
  <c r="E22" i="71" s="1"/>
  <c r="E21" i="71" s="1"/>
  <c r="E20" i="71" s="1"/>
  <c r="C75" i="71"/>
  <c r="O68" i="71"/>
  <c r="X28" i="71"/>
  <c r="X32" i="7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76" i="71"/>
  <c r="T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D9" i="69"/>
  <c r="F40" i="67"/>
  <c r="M28" i="67"/>
  <c r="F9" i="67"/>
  <c r="F7" i="67"/>
  <c r="M24" i="67"/>
  <c r="F16" i="67"/>
  <c r="M6" i="15"/>
  <c r="F38" i="15"/>
  <c r="M9" i="15"/>
  <c r="M28" i="15"/>
  <c r="M22" i="15"/>
  <c r="F40" i="15"/>
  <c r="F43" i="15"/>
  <c r="M24" i="15"/>
  <c r="C76" i="15"/>
  <c r="M8" i="15"/>
  <c r="D5" i="73"/>
  <c r="F8" i="67"/>
  <c r="F37" i="67"/>
  <c r="F26" i="67"/>
  <c r="L47" i="67"/>
  <c r="M8" i="67"/>
  <c r="M29" i="67"/>
  <c r="M29" i="15"/>
  <c r="M23" i="15"/>
  <c r="F26" i="15"/>
  <c r="F13" i="15"/>
  <c r="F9" i="15"/>
  <c r="M26" i="15"/>
  <c r="F6" i="15"/>
  <c r="D7" i="73"/>
  <c r="F13" i="67"/>
  <c r="J15" i="67"/>
  <c r="F42" i="67"/>
  <c r="M6" i="67"/>
  <c r="F38" i="67"/>
  <c r="C76" i="67"/>
  <c r="F16" i="15"/>
  <c r="F37" i="15"/>
  <c r="F8" i="15"/>
  <c r="D4" i="73"/>
  <c r="M22" i="67"/>
  <c r="F6" i="67"/>
  <c r="M9" i="67"/>
  <c r="L48" i="67"/>
  <c r="M23" i="67"/>
  <c r="M26" i="67"/>
  <c r="F36" i="67"/>
  <c r="L48" i="15"/>
  <c r="L47" i="15"/>
  <c r="F42" i="15"/>
  <c r="F36" i="15"/>
  <c r="J15" i="15"/>
  <c r="F7" i="15"/>
  <c r="D3" i="73"/>
  <c r="F43" i="67"/>
  <c r="M11" i="81" l="1"/>
  <c r="J10" i="81" s="1"/>
  <c r="J5" i="81" s="1"/>
  <c r="F11" i="81"/>
  <c r="A19" i="51"/>
  <c r="B14" i="72" s="1"/>
  <c r="N370" i="46"/>
  <c r="E59" i="40"/>
  <c r="C6" i="15"/>
  <c r="C32" i="15" s="1"/>
  <c r="F71" i="15"/>
  <c r="F51" i="15"/>
  <c r="F50" i="15"/>
  <c r="M7" i="15"/>
  <c r="J6" i="15" s="1"/>
  <c r="J18" i="15" s="1"/>
  <c r="F68" i="15"/>
  <c r="F65" i="15"/>
  <c r="F64" i="15"/>
  <c r="Q71" i="15"/>
  <c r="C27" i="15"/>
  <c r="M59" i="15"/>
  <c r="L58" i="15"/>
  <c r="Q60" i="15" s="1"/>
  <c r="L59" i="15"/>
  <c r="Q61" i="15" s="1"/>
  <c r="N59" i="15"/>
  <c r="F66" i="15"/>
  <c r="J53" i="15"/>
  <c r="L56" i="15" s="1"/>
  <c r="I54" i="15"/>
  <c r="J57" i="15"/>
  <c r="J55" i="15" s="1"/>
  <c r="J58" i="15" s="1"/>
  <c r="Q50" i="15" s="1"/>
  <c r="Q71" i="67"/>
  <c r="F64" i="67"/>
  <c r="F66" i="67"/>
  <c r="L59" i="67"/>
  <c r="Q74" i="67" s="1"/>
  <c r="M59" i="67"/>
  <c r="L58" i="67"/>
  <c r="Q60" i="67" s="1"/>
  <c r="N59" i="67"/>
  <c r="M7" i="67"/>
  <c r="J6" i="67" s="1"/>
  <c r="J18" i="67" s="1"/>
  <c r="F50" i="67"/>
  <c r="J57" i="67"/>
  <c r="J55" i="67" s="1"/>
  <c r="J58" i="67" s="1"/>
  <c r="Q50" i="67" s="1"/>
  <c r="I54" i="67"/>
  <c r="J53" i="67"/>
  <c r="F1" i="67" s="1"/>
  <c r="L56" i="67"/>
  <c r="C27" i="67"/>
  <c r="F65" i="67"/>
  <c r="F71" i="67"/>
  <c r="C6" i="67"/>
  <c r="C32" i="67" s="1"/>
  <c r="F51" i="67"/>
  <c r="F68" i="67"/>
  <c r="F26" i="43"/>
  <c r="E26" i="43"/>
  <c r="H26" i="43"/>
  <c r="G26" i="43"/>
  <c r="N94" i="46"/>
  <c r="P6" i="1"/>
  <c r="C13" i="12" s="1"/>
  <c r="AZ27" i="3"/>
  <c r="AZ302" i="3"/>
  <c r="AB24" i="36"/>
  <c r="U24" i="36"/>
  <c r="S26" i="33"/>
  <c r="AA26" i="33"/>
  <c r="AB34" i="36"/>
  <c r="U34" i="36"/>
  <c r="AA35" i="35"/>
  <c r="S35" i="35"/>
  <c r="AA28" i="33"/>
  <c r="S28" i="33"/>
  <c r="AB31" i="21"/>
  <c r="U31" i="21"/>
  <c r="AC13" i="21"/>
  <c r="W13" i="21"/>
  <c r="AZ577" i="3"/>
  <c r="J7" i="36"/>
  <c r="AZ59" i="3"/>
  <c r="AZ130" i="3"/>
  <c r="AZ282" i="3"/>
  <c r="AC24" i="36"/>
  <c r="W24" i="36"/>
  <c r="AZ511" i="3"/>
  <c r="AA40" i="37"/>
  <c r="S40" i="37"/>
  <c r="S28" i="21"/>
  <c r="AA28" i="21"/>
  <c r="AA44" i="39"/>
  <c r="S44" i="39"/>
  <c r="W12" i="33"/>
  <c r="AC12" i="33"/>
  <c r="AB46" i="21"/>
  <c r="U46" i="21"/>
  <c r="AZ585" i="3"/>
  <c r="J7" i="37"/>
  <c r="AC7" i="37" s="1"/>
  <c r="G5" i="3"/>
  <c r="B3" i="3" s="1"/>
  <c r="E152" i="3" s="1"/>
  <c r="C26" i="71"/>
  <c r="D26" i="71" s="1"/>
  <c r="D27" i="71"/>
  <c r="T32" i="71"/>
  <c r="D32" i="71"/>
  <c r="O65" i="71"/>
  <c r="D66" i="71"/>
  <c r="O66" i="71"/>
  <c r="AZ41" i="3"/>
  <c r="AZ31" i="3"/>
  <c r="AZ118" i="3"/>
  <c r="AZ251" i="3"/>
  <c r="AZ247" i="3"/>
  <c r="C56" i="71"/>
  <c r="D55" i="71"/>
  <c r="AZ224" i="3"/>
  <c r="AZ263" i="3"/>
  <c r="AZ332" i="3"/>
  <c r="AZ404" i="3"/>
  <c r="AZ210" i="3"/>
  <c r="AZ425" i="3"/>
  <c r="AC9" i="34"/>
  <c r="W9" i="34"/>
  <c r="AZ573" i="3"/>
  <c r="AC23" i="36"/>
  <c r="W23" i="36"/>
  <c r="AZ521" i="3"/>
  <c r="AZ525" i="3"/>
  <c r="W40" i="37"/>
  <c r="AC40" i="37"/>
  <c r="W28" i="21"/>
  <c r="AC28" i="21"/>
  <c r="AC44" i="39"/>
  <c r="W44" i="39"/>
  <c r="S45" i="34"/>
  <c r="AA45" i="34"/>
  <c r="AC28" i="33"/>
  <c r="W28" i="33"/>
  <c r="D75" i="71"/>
  <c r="C74" i="71"/>
  <c r="D74" i="71" s="1"/>
  <c r="T40" i="71"/>
  <c r="D40" i="71"/>
  <c r="T52" i="71"/>
  <c r="D52" i="71"/>
  <c r="D34" i="71"/>
  <c r="C35" i="71"/>
  <c r="AZ86" i="3"/>
  <c r="AZ69" i="3"/>
  <c r="AZ38" i="3"/>
  <c r="AZ205" i="3"/>
  <c r="AZ229" i="3"/>
  <c r="AZ243" i="3"/>
  <c r="AZ137" i="3"/>
  <c r="AZ297" i="3"/>
  <c r="AZ284" i="3"/>
  <c r="AZ277" i="3"/>
  <c r="AZ218" i="3"/>
  <c r="AZ397" i="3"/>
  <c r="AZ483" i="3"/>
  <c r="AZ415" i="3"/>
  <c r="AZ398" i="3"/>
  <c r="AZ550" i="3"/>
  <c r="AB36" i="35"/>
  <c r="U36" i="35"/>
  <c r="AZ497" i="3"/>
  <c r="AZ526" i="3"/>
  <c r="S34" i="36"/>
  <c r="AA34" i="36"/>
  <c r="AB44" i="39"/>
  <c r="U44" i="39"/>
  <c r="W45" i="34"/>
  <c r="AC45" i="34"/>
  <c r="U28" i="33"/>
  <c r="AB28" i="33"/>
  <c r="S31" i="21"/>
  <c r="AA31" i="21"/>
  <c r="K1" i="73"/>
  <c r="AA26" i="37"/>
  <c r="S26" i="37"/>
  <c r="BA5" i="3"/>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C16" i="67"/>
  <c r="AE6" i="1"/>
  <c r="C16" i="15"/>
  <c r="AE7" i="1"/>
  <c r="G1" i="73"/>
  <c r="F41" i="67"/>
  <c r="C53" i="81" l="1"/>
  <c r="C48" i="81" s="1"/>
  <c r="C10" i="81"/>
  <c r="C5" i="81" s="1"/>
  <c r="J26" i="81"/>
  <c r="J24" i="81"/>
  <c r="Q52" i="15"/>
  <c r="F67" i="39"/>
  <c r="U7" i="36"/>
  <c r="D26" i="43"/>
  <c r="C25" i="43" s="1"/>
  <c r="C33" i="43" s="1"/>
  <c r="C6" i="69" s="1"/>
  <c r="F1" i="15"/>
  <c r="Q73" i="15"/>
  <c r="Q73" i="67"/>
  <c r="E495" i="3"/>
  <c r="J5" i="15"/>
  <c r="J24" i="15" s="1"/>
  <c r="Q74" i="15"/>
  <c r="C49" i="15"/>
  <c r="E211" i="3"/>
  <c r="E395" i="3"/>
  <c r="AK6" i="3"/>
  <c r="E498" i="3"/>
  <c r="E191" i="3"/>
  <c r="E441" i="3"/>
  <c r="E200" i="3"/>
  <c r="E322" i="3"/>
  <c r="E454" i="3"/>
  <c r="E410" i="3"/>
  <c r="E573" i="3"/>
  <c r="E297" i="3"/>
  <c r="E477" i="3"/>
  <c r="E344" i="3"/>
  <c r="E287" i="3"/>
  <c r="E378" i="3"/>
  <c r="E69" i="3"/>
  <c r="E400" i="3"/>
  <c r="E514" i="3"/>
  <c r="E227" i="3"/>
  <c r="E185" i="3"/>
  <c r="E351" i="3"/>
  <c r="E97" i="3"/>
  <c r="E131" i="3"/>
  <c r="E487" i="3"/>
  <c r="E296" i="3"/>
  <c r="E445" i="3"/>
  <c r="E431" i="3"/>
  <c r="E489" i="3"/>
  <c r="E214" i="3"/>
  <c r="E77" i="3"/>
  <c r="E439" i="3"/>
  <c r="E447" i="3"/>
  <c r="E72" i="3"/>
  <c r="V6" i="3"/>
  <c r="E154" i="3"/>
  <c r="E420" i="3"/>
  <c r="E248" i="3"/>
  <c r="E385" i="3"/>
  <c r="E387" i="3"/>
  <c r="E109" i="3"/>
  <c r="E327" i="3"/>
  <c r="E465" i="3"/>
  <c r="E361" i="3"/>
  <c r="E305" i="3"/>
  <c r="E585" i="3"/>
  <c r="E453" i="3"/>
  <c r="AN6" i="3"/>
  <c r="E176" i="3"/>
  <c r="E3" i="6"/>
  <c r="E310" i="3"/>
  <c r="Q52" i="67"/>
  <c r="Q61" i="67"/>
  <c r="J5" i="67"/>
  <c r="J24" i="67" s="1"/>
  <c r="C49" i="67"/>
  <c r="K6" i="3"/>
  <c r="E134" i="3"/>
  <c r="E533" i="3"/>
  <c r="E210" i="3"/>
  <c r="E549" i="3"/>
  <c r="E99" i="3"/>
  <c r="E480" i="3"/>
  <c r="E288" i="3"/>
  <c r="E38" i="3"/>
  <c r="E281" i="3"/>
  <c r="E562" i="3"/>
  <c r="E578" i="3"/>
  <c r="E576" i="3"/>
  <c r="E547" i="3"/>
  <c r="E51" i="3"/>
  <c r="E326" i="3"/>
  <c r="E539" i="3"/>
  <c r="E536" i="3"/>
  <c r="E499" i="3"/>
  <c r="E541" i="3"/>
  <c r="E554" i="3"/>
  <c r="E479" i="3"/>
  <c r="E19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510" i="3"/>
  <c r="R6" i="3"/>
  <c r="E255" i="3"/>
  <c r="E417" i="3"/>
  <c r="E241" i="3"/>
  <c r="E544" i="3"/>
  <c r="E425" i="3"/>
  <c r="E267" i="3"/>
  <c r="E492" i="3"/>
  <c r="E144" i="3"/>
  <c r="E63" i="3"/>
  <c r="E513"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353" i="3"/>
  <c r="E238" i="3"/>
  <c r="E120" i="3"/>
  <c r="E437" i="3"/>
  <c r="AE6" i="3"/>
  <c r="E73" i="3"/>
  <c r="E394" i="3"/>
  <c r="E236" i="3"/>
  <c r="AG6" i="3"/>
  <c r="E558" i="3"/>
  <c r="E88" i="3"/>
  <c r="E316" i="3"/>
  <c r="E125" i="3"/>
  <c r="N6" i="3"/>
  <c r="E396" i="3"/>
  <c r="E559" i="3"/>
  <c r="E320" i="3"/>
  <c r="E114" i="3"/>
  <c r="E550" i="3"/>
  <c r="E245" i="3"/>
  <c r="E293" i="3"/>
  <c r="E212" i="3"/>
  <c r="E442" i="3"/>
  <c r="I3" i="6"/>
  <c r="E56" i="3"/>
  <c r="E292" i="3"/>
  <c r="E76" i="3"/>
  <c r="E64" i="3"/>
  <c r="E249" i="3"/>
  <c r="E23" i="3"/>
  <c r="E233" i="3"/>
  <c r="E81" i="3"/>
  <c r="E21" i="3"/>
  <c r="AL6" i="3"/>
  <c r="E96" i="3"/>
  <c r="E522" i="3"/>
  <c r="E102" i="3"/>
  <c r="E205" i="3"/>
  <c r="E534"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E280" i="3"/>
  <c r="E434" i="3"/>
  <c r="E177" i="3"/>
  <c r="E481" i="3"/>
  <c r="E429" i="3"/>
  <c r="E203" i="3"/>
  <c r="E580" i="3"/>
  <c r="E252" i="3"/>
  <c r="E448" i="3"/>
  <c r="E581" i="3"/>
  <c r="E121" i="3"/>
  <c r="E334" i="3"/>
  <c r="E366" i="3"/>
  <c r="E239" i="3"/>
  <c r="E229" i="3"/>
  <c r="E551" i="3"/>
  <c r="E294" i="3"/>
  <c r="E415" i="3"/>
  <c r="E117" i="3"/>
  <c r="E382" i="3"/>
  <c r="E336" i="3"/>
  <c r="E199" i="3"/>
  <c r="E466" i="3"/>
  <c r="E517" i="3"/>
  <c r="E95" i="3"/>
  <c r="E363" i="3"/>
  <c r="E409" i="3"/>
  <c r="E46" i="3"/>
  <c r="E300" i="3"/>
  <c r="E67" i="3"/>
  <c r="E355" i="3"/>
  <c r="E264" i="3"/>
  <c r="E198" i="3"/>
  <c r="E42" i="3"/>
  <c r="E129"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AA6" i="3"/>
  <c r="E128" i="3"/>
  <c r="E330" i="3"/>
  <c r="E424" i="3"/>
  <c r="E496" i="3"/>
  <c r="E256" i="3"/>
  <c r="E32" i="3"/>
  <c r="E164" i="3"/>
  <c r="P6" i="3"/>
  <c r="E444" i="3"/>
  <c r="E166" i="3"/>
  <c r="E30" i="3"/>
  <c r="E553" i="3"/>
  <c r="E516" i="3"/>
  <c r="E15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61" i="3"/>
  <c r="E130" i="3"/>
  <c r="E358" i="3"/>
  <c r="E295" i="3"/>
  <c r="I6" i="3"/>
  <c r="Q6" i="3"/>
  <c r="E221" i="3"/>
  <c r="E328" i="3"/>
  <c r="E379" i="3"/>
  <c r="E313" i="3"/>
  <c r="AD6" i="3"/>
  <c r="E19" i="3"/>
  <c r="E521" i="3"/>
  <c r="E340" i="3"/>
  <c r="E43" i="3"/>
  <c r="E440" i="3"/>
  <c r="E49" i="3"/>
  <c r="E360" i="3"/>
  <c r="E206" i="3"/>
  <c r="E309" i="3"/>
  <c r="E103" i="3"/>
  <c r="E435"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290" i="3"/>
  <c r="E230" i="3"/>
  <c r="E569" i="3"/>
  <c r="E404" i="3"/>
  <c r="E274" i="3"/>
  <c r="E262" i="3"/>
  <c r="E304" i="3"/>
  <c r="E29" i="3"/>
  <c r="E93" i="3"/>
  <c r="E136" i="3"/>
  <c r="E259" i="3"/>
  <c r="E138" i="3"/>
  <c r="E460" i="3"/>
  <c r="E52" i="3"/>
  <c r="E346" i="3"/>
  <c r="E543" i="3"/>
  <c r="E78" i="3"/>
  <c r="E456" i="3"/>
  <c r="E235" i="3"/>
  <c r="E381" i="3"/>
  <c r="E484" i="3"/>
  <c r="E449"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518" i="3"/>
  <c r="E260" i="3"/>
  <c r="E407" i="3"/>
  <c r="E282" i="3"/>
  <c r="E443" i="3"/>
  <c r="E55" i="3"/>
  <c r="E156" i="3"/>
  <c r="E418" i="3"/>
  <c r="E126" i="3"/>
  <c r="E168" i="3"/>
  <c r="E98" i="3"/>
  <c r="E341" i="3"/>
  <c r="E500" i="3"/>
  <c r="E101" i="3"/>
  <c r="E299" i="3"/>
  <c r="E108" i="3"/>
  <c r="E223" i="3"/>
  <c r="E225" i="3"/>
  <c r="E173" i="3"/>
  <c r="E75" i="3"/>
  <c r="E33" i="3"/>
  <c r="E389" i="3"/>
  <c r="E575" i="3"/>
  <c r="W7" i="37"/>
  <c r="E258" i="3"/>
  <c r="E37" i="3"/>
  <c r="E491" i="3"/>
  <c r="AP6" i="3"/>
  <c r="E430" i="3"/>
  <c r="E502" i="3"/>
  <c r="E286" i="3"/>
  <c r="C36" i="71"/>
  <c r="D35"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81"/>
  <c r="M27" i="15"/>
  <c r="M27" i="67"/>
  <c r="F41" i="15"/>
  <c r="F69" i="81" l="1"/>
  <c r="J29" i="81"/>
  <c r="C38" i="81"/>
  <c r="C66" i="81"/>
  <c r="C60" i="81"/>
  <c r="L36" i="43"/>
  <c r="L37" i="43" s="1"/>
  <c r="Q37" i="43" s="1"/>
  <c r="F24" i="81"/>
  <c r="C48" i="15"/>
  <c r="C66" i="15" s="1"/>
  <c r="E19" i="6"/>
  <c r="V2" i="43" s="1"/>
  <c r="C34" i="43" s="1"/>
  <c r="E34" i="43" s="1"/>
  <c r="F27" i="6"/>
  <c r="F31" i="6" s="1"/>
  <c r="F24" i="67"/>
  <c r="C24" i="67" s="1"/>
  <c r="C48" i="67"/>
  <c r="C66" i="67" s="1"/>
  <c r="H6" i="3"/>
  <c r="D116" i="43"/>
  <c r="AC6" i="3"/>
  <c r="E49" i="34"/>
  <c r="F24" i="15"/>
  <c r="C24" i="15" s="1"/>
  <c r="F22" i="69"/>
  <c r="F41" i="69" s="1"/>
  <c r="F22" i="68"/>
  <c r="F41" i="68" s="1"/>
  <c r="F25" i="12"/>
  <c r="C26" i="12" s="1"/>
  <c r="D25" i="12" s="1"/>
  <c r="F22" i="11"/>
  <c r="C24" i="11" s="1"/>
  <c r="D36" i="71"/>
  <c r="T36" i="71"/>
  <c r="C17" i="71"/>
  <c r="D18" i="71"/>
  <c r="F69" i="15"/>
  <c r="E33" i="43"/>
  <c r="S11" i="1"/>
  <c r="E11" i="70" s="1"/>
  <c r="S9" i="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D10" i="69"/>
  <c r="C17" i="67"/>
  <c r="C14" i="67"/>
  <c r="N36" i="43" l="1"/>
  <c r="M37" i="43"/>
  <c r="O36" i="43"/>
  <c r="P37" i="43"/>
  <c r="Q36" i="43"/>
  <c r="N37" i="43"/>
  <c r="O37" i="43"/>
  <c r="P36" i="43"/>
  <c r="M36" i="43"/>
  <c r="C24" i="81"/>
  <c r="C23" i="81"/>
  <c r="C7" i="69"/>
  <c r="C60" i="15"/>
  <c r="E6" i="3"/>
  <c r="K6" i="1"/>
  <c r="E27" i="6"/>
  <c r="C25" i="11"/>
  <c r="C60" i="67"/>
  <c r="C23" i="11"/>
  <c r="C44" i="11"/>
  <c r="D41" i="11" s="1"/>
  <c r="C26" i="11"/>
  <c r="D22" i="11" s="1"/>
  <c r="C26" i="69"/>
  <c r="D22" i="69" s="1"/>
  <c r="C44" i="69"/>
  <c r="D41" i="69" s="1"/>
  <c r="C26" i="68"/>
  <c r="D22" i="68" s="1"/>
  <c r="C44" i="68"/>
  <c r="D41" i="68" s="1"/>
  <c r="C16" i="71"/>
  <c r="D17" i="71"/>
  <c r="C18" i="67"/>
  <c r="C15" i="67"/>
  <c r="C30" i="43"/>
  <c r="B2" i="43" s="1"/>
  <c r="B3" i="43" s="1"/>
  <c r="C31" i="43"/>
  <c r="E12" i="70"/>
  <c r="F34" i="11"/>
  <c r="F11" i="12"/>
  <c r="E9" i="70"/>
  <c r="AR9" i="1"/>
  <c r="AQ9" i="1"/>
  <c r="T9" i="1"/>
  <c r="AQ11" i="1"/>
  <c r="AR11" i="1"/>
  <c r="T11" i="1"/>
  <c r="AR12" i="1"/>
  <c r="T12" i="1"/>
  <c r="AQ12" i="1"/>
  <c r="AQ10" i="1"/>
  <c r="T10" i="1"/>
  <c r="AR10" i="1"/>
  <c r="D16" i="6"/>
  <c r="C15" i="12"/>
  <c r="C12" i="12"/>
  <c r="D27" i="6"/>
  <c r="D31" i="6" s="1"/>
  <c r="D8" i="74"/>
  <c r="D7" i="74"/>
  <c r="C10" i="69"/>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8" i="69" l="1"/>
  <c r="B29" i="1"/>
  <c r="C5" i="69"/>
  <c r="C23" i="69" s="1"/>
  <c r="C29" i="81"/>
  <c r="C36" i="81" s="1"/>
  <c r="C22" i="11"/>
  <c r="AP6" i="1"/>
  <c r="H16" i="1"/>
  <c r="M6" i="1"/>
  <c r="K16" i="1"/>
  <c r="Q16" i="1"/>
  <c r="G16" i="1"/>
  <c r="K26" i="6"/>
  <c r="M26" i="6" s="1"/>
  <c r="I26" i="6" s="1"/>
  <c r="K25" i="6"/>
  <c r="M25" i="6" s="1"/>
  <c r="I25" i="6" s="1"/>
  <c r="E31" i="6"/>
  <c r="I5" i="6" s="1"/>
  <c r="K20" i="6"/>
  <c r="K24" i="6"/>
  <c r="M24" i="6" s="1"/>
  <c r="I24" i="6" s="1"/>
  <c r="K23" i="6"/>
  <c r="M23" i="6" s="1"/>
  <c r="I23" i="6" s="1"/>
  <c r="K21" i="6"/>
  <c r="K22" i="6"/>
  <c r="M22" i="6" s="1"/>
  <c r="I22" i="6" s="1"/>
  <c r="K19" i="6"/>
  <c r="C15" i="71"/>
  <c r="T16" i="71"/>
  <c r="D16" i="71"/>
  <c r="U16" i="71" s="1"/>
  <c r="C19" i="67"/>
  <c r="C20" i="67" s="1"/>
  <c r="C26" i="67" s="1"/>
  <c r="C36" i="11"/>
  <c r="C37" i="11"/>
  <c r="C23" i="12"/>
  <c r="C14" i="12"/>
  <c r="C16" i="12" s="1"/>
  <c r="C19" i="68"/>
  <c r="D37" i="68"/>
  <c r="C37" i="68" s="1"/>
  <c r="C19" i="69"/>
  <c r="C24" i="69" s="1"/>
  <c r="D37" i="69"/>
  <c r="C37" i="69" s="1"/>
  <c r="I6" i="6"/>
  <c r="E2" i="76"/>
  <c r="B2" i="76"/>
  <c r="I69" i="39"/>
  <c r="J67" i="39"/>
  <c r="I63" i="40"/>
  <c r="H65" i="40"/>
  <c r="I58" i="21"/>
  <c r="J58" i="21" s="1"/>
  <c r="K58" i="21" s="1"/>
  <c r="L58" i="21" s="1"/>
  <c r="M58" i="21" s="1"/>
  <c r="N58" i="21" s="1"/>
  <c r="O58" i="21" s="1"/>
  <c r="H7" i="21" s="1"/>
  <c r="J48" i="35"/>
  <c r="C36" i="69"/>
  <c r="C34" i="69"/>
  <c r="C8" i="68" l="1"/>
  <c r="C5" i="68" s="1"/>
  <c r="C23" i="68" s="1"/>
  <c r="C18" i="12"/>
  <c r="C21" i="12" s="1"/>
  <c r="C13" i="81"/>
  <c r="C75" i="81" s="1"/>
  <c r="J14" i="81"/>
  <c r="J13" i="81" s="1"/>
  <c r="J23" i="81" s="1"/>
  <c r="Q49" i="81"/>
  <c r="C57" i="81"/>
  <c r="C64" i="81" s="1"/>
  <c r="C56" i="81"/>
  <c r="C65" i="81" s="1"/>
  <c r="M20" i="6"/>
  <c r="I20" i="6" s="1"/>
  <c r="S7" i="1"/>
  <c r="O6" i="1"/>
  <c r="O16" i="1" s="1"/>
  <c r="M16" i="1"/>
  <c r="N16" i="1" s="1"/>
  <c r="S22" i="6"/>
  <c r="H22" i="6"/>
  <c r="R22" i="6" s="1"/>
  <c r="R9" i="1" s="1"/>
  <c r="C35" i="69"/>
  <c r="C38" i="69"/>
  <c r="S8" i="1"/>
  <c r="M21" i="6"/>
  <c r="I21" i="6" s="1"/>
  <c r="S6" i="1"/>
  <c r="K27" i="6"/>
  <c r="M19" i="6"/>
  <c r="S23" i="6"/>
  <c r="H23" i="6"/>
  <c r="R23" i="6" s="1"/>
  <c r="R10" i="1" s="1"/>
  <c r="S25" i="6"/>
  <c r="H25" i="6"/>
  <c r="R25" i="6" s="1"/>
  <c r="R12" i="1" s="1"/>
  <c r="F10" i="39"/>
  <c r="J10" i="40"/>
  <c r="H10" i="40"/>
  <c r="H10" i="39"/>
  <c r="J10" i="39"/>
  <c r="F10" i="40"/>
  <c r="S20" i="6"/>
  <c r="H20" i="6"/>
  <c r="R20" i="6" s="1"/>
  <c r="R7" i="1" s="1"/>
  <c r="S24" i="6"/>
  <c r="H24" i="6"/>
  <c r="R24" i="6" s="1"/>
  <c r="R11" i="1" s="1"/>
  <c r="S26" i="6"/>
  <c r="H26" i="6"/>
  <c r="R26" i="6" s="1"/>
  <c r="F27" i="11"/>
  <c r="F27" i="68"/>
  <c r="F28" i="12"/>
  <c r="C29" i="12" s="1"/>
  <c r="D28" i="12" s="1"/>
  <c r="C14" i="71"/>
  <c r="D15" i="71"/>
  <c r="F7" i="21"/>
  <c r="S7" i="21" s="1"/>
  <c r="J7" i="21"/>
  <c r="AC7" i="21" s="1"/>
  <c r="V48" i="21" s="1"/>
  <c r="I48" i="21" s="1"/>
  <c r="C23" i="67"/>
  <c r="C29" i="67" s="1"/>
  <c r="J59" i="67" s="1"/>
  <c r="J60" i="67" s="1"/>
  <c r="Q48" i="67" s="1"/>
  <c r="C20" i="69"/>
  <c r="C20" i="68"/>
  <c r="C24" i="68"/>
  <c r="B3" i="76"/>
  <c r="J69" i="39"/>
  <c r="K67" i="39"/>
  <c r="U7" i="21"/>
  <c r="AB7" i="21"/>
  <c r="T48" i="21" s="1"/>
  <c r="G48" i="21" s="1"/>
  <c r="J63" i="40"/>
  <c r="I65" i="40"/>
  <c r="K48" i="35"/>
  <c r="L48" i="35" s="1"/>
  <c r="M48" i="35" s="1"/>
  <c r="N48" i="35" s="1"/>
  <c r="O48" i="35" s="1"/>
  <c r="H7" i="35" s="1"/>
  <c r="F27" i="69"/>
  <c r="C17" i="15"/>
  <c r="C37" i="81" l="1"/>
  <c r="C22" i="12"/>
  <c r="C27" i="12" s="1"/>
  <c r="C25" i="12" s="1"/>
  <c r="Q70" i="81"/>
  <c r="J22" i="81"/>
  <c r="E7" i="70"/>
  <c r="AR7" i="1"/>
  <c r="T7" i="1"/>
  <c r="AQ7" i="1"/>
  <c r="C28" i="68"/>
  <c r="C27" i="68" s="1"/>
  <c r="C28" i="69"/>
  <c r="C27" i="69" s="1"/>
  <c r="C33" i="69"/>
  <c r="C39" i="69" s="1"/>
  <c r="C43" i="69" s="1"/>
  <c r="C30" i="12"/>
  <c r="C28" i="12" s="1"/>
  <c r="S10" i="40"/>
  <c r="AA10" i="40"/>
  <c r="AC10" i="40"/>
  <c r="W10" i="40"/>
  <c r="AQ6" i="1"/>
  <c r="AR6" i="1"/>
  <c r="T6" i="1"/>
  <c r="S16" i="1"/>
  <c r="E6" i="70"/>
  <c r="F50" i="69"/>
  <c r="F50" i="11"/>
  <c r="F50" i="68"/>
  <c r="AB10" i="40"/>
  <c r="U10" i="40"/>
  <c r="C29" i="11"/>
  <c r="D27" i="11" s="1"/>
  <c r="C47" i="11"/>
  <c r="D45" i="11" s="1"/>
  <c r="C28" i="11"/>
  <c r="C27" i="11" s="1"/>
  <c r="F45" i="69"/>
  <c r="C29" i="69"/>
  <c r="D27" i="69" s="1"/>
  <c r="C47" i="69"/>
  <c r="D45" i="69" s="1"/>
  <c r="W10" i="39"/>
  <c r="AC10" i="39"/>
  <c r="AA10" i="39"/>
  <c r="S10" i="39"/>
  <c r="S21" i="6"/>
  <c r="H21" i="6"/>
  <c r="R21" i="6" s="1"/>
  <c r="R8" i="1" s="1"/>
  <c r="L16" i="1"/>
  <c r="C34" i="68"/>
  <c r="C34" i="11"/>
  <c r="F45" i="68"/>
  <c r="C29" i="68"/>
  <c r="D27" i="68" s="1"/>
  <c r="C47" i="68"/>
  <c r="D45" i="68" s="1"/>
  <c r="U10" i="39"/>
  <c r="AB10" i="39"/>
  <c r="I19" i="6"/>
  <c r="M27" i="6"/>
  <c r="E8" i="70"/>
  <c r="T8" i="1"/>
  <c r="AQ8" i="1"/>
  <c r="AR8" i="1"/>
  <c r="D14" i="71"/>
  <c r="C13" i="71"/>
  <c r="W7" i="21"/>
  <c r="AA7" i="21"/>
  <c r="R48" i="21" s="1"/>
  <c r="R49" i="21" s="1"/>
  <c r="J7" i="35"/>
  <c r="W7" i="35" s="1"/>
  <c r="Q49" i="67"/>
  <c r="J14" i="67"/>
  <c r="J13" i="67" s="1"/>
  <c r="J23" i="67" s="1"/>
  <c r="C36" i="67"/>
  <c r="C57" i="67"/>
  <c r="C64" i="67" s="1"/>
  <c r="C13" i="67"/>
  <c r="Q70" i="67" s="1"/>
  <c r="C61" i="67"/>
  <c r="C25" i="69"/>
  <c r="C22" i="69" s="1"/>
  <c r="C25" i="68"/>
  <c r="C22" i="68" s="1"/>
  <c r="L67" i="39"/>
  <c r="K69" i="39"/>
  <c r="J65" i="40"/>
  <c r="K63" i="40"/>
  <c r="I52" i="21"/>
  <c r="J52" i="21" s="1"/>
  <c r="U7" i="35"/>
  <c r="AB7" i="35"/>
  <c r="T38" i="35" s="1"/>
  <c r="G38" i="35" s="1"/>
  <c r="E48" i="21"/>
  <c r="G52" i="21"/>
  <c r="H52" i="21" s="1"/>
  <c r="G53" i="21"/>
  <c r="H53" i="21" s="1"/>
  <c r="F7" i="35"/>
  <c r="F35" i="15"/>
  <c r="C14" i="15"/>
  <c r="M21" i="15"/>
  <c r="C32" i="12" l="1"/>
  <c r="B2" i="12" s="1"/>
  <c r="B3" i="12" s="1"/>
  <c r="C18" i="15"/>
  <c r="C15" i="15"/>
  <c r="C42" i="69"/>
  <c r="C41" i="69" s="1"/>
  <c r="E2" i="70"/>
  <c r="C46" i="69"/>
  <c r="C45" i="69" s="1"/>
  <c r="T16" i="1"/>
  <c r="I27" i="6"/>
  <c r="H19" i="6"/>
  <c r="S19" i="6"/>
  <c r="S27" i="6" s="1"/>
  <c r="C38" i="11"/>
  <c r="C35" i="11"/>
  <c r="C31" i="11"/>
  <c r="C31" i="68"/>
  <c r="C31" i="69"/>
  <c r="C38" i="68"/>
  <c r="C35" i="68"/>
  <c r="AC7" i="35"/>
  <c r="V38" i="35" s="1"/>
  <c r="I38" i="35" s="1"/>
  <c r="C12" i="71"/>
  <c r="D13" i="71"/>
  <c r="C56" i="67"/>
  <c r="C65" i="67" s="1"/>
  <c r="J22" i="67"/>
  <c r="C37" i="67"/>
  <c r="C75" i="67"/>
  <c r="J19" i="15"/>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19" i="15" l="1"/>
  <c r="C20" i="15" s="1"/>
  <c r="C49" i="69"/>
  <c r="C51" i="69" s="1"/>
  <c r="C52" i="69" s="1"/>
  <c r="C33" i="68"/>
  <c r="C42" i="68" s="1"/>
  <c r="R19" i="6"/>
  <c r="H27" i="6"/>
  <c r="C33" i="11"/>
  <c r="C11" i="71"/>
  <c r="T12" i="71"/>
  <c r="D12" i="71"/>
  <c r="U12" i="71" s="1"/>
  <c r="C61" i="15"/>
  <c r="C59" i="15" s="1"/>
  <c r="J17" i="15"/>
  <c r="C31" i="15"/>
  <c r="M69" i="39"/>
  <c r="N67" i="39"/>
  <c r="R39" i="35"/>
  <c r="E38" i="35"/>
  <c r="M63" i="40"/>
  <c r="L65" i="40"/>
  <c r="D2" i="21"/>
  <c r="C26" i="15" l="1"/>
  <c r="C23" i="15"/>
  <c r="C29" i="15" s="1"/>
  <c r="J14" i="15" s="1"/>
  <c r="C39" i="68"/>
  <c r="C43" i="68" s="1"/>
  <c r="C41" i="68" s="1"/>
  <c r="B2" i="69"/>
  <c r="B3" i="69" s="1"/>
  <c r="C57" i="69"/>
  <c r="C56" i="69" s="1"/>
  <c r="R27" i="6"/>
  <c r="R6" i="1"/>
  <c r="C39" i="11"/>
  <c r="C43" i="11" s="1"/>
  <c r="C42" i="11"/>
  <c r="C10" i="71"/>
  <c r="D11" i="71"/>
  <c r="B2" i="21"/>
  <c r="B3" i="21" s="1"/>
  <c r="O67" i="39"/>
  <c r="O69" i="39" s="1"/>
  <c r="N69" i="39"/>
  <c r="F7" i="39"/>
  <c r="C39" i="35"/>
  <c r="C38" i="35"/>
  <c r="N63" i="40"/>
  <c r="M65" i="40"/>
  <c r="E43" i="35"/>
  <c r="F43" i="35" s="1"/>
  <c r="E42" i="35"/>
  <c r="F42" i="35" s="1"/>
  <c r="I43" i="35"/>
  <c r="J43" i="35" s="1"/>
  <c r="C19" i="9"/>
  <c r="D2" i="33"/>
  <c r="F35" i="67"/>
  <c r="M21" i="67"/>
  <c r="M21" i="81"/>
  <c r="F35" i="81"/>
  <c r="C20" i="9"/>
  <c r="F63" i="81" l="1"/>
  <c r="C62" i="81" s="1"/>
  <c r="C59" i="81" s="1"/>
  <c r="C58" i="81" s="1"/>
  <c r="C67" i="81" s="1"/>
  <c r="C68" i="81" s="1"/>
  <c r="C34" i="81"/>
  <c r="C31" i="81" s="1"/>
  <c r="C30" i="81" s="1"/>
  <c r="C39" i="81" s="1"/>
  <c r="J20" i="81"/>
  <c r="J17" i="81" s="1"/>
  <c r="J16" i="81" s="1"/>
  <c r="J25" i="81" s="1"/>
  <c r="Q49" i="15"/>
  <c r="C57" i="15"/>
  <c r="C64" i="15" s="1"/>
  <c r="J59" i="15"/>
  <c r="J60" i="15" s="1"/>
  <c r="Q48" i="15" s="1"/>
  <c r="C36" i="15"/>
  <c r="C13" i="15"/>
  <c r="C56" i="15" s="1"/>
  <c r="C65" i="15" s="1"/>
  <c r="C46" i="68"/>
  <c r="C45" i="68" s="1"/>
  <c r="C49" i="68" s="1"/>
  <c r="C51" i="68" s="1"/>
  <c r="C52" i="68" s="1"/>
  <c r="B2" i="68" s="1"/>
  <c r="B3" i="68" s="1"/>
  <c r="J13" i="15"/>
  <c r="J23" i="15" s="1"/>
  <c r="J22" i="15"/>
  <c r="C46" i="11"/>
  <c r="C45" i="11" s="1"/>
  <c r="C103" i="9"/>
  <c r="C102" i="9"/>
  <c r="C21" i="9"/>
  <c r="F63" i="67"/>
  <c r="C62" i="67" s="1"/>
  <c r="C59" i="67" s="1"/>
  <c r="C58" i="67" s="1"/>
  <c r="C67" i="67" s="1"/>
  <c r="C68" i="67" s="1"/>
  <c r="C71" i="67" s="1"/>
  <c r="C34" i="67"/>
  <c r="C31" i="67" s="1"/>
  <c r="C30" i="67" s="1"/>
  <c r="C39" i="67" s="1"/>
  <c r="H40" i="67" s="1"/>
  <c r="J20" i="67"/>
  <c r="J17" i="67" s="1"/>
  <c r="J16" i="67" s="1"/>
  <c r="J25" i="67" s="1"/>
  <c r="J26" i="67" s="1"/>
  <c r="J29" i="67" s="1"/>
  <c r="R16" i="1"/>
  <c r="C41" i="11"/>
  <c r="C49" i="11" s="1"/>
  <c r="C51" i="11" s="1"/>
  <c r="D10" i="71"/>
  <c r="C9" i="71"/>
  <c r="B2" i="33"/>
  <c r="B3" i="33" s="1"/>
  <c r="H7" i="39"/>
  <c r="J7" i="39"/>
  <c r="S7" i="39"/>
  <c r="AA7" i="39"/>
  <c r="R47" i="39" s="1"/>
  <c r="O63" i="40"/>
  <c r="O65" i="40" s="1"/>
  <c r="N65" i="40"/>
  <c r="D2" i="37"/>
  <c r="D2" i="35"/>
  <c r="D2" i="36"/>
  <c r="D2" i="34"/>
  <c r="C37" i="15" l="1"/>
  <c r="C30" i="15" s="1"/>
  <c r="C39" i="15" s="1"/>
  <c r="C40" i="81"/>
  <c r="C45" i="81" s="1"/>
  <c r="C46" i="81" s="1"/>
  <c r="Q69" i="81"/>
  <c r="Q68" i="81" s="1"/>
  <c r="H40" i="81"/>
  <c r="C80" i="81"/>
  <c r="C79" i="81" s="1"/>
  <c r="C71" i="81"/>
  <c r="C58" i="15"/>
  <c r="C67" i="15" s="1"/>
  <c r="C68" i="15" s="1"/>
  <c r="C71" i="15" s="1"/>
  <c r="C75" i="15"/>
  <c r="Q70" i="15"/>
  <c r="J16" i="15"/>
  <c r="J25" i="15" s="1"/>
  <c r="J26" i="15" s="1"/>
  <c r="J29" i="15" s="1"/>
  <c r="Q69" i="67"/>
  <c r="Q68" i="67" s="1"/>
  <c r="C80" i="67"/>
  <c r="C79" i="67" s="1"/>
  <c r="C40" i="67"/>
  <c r="C57" i="68"/>
  <c r="C56" i="68" s="1"/>
  <c r="C52" i="11"/>
  <c r="B2" i="11" s="1"/>
  <c r="B3" i="11" s="1"/>
  <c r="C8" i="71"/>
  <c r="D9" i="71"/>
  <c r="B2" i="36"/>
  <c r="B3" i="36" s="1"/>
  <c r="B2" i="35"/>
  <c r="B3" i="35" s="1"/>
  <c r="M3" i="35"/>
  <c r="B2" i="37"/>
  <c r="B3" i="37" s="1"/>
  <c r="B2" i="34"/>
  <c r="B3" i="34" s="1"/>
  <c r="W7" i="39"/>
  <c r="AC7" i="39"/>
  <c r="V47" i="39" s="1"/>
  <c r="I47" i="39" s="1"/>
  <c r="E47" i="39"/>
  <c r="R48" i="39"/>
  <c r="U7" i="39"/>
  <c r="AB7" i="39"/>
  <c r="T47" i="39" s="1"/>
  <c r="G47" i="39" s="1"/>
  <c r="J7" i="40"/>
  <c r="F7" i="40"/>
  <c r="H7" i="40"/>
  <c r="L51" i="67"/>
  <c r="AO8" i="1"/>
  <c r="AO12" i="1"/>
  <c r="AO11" i="1"/>
  <c r="AO9" i="1"/>
  <c r="L51" i="81"/>
  <c r="L51" i="15"/>
  <c r="AO10" i="1"/>
  <c r="L57" i="67" l="1"/>
  <c r="L60" i="67" s="1"/>
  <c r="L46" i="67" s="1"/>
  <c r="D2" i="67" s="1"/>
  <c r="Q67" i="67"/>
  <c r="C80" i="15"/>
  <c r="C79" i="15" s="1"/>
  <c r="C40" i="15"/>
  <c r="C43" i="15" s="1"/>
  <c r="Q67" i="81"/>
  <c r="Q47" i="81"/>
  <c r="Q53" i="81" s="1"/>
  <c r="C43" i="81"/>
  <c r="Q65" i="81"/>
  <c r="Q75" i="81" s="1"/>
  <c r="D2" i="81"/>
  <c r="Q56" i="81"/>
  <c r="Q62" i="81" s="1"/>
  <c r="C83" i="81"/>
  <c r="C82" i="81" s="1"/>
  <c r="L57" i="15"/>
  <c r="L60" i="15" s="1"/>
  <c r="Q57" i="15" s="1"/>
  <c r="Q67" i="15"/>
  <c r="Q69" i="15"/>
  <c r="Q68" i="15" s="1"/>
  <c r="Q57" i="67"/>
  <c r="C45" i="67"/>
  <c r="C46" i="67" s="1"/>
  <c r="C83" i="67"/>
  <c r="C82" i="67" s="1"/>
  <c r="C43" i="67"/>
  <c r="Q47" i="67"/>
  <c r="Q53" i="67" s="1"/>
  <c r="Q65" i="67"/>
  <c r="Q56" i="67"/>
  <c r="C56" i="11"/>
  <c r="C57" i="11" s="1"/>
  <c r="C7" i="71"/>
  <c r="D8" i="71"/>
  <c r="L4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66" i="67" l="1"/>
  <c r="Q56" i="15"/>
  <c r="Q62" i="15" s="1"/>
  <c r="C46" i="15"/>
  <c r="Q65" i="15"/>
  <c r="Q47" i="15"/>
  <c r="Q53" i="15" s="1"/>
  <c r="B2" i="15"/>
  <c r="B3" i="15" s="1"/>
  <c r="C83" i="15"/>
  <c r="C82" i="15" s="1"/>
  <c r="B2" i="81"/>
  <c r="B3" i="81"/>
  <c r="Q66" i="15"/>
  <c r="Q75" i="67"/>
  <c r="Q62" i="67"/>
  <c r="B2" i="67"/>
  <c r="B3"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AO6" i="1"/>
  <c r="B7" i="70" l="1"/>
  <c r="Q75" i="15"/>
  <c r="B6" i="70"/>
  <c r="B2" i="70" s="1"/>
  <c r="D6" i="71"/>
  <c r="C5" i="71"/>
  <c r="D5" i="71" s="1"/>
  <c r="M24" i="43" s="1"/>
  <c r="C42" i="40"/>
  <c r="C43" i="40"/>
  <c r="E47" i="40"/>
  <c r="F47" i="40" s="1"/>
  <c r="E46" i="40"/>
  <c r="F46" i="40" s="1"/>
  <c r="I47" i="40"/>
  <c r="J47" i="40" s="1"/>
  <c r="D19" i="9"/>
  <c r="D102" i="9" l="1"/>
  <c r="D21" i="9"/>
  <c r="G19" i="9"/>
  <c r="G21" i="9" s="1"/>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D103" i="9"/>
  <c r="D35" i="9"/>
  <c r="C34" i="9" l="1"/>
  <c r="B6" i="74"/>
  <c r="D6" i="74" s="1"/>
  <c r="G118" i="9"/>
  <c r="G4" i="52" s="1"/>
  <c r="B52" i="72" s="1"/>
  <c r="I118" i="9"/>
  <c r="I4" i="52" s="1"/>
  <c r="D34" i="9"/>
  <c r="F118" i="9" l="1"/>
  <c r="F119" i="9" s="1"/>
  <c r="F5" i="52" s="1"/>
  <c r="B53" i="72" s="1"/>
  <c r="C105" i="9"/>
  <c r="H102" i="9"/>
  <c r="E14" i="74" s="1"/>
  <c r="E118" i="9"/>
  <c r="H118" i="9"/>
  <c r="F4" i="52" l="1"/>
  <c r="B51" i="72" s="1"/>
  <c r="H101" i="9"/>
  <c r="D14" i="74" s="1"/>
  <c r="H4" i="52"/>
  <c r="C104" i="9"/>
  <c r="H119" i="9"/>
  <c r="H5" i="52" s="1"/>
  <c r="D118" i="9"/>
  <c r="E4" i="52"/>
  <c r="B48" i="72" s="1"/>
  <c r="D7" i="53"/>
  <c r="B21" i="72" s="1"/>
  <c r="B5" i="74" l="1"/>
  <c r="F14" i="74"/>
  <c r="D119" i="9"/>
  <c r="D5" i="52" s="1"/>
  <c r="B49" i="72" s="1"/>
  <c r="D4" i="52"/>
  <c r="B47" i="72" s="1"/>
  <c r="H107" i="9"/>
  <c r="D5" i="53"/>
  <c r="D45" i="9"/>
  <c r="M48" i="9"/>
  <c r="D5" i="74" l="1"/>
  <c r="C5" i="74"/>
  <c r="D122" i="9"/>
  <c r="M49" i="9"/>
  <c r="H108" i="9"/>
  <c r="D13" i="53"/>
  <c r="D6" i="53"/>
  <c r="B22" i="72" s="1"/>
  <c r="B20" i="72"/>
  <c r="D52" i="9"/>
  <c r="D55" i="9"/>
  <c r="M53" i="9" s="1"/>
  <c r="C93" i="9"/>
  <c r="C86" i="9" s="1"/>
  <c r="C64" i="9"/>
  <c r="C63" i="9" s="1"/>
  <c r="C67" i="9" s="1"/>
  <c r="D53" i="9"/>
  <c r="C85" i="9"/>
  <c r="C72" i="9"/>
  <c r="C78" i="9"/>
  <c r="C73" i="9" s="1"/>
  <c r="C79" i="9" l="1"/>
  <c r="C95" i="9"/>
  <c r="D14" i="53"/>
  <c r="B32" i="72" s="1"/>
  <c r="B30" i="72"/>
  <c r="D15" i="53"/>
  <c r="B31" i="72" s="1"/>
  <c r="C6" i="74"/>
  <c r="C80" i="9"/>
  <c r="E80" i="9" s="1"/>
  <c r="E81" i="9" s="1"/>
  <c r="C68" i="9"/>
  <c r="D54" i="9" s="1"/>
  <c r="D59" i="9"/>
  <c r="M55" i="9" s="1"/>
  <c r="L68" i="9"/>
  <c r="M68" i="9" s="1"/>
  <c r="L63" i="9"/>
  <c r="M63" i="9" s="1"/>
  <c r="L65" i="9"/>
  <c r="M65" i="9" s="1"/>
  <c r="L67" i="9"/>
  <c r="M67" i="9" s="1"/>
  <c r="L64" i="9"/>
  <c r="M64" i="9" s="1"/>
  <c r="L66" i="9"/>
  <c r="M66" i="9" s="1"/>
  <c r="D8" i="52"/>
  <c r="D123" i="9"/>
  <c r="D9" i="52" s="1"/>
  <c r="C81" i="9" l="1"/>
  <c r="M69" i="9"/>
  <c r="N69" i="9" s="1"/>
  <c r="C96" i="9"/>
  <c r="E96" i="9" s="1"/>
  <c r="E97"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47D6F53-B800-4F39-B2A7-EB74DAD78A1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3D1E7BA-360F-4FE2-8E4F-49A6377D3F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6B6E4964-2346-48D9-8045-3D975A65A0A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DCD266A-6E52-4D76-B42A-6C6DD9A93C3B}">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<sst xmlns="http://schemas.openxmlformats.org/spreadsheetml/2006/main" count="8319" uniqueCount="3490">
  <si>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</si>
  <si>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</si>
  <si>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</si>
  <si>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</si>
  <si>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</si>
  <si>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</si>
  <si>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</si>
  <si>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</si>
  <si>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</si>
  <si>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</si>
  <si>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</si>
  <si>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</si>
  <si>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</si>
  <si>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</si>
  <si>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</si>
  <si>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</si>
  <si>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</si>
  <si>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</si>
  <si>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</si>
  <si>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</si>
  <si>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</si>
  <si>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</si>
  <si>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</si>
  <si>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</si>
  <si>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</si>
  <si>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</si>
  <si>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</si>
  <si>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</si>
  <si>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</si>
  <si>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</si>
  <si>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</si>
  <si>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</si>
  <si>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</si>
  <si>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</si>
  <si>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</si>
  <si>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</si>
  <si>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</si>
  <si>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</si>
  <si>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</si>
  <si>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</si>
  <si>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</si>
  <si>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</si>
  <si>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</si>
  <si>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</si>
  <si>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</si>
  <si>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</si>
  <si>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</si>
  <si>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</si>
  <si>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</si>
  <si>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</si>
  <si>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</si>
  <si>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</si>
  <si>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</si>
  <si>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</si>
  <si>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</si>
  <si>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</si>
  <si>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</si>
  <si>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</si>
  <si>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</si>
  <si>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</si>
  <si>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</si>
  <si>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</si>
  <si>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</si>
  <si>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</si>
  <si>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</si>
  <si>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</si>
  <si>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</si>
  <si>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</si>
  <si>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</si>
  <si>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</si>
  <si>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</si>
  <si>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</si>
  <si>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</si>
  <si>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</si>
  <si>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</si>
  <si>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</si>
  <si>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</si>
  <si>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</si>
  <si>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</si>
  <si>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</si>
  <si>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</si>
  <si>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</si>
  <si>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</si>
  <si>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</si>
  <si>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</si>
  <si>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</si>
  <si>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</si>
  <si>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</si>
  <si>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</si>
  <si>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</si>
  <si>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</si>
  <si>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</si>
  <si>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</si>
  <si>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</si>
  <si>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</si>
  <si>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</si>
  <si>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</si>
  <si>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</si>
  <si>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</si>
  <si>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</si>
  <si>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</si>
  <si>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</si>
  <si>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</si>
  <si>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</si>
  <si>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</si>
  <si>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</si>
  <si>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</si>
  <si>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</si>
  <si>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</si>
  <si>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</si>
  <si>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</si>
  <si>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</si>
  <si>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</si>
  <si>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</si>
  <si>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</si>
  <si>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</si>
  <si>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</si>
  <si>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</si>
  <si>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</si>
  <si>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</si>
  <si>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</si>
  <si>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</si>
  <si>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</si>
  <si>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</si>
  <si>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</si>
  <si>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</si>
  <si>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</si>
  <si>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</si>
  <si>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</si>
  <si>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</si>
  <si>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</si>
  <si>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</si>
  <si>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</si>
  <si>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</si>
  <si>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</si>
  <si>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</si>
  <si>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</si>
  <si>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</si>
  <si>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</si>
  <si>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</si>
  <si>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</si>
  <si>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</si>
  <si>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</si>
  <si>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</si>
  <si>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</si>
  <si>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</si>
  <si>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</si>
  <si>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</si>
  <si>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</si>
  <si>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</si>
  <si>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</si>
  <si>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</si>
  <si>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</si>
  <si>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</si>
  <si>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</si>
  <si>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</si>
  <si>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</si>
  <si>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</si>
  <si>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</si>
  <si>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</si>
  <si>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</si>
  <si>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</si>
  <si>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</si>
  <si>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</si>
  <si>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</si>
  <si>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</si>
  <si>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</si>
  <si>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</si>
  <si>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</si>
  <si>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</si>
  <si>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</si>
  <si>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</si>
  <si>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</si>
  <si>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</si>
  <si>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</si>
  <si>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</si>
  <si>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</si>
  <si>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</si>
  <si>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</si>
  <si>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</si>
  <si>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</si>
  <si>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</si>
  <si>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</si>
  <si>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</si>
  <si>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</si>
  <si>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</si>
  <si>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</si>
  <si>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</si>
  <si>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</si>
  <si>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</si>
  <si>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</si>
  <si>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</si>
  <si>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</si>
  <si>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</si>
  <si>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</si>
  <si>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</si>
  <si>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</si>
  <si>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</si>
  <si>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</si>
  <si>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</si>
  <si>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</si>
  <si>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</si>
  <si>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</si>
  <si>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</si>
  <si>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</si>
  <si>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</si>
  <si>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</si>
  <si>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</si>
  <si>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</si>
  <si>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</si>
  <si>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</si>
  <si>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</si>
  <si>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</si>
  <si>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</si>
  <si>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</si>
  <si>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</si>
  <si>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</si>
  <si>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</si>
  <si>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</si>
  <si>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</si>
  <si>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</si>
  <si>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</si>
  <si>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</si>
  <si>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</si>
  <si>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</si>
  <si>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</si>
  <si>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</si>
  <si>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</si>
  <si>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</si>
  <si>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</si>
  <si>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</si>
  <si>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</si>
  <si>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</si>
  <si>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</si>
  <si>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</si>
  <si>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</si>
  <si>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</si>
  <si>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</si>
  <si>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</si>
  <si>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</si>
  <si>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</si>
  <si>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</si>
  <si>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</si>
  <si>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</si>
  <si>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</si>
  <si>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</si>
  <si>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</si>
  <si>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</si>
  <si>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</si>
  <si>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</si>
  <si>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</si>
  <si>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</si>
  <si>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</si>
  <si>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</si>
  <si>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</si>
  <si>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</si>
  <si>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</si>
  <si>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</si>
  <si>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</si>
  <si>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</si>
  <si>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</si>
  <si>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</si>
  <si>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</si>
  <si>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</si>
  <si>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</si>
  <si>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</si>
  <si>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</si>
  <si>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</si>
  <si>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</si>
  <si>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</si>
  <si>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</si>
  <si>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</si>
  <si>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</si>
  <si>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</si>
  <si>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</si>
  <si>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</si>
  <si>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</si>
  <si>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</si>
  <si>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</si>
  <si>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</si>
  <si>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</si>
  <si>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</si>
  <si>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</si>
  <si>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</si>
  <si>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</si>
  <si>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</si>
  <si>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</si>
  <si>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</si>
  <si>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</si>
  <si>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</si>
  <si>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</si>
  <si>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</si>
  <si>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</si>
  <si>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</si>
  <si>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</si>
  <si>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</si>
  <si>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</si>
  <si>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</si>
  <si>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</si>
  <si>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</si>
  <si>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</si>
  <si>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</si>
  <si>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</si>
  <si>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</si>
  <si>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</si>
  <si>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</si>
  <si>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</si>
  <si>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</si>
  <si>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</si>
  <si>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</si>
  <si>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</si>
  <si>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</si>
  <si>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</si>
  <si>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</si>
  <si>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</si>
  <si>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</si>
  <si>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</si>
  <si>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</si>
  <si>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</si>
  <si>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</si>
  <si>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</si>
  <si>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</si>
  <si>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</si>
  <si>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</si>
  <si>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</si>
  <si>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</si>
  <si>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</si>
  <si>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</si>
  <si>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</si>
  <si>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</si>
  <si>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</si>
  <si>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</si>
  <si>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</si>
  <si>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</si>
  <si>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</si>
  <si>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</si>
  <si>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</si>
  <si>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</si>
  <si>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</si>
  <si>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</si>
  <si>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</si>
  <si>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</si>
  <si>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</si>
  <si>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</si>
  <si>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</si>
  <si>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</si>
  <si>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</si>
  <si>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</si>
  <si>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</si>
  <si>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</si>
  <si>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</si>
  <si>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</si>
  <si>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</si>
  <si>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</si>
  <si>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</si>
  <si>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</si>
  <si>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</si>
  <si>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</si>
  <si>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</si>
  <si>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</si>
  <si>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</si>
  <si>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</si>
  <si>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</si>
  <si>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</si>
  <si>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</si>
  <si>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</si>
  <si>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</si>
  <si>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</si>
  <si>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</si>
  <si>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</si>
  <si>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</si>
  <si>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</si>
  <si>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</si>
  <si>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</si>
  <si>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</si>
  <si>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</si>
  <si>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</si>
  <si>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</si>
  <si>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</si>
  <si>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</si>
  <si>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</si>
  <si>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</si>
  <si>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</si>
  <si>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</si>
  <si>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</si>
  <si>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</si>
  <si>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</si>
  <si>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</si>
  <si>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</si>
  <si>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</si>
  <si>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</si>
  <si>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</si>
  <si>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</si>
  <si>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</si>
  <si>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</si>
  <si>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</si>
  <si>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</si>
  <si>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</si>
  <si>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</si>
  <si>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</si>
  <si>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</si>
  <si>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</si>
  <si>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</si>
  <si>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</si>
  <si>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</si>
  <si>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</si>
  <si>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</si>
  <si>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</si>
  <si>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</si>
  <si>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</si>
  <si>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</si>
  <si>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</si>
  <si>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</si>
  <si>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</si>
  <si>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</si>
  <si>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</si>
  <si>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</si>
  <si>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</si>
  <si>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</si>
  <si>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</si>
  <si>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</si>
  <si>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</si>
  <si>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</si>
  <si>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</si>
  <si>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</si>
  <si>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</si>
  <si>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</si>
  <si>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</si>
  <si>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</si>
  <si>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</si>
  <si>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</si>
  <si>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</si>
  <si>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</si>
  <si>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</si>
  <si>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</si>
  <si>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</si>
  <si>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</si>
  <si>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</si>
  <si>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</si>
  <si>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</si>
  <si>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</si>
  <si>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</si>
  <si>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</si>
  <si>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</si>
  <si>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</si>
  <si>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</si>
  <si>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</si>
  <si>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</si>
  <si>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</si>
  <si>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</si>
  <si>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</si>
  <si>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</si>
  <si>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</si>
  <si>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</si>
  <si>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</si>
  <si>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</si>
  <si>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</si>
  <si>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</si>
  <si>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</si>
  <si>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</si>
  <si>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</si>
  <si>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</si>
  <si>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</si>
  <si>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</si>
  <si>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</si>
  <si>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</si>
  <si>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</si>
  <si>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</si>
  <si>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</si>
  <si>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</si>
  <si>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</si>
  <si>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</si>
  <si>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</si>
  <si>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</si>
  <si>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</si>
  <si>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</si>
  <si>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</si>
  <si>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</si>
  <si>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</si>
  <si>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</si>
  <si>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</si>
  <si>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</si>
  <si>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</si>
  <si>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</si>
  <si>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</si>
  <si>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</si>
  <si>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</si>
  <si>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</si>
  <si>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</si>
  <si>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</si>
  <si>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</si>
  <si>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</si>
  <si>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</si>
  <si>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</si>
  <si>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</si>
  <si>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</si>
  <si>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</si>
  <si>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</si>
  <si>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</si>
  <si>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</si>
  <si>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</si>
  <si>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</si>
  <si>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</si>
  <si>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</si>
  <si>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</si>
  <si>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</si>
  <si>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</si>
  <si>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</si>
  <si>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</si>
  <si>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</si>
  <si>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</si>
  <si>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</si>
  <si>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</si>
  <si>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</si>
  <si>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</si>
  <si>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</si>
  <si>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</si>
  <si>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</si>
  <si>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</si>
  <si>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</si>
  <si>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</si>
  <si>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</si>
  <si>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</si>
  <si>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</si>
  <si>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</si>
  <si>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</si>
  <si>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</si>
  <si>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</si>
  <si>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</si>
  <si>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</si>
  <si>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</si>
  <si>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</si>
  <si>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</si>
  <si>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</si>
  <si>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</si>
  <si>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</si>
  <si>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</si>
  <si>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</si>
  <si>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</si>
  <si>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</si>
  <si>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</si>
  <si>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</si>
  <si>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</si>
  <si>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</si>
  <si>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</si>
  <si>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</si>
  <si>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</si>
  <si>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</si>
  <si>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</si>
  <si>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</si>
  <si>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</si>
  <si>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</si>
  <si>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</si>
  <si>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</si>
  <si>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</si>
  <si>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</si>
  <si>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</si>
  <si>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</si>
  <si>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</si>
  <si>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</si>
  <si>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</si>
  <si>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</si>
  <si>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</si>
  <si>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</si>
  <si>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</si>
  <si>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</si>
  <si>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</si>
  <si>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</si>
  <si>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</si>
  <si>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</si>
  <si>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</si>
  <si>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</si>
  <si>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</si>
  <si>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</si>
  <si>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</si>
  <si>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</si>
  <si>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</si>
  <si>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</si>
  <si>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</si>
  <si>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</si>
  <si>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</si>
  <si>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</si>
  <si>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</si>
  <si>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</si>
  <si>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</si>
  <si>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</si>
  <si>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</si>
  <si>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</si>
  <si>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</si>
  <si>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</si>
  <si>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</si>
  <si>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</si>
  <si>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</si>
  <si>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</si>
  <si>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</si>
  <si>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</si>
  <si>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</si>
  <si>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</si>
  <si>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</si>
  <si>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</si>
  <si>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</si>
  <si>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</si>
  <si>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</si>
  <si>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</si>
  <si>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</si>
  <si>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</si>
  <si>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</si>
  <si>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</si>
  <si>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</si>
  <si>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</si>
  <si>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</si>
  <si>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</si>
  <si>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</si>
  <si>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</si>
  <si>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</si>
  <si>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</si>
  <si>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</si>
  <si>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</si>
  <si>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</si>
  <si>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</si>
  <si>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</si>
  <si>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</si>
  <si>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</si>
  <si>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</si>
  <si>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</si>
  <si>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</si>
  <si>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</si>
  <si>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</si>
  <si>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</si>
  <si>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</si>
  <si>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</si>
  <si>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</si>
  <si>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</si>
  <si>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</si>
  <si>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</si>
  <si>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</si>
  <si>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</si>
  <si>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</si>
  <si>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</si>
  <si>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</si>
  <si>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</si>
  <si>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</si>
  <si>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</si>
  <si>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</si>
  <si>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</si>
  <si>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</si>
  <si>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</si>
  <si>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</si>
  <si>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</si>
  <si>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</si>
  <si>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</si>
  <si>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</si>
  <si>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</si>
  <si>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</si>
  <si>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</si>
  <si>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</si>
  <si>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</si>
  <si>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</si>
  <si>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</si>
  <si>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</si>
  <si>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</si>
  <si>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</si>
  <si>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</si>
  <si>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</si>
  <si>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</si>
  <si>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</si>
  <si>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</si>
  <si>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</si>
  <si>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</si>
  <si>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</si>
  <si>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</si>
  <si>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</si>
  <si>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</si>
  <si>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</si>
  <si>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</si>
  <si>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</si>
  <si>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</si>
  <si>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</si>
  <si>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</si>
  <si>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</si>
  <si>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</si>
  <si>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</si>
  <si>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</si>
  <si>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</si>
  <si>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</si>
  <si>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</si>
  <si>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</si>
  <si>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</si>
  <si>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</si>
  <si>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</si>
  <si>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</si>
  <si>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</si>
  <si>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</si>
  <si>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</si>
  <si>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</si>
  <si>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</si>
  <si>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</si>
  <si>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</si>
  <si>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</si>
  <si>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</si>
  <si>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</si>
  <si>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</si>
  <si>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</si>
  <si>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</si>
  <si>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</si>
  <si>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</si>
  <si>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</si>
  <si>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</si>
  <si>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</si>
  <si>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</si>
  <si>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</si>
  <si>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</si>
  <si>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</si>
  <si>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</si>
  <si>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</si>
  <si>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</si>
  <si>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</si>
  <si>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</si>
  <si>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</si>
  <si>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</si>
  <si>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</si>
  <si>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</si>
  <si>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</si>
  <si>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</si>
  <si>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</si>
  <si>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</si>
  <si>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</si>
  <si>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</si>
  <si>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</si>
  <si>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</si>
  <si>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</si>
  <si>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</si>
  <si>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</si>
  <si>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</si>
  <si>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</si>
  <si>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</si>
  <si>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</si>
  <si>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</si>
  <si>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</si>
  <si>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</si>
  <si>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</si>
  <si>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</si>
  <si>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</si>
  <si>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</si>
  <si>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</si>
  <si>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</si>
  <si>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</si>
  <si>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</si>
  <si>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</si>
  <si>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</si>
  <si>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</si>
  <si>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</si>
  <si>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</si>
  <si>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</si>
  <si>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</si>
  <si>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</si>
  <si>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</si>
  <si>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</si>
  <si>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</si>
  <si>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</si>
  <si>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</si>
  <si>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</si>
  <si>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</si>
  <si>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</si>
  <si>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</si>
  <si>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</si>
  <si>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</si>
  <si>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</si>
  <si>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</si>
  <si>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</si>
  <si>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</si>
  <si>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</si>
  <si>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</si>
  <si>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</si>
  <si>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</si>
  <si>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</si>
  <si>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</si>
  <si>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</si>
  <si>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</si>
  <si>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</si>
  <si>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</si>
  <si>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</si>
  <si>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</si>
  <si>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</si>
  <si>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</si>
  <si>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</si>
  <si>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</si>
  <si>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</si>
  <si>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</si>
  <si>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</si>
  <si>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</si>
  <si>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</si>
  <si>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</si>
  <si>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</si>
  <si>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</si>
  <si>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</si>
  <si>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</si>
  <si>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</si>
  <si>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</si>
  <si>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</si>
  <si>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</si>
  <si>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</si>
  <si>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</si>
  <si>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</si>
  <si>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</si>
  <si>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</si>
  <si>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</si>
  <si>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</si>
  <si>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</si>
  <si>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</si>
  <si>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</si>
  <si>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</si>
  <si>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</si>
  <si>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</si>
  <si>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</si>
  <si>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</si>
  <si>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</si>
  <si>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</si>
  <si>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</si>
  <si>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</si>
  <si>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</si>
  <si>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</si>
  <si>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</si>
  <si>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</si>
  <si>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</si>
  <si>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</si>
  <si>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</si>
  <si>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</si>
  <si>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</si>
  <si>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</si>
  <si>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</si>
  <si>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</si>
  <si>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</si>
  <si>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</si>
  <si>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</si>
  <si>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</si>
  <si>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</si>
  <si>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</si>
  <si>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</si>
  <si>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</si>
  <si>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</si>
  <si>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</si>
  <si>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</si>
  <si>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</si>
  <si>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</si>
  <si>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</si>
  <si>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</si>
  <si>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</si>
  <si>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</si>
  <si>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</si>
  <si>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</si>
  <si>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</si>
  <si>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</si>
  <si>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</si>
  <si>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</si>
  <si>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</si>
  <si>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</si>
  <si>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</si>
  <si>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</si>
  <si>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</si>
  <si>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</si>
  <si>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</si>
  <si>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</si>
  <si>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</si>
  <si>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</si>
  <si>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</si>
  <si>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</si>
  <si>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</si>
  <si>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</si>
  <si>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</si>
  <si>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</si>
  <si>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</si>
  <si>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</si>
  <si>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</si>
  <si>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</si>
  <si>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</si>
  <si>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</si>
  <si>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</si>
  <si>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</si>
  <si>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</si>
  <si>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</si>
  <si>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</si>
  <si>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</si>
  <si>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</si>
  <si>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</si>
  <si>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</si>
  <si>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</si>
  <si>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</si>
  <si>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</si>
  <si>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</si>
  <si>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</si>
  <si>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</si>
  <si>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</si>
  <si>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</si>
  <si>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</si>
  <si>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</si>
  <si>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</si>
  <si>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</si>
  <si>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</si>
  <si>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</si>
  <si>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</si>
  <si>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</si>
  <si>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</si>
  <si>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</si>
  <si>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</si>
  <si>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</si>
  <si>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</si>
  <si>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</si>
  <si>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</si>
  <si>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</si>
  <si>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</si>
  <si>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</si>
  <si>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</si>
  <si>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</si>
  <si>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</si>
  <si>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</si>
  <si>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</si>
  <si>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</si>
  <si>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</si>
  <si>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</si>
  <si>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</si>
  <si>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</si>
  <si>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</si>
  <si>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</si>
  <si>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</si>
  <si>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</si>
  <si>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</si>
  <si>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</si>
  <si>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</si>
  <si>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</si>
  <si>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</si>
  <si>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</si>
  <si>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</si>
  <si>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</si>
  <si>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</si>
  <si>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</si>
  <si>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</si>
  <si>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</si>
  <si>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</si>
  <si>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</si>
  <si>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</si>
  <si>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</si>
  <si>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</si>
  <si>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</si>
  <si>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</si>
  <si>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</si>
  <si>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</si>
  <si>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</si>
  <si>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</si>
  <si>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</si>
  <si>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</si>
  <si>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</si>
  <si>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</si>
  <si>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</si>
  <si>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</si>
  <si>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</si>
  <si>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</si>
  <si>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</si>
  <si>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</si>
  <si>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</si>
  <si>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</si>
  <si>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</si>
  <si>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</si>
  <si>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</si>
  <si>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</si>
  <si>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</si>
  <si>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</si>
  <si>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</si>
  <si>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</si>
  <si>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</si>
  <si>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</si>
  <si>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</si>
  <si>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</si>
  <si>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</si>
  <si>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</si>
  <si>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</si>
  <si>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</si>
  <si>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</si>
  <si>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</si>
  <si>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</si>
  <si>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</si>
  <si>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</si>
  <si>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</si>
  <si>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</si>
  <si>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</si>
  <si>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</si>
  <si>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</si>
  <si>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</si>
  <si>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</si>
  <si>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</si>
  <si>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</si>
  <si>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</si>
  <si>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</si>
  <si>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</si>
  <si>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</si>
  <si>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</si>
  <si>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</si>
  <si>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</si>
  <si>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</si>
  <si>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</si>
  <si>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</si>
  <si>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</si>
  <si>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</si>
  <si>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</si>
  <si>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</si>
  <si>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</si>
  <si>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</si>
  <si>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</si>
  <si>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</si>
  <si>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</si>
  <si>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</si>
  <si>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</si>
  <si>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</si>
  <si>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</si>
  <si>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</si>
  <si>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</si>
  <si>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</si>
  <si>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</si>
  <si>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</si>
  <si>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</si>
  <si>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</si>
  <si>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</si>
  <si>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</si>
  <si>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</si>
  <si>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</si>
  <si>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</si>
  <si>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</si>
  <si>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</si>
  <si>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</si>
  <si>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</si>
  <si>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</si>
  <si>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</si>
  <si>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</si>
  <si>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</si>
  <si>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</si>
  <si>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</si>
  <si>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</si>
  <si>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</si>
  <si>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</si>
  <si>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</si>
  <si>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</si>
  <si>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</si>
  <si>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</si>
  <si>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</si>
  <si>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</si>
  <si>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</si>
  <si>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</si>
  <si>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</si>
  <si>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</si>
  <si>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</si>
  <si>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</si>
  <si>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</si>
  <si>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</si>
  <si>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</si>
  <si>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</si>
  <si>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</si>
  <si>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</si>
  <si>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</si>
  <si>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</si>
  <si>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</si>
  <si>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</si>
  <si>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</si>
  <si>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</si>
  <si>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</si>
  <si>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</si>
  <si>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</si>
  <si>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</si>
  <si>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</si>
  <si>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</si>
  <si>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</si>
  <si>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</si>
  <si>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</si>
  <si>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</si>
  <si>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</si>
  <si>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</si>
  <si>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</si>
  <si>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</si>
  <si>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</si>
  <si>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</si>
  <si>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</si>
  <si>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</si>
  <si>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</si>
  <si>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</si>
  <si>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</si>
  <si>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</si>
  <si>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</si>
  <si>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</si>
  <si>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</si>
  <si>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</si>
  <si>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</si>
  <si>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</si>
  <si>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</si>
  <si>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</si>
  <si>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</si>
  <si>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</si>
  <si>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</si>
  <si>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</si>
  <si>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</si>
  <si>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</si>
  <si>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</si>
  <si>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</si>
  <si>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</si>
  <si>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</si>
  <si>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</si>
  <si>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</si>
  <si>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</si>
  <si>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</si>
  <si>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</si>
  <si>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</si>
  <si>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</si>
  <si>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</si>
  <si>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</si>
  <si>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</si>
  <si>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</si>
  <si>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</si>
  <si>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</si>
  <si>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</si>
  <si>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</si>
  <si>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</si>
  <si>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</si>
  <si>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</si>
  <si>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</si>
  <si>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</si>
  <si>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</si>
  <si>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</si>
  <si>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</si>
  <si>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</si>
  <si>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</si>
  <si>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</si>
  <si>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</si>
  <si>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</si>
  <si>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</si>
  <si>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</si>
  <si>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</si>
  <si>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</si>
  <si>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</si>
  <si>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</si>
  <si>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</si>
  <si>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</si>
  <si>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</si>
  <si>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</si>
  <si>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</si>
  <si>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</si>
  <si>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</si>
  <si>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</si>
  <si>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</si>
  <si>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</si>
  <si>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</si>
  <si>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</si>
  <si>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</si>
  <si>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</si>
  <si>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</si>
  <si>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</si>
  <si>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</si>
  <si>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</si>
  <si>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</si>
  <si>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</si>
  <si>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</si>
  <si>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</si>
  <si>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</si>
  <si>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</si>
  <si>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</si>
  <si>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</si>
  <si>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</si>
  <si>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</si>
  <si>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</si>
  <si>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</si>
  <si>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</si>
  <si>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</si>
  <si>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</si>
  <si>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</si>
  <si>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</si>
  <si>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</si>
  <si>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</si>
  <si>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</si>
  <si>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</si>
  <si>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</si>
  <si>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</si>
  <si>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</si>
  <si>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</si>
  <si>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</si>
  <si>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</si>
  <si>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</si>
  <si>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</si>
  <si>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</si>
  <si>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</si>
  <si>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</si>
  <si>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</si>
  <si>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</si>
  <si>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</si>
  <si>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</si>
  <si>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</si>
  <si>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</si>
  <si>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</si>
  <si>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</si>
  <si>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</si>
  <si>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</si>
  <si>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</si>
  <si>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</si>
  <si>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</si>
  <si>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</si>
  <si>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</si>
  <si>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</si>
  <si>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</si>
  <si>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</si>
  <si>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</si>
  <si>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</si>
  <si>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</si>
  <si>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</si>
  <si>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</si>
  <si>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</si>
  <si>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</si>
  <si>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</si>
  <si>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</si>
  <si>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</si>
  <si>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</si>
  <si>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</si>
  <si>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</si>
  <si>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</si>
  <si>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</si>
  <si>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</si>
  <si>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</si>
  <si>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</si>
  <si>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</si>
  <si>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</si>
  <si>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</si>
  <si>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</si>
  <si>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</si>
  <si>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</si>
  <si>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</si>
  <si>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</si>
  <si>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</si>
  <si>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</si>
  <si>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</si>
  <si>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</si>
  <si>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</si>
  <si>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</si>
  <si>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</si>
  <si>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</si>
  <si>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</si>
  <si>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</si>
  <si>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</si>
  <si>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</si>
  <si>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</si>
  <si>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</si>
  <si>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</si>
  <si>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</si>
  <si>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</si>
  <si>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</si>
  <si>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</si>
  <si>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</si>
  <si>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</si>
  <si>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</si>
  <si>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</si>
  <si>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</si>
  <si>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</si>
  <si>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</si>
  <si>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</si>
  <si>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</si>
  <si>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</si>
  <si>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</si>
  <si>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</si>
  <si>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</si>
  <si>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</si>
  <si>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</si>
  <si>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</si>
  <si>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</si>
  <si>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</si>
  <si>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</si>
  <si>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</si>
  <si>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</si>
  <si>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</si>
  <si>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</si>
  <si>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</si>
  <si>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</si>
  <si>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</si>
  <si>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</si>
  <si>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</si>
  <si>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</si>
  <si>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</si>
  <si>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</si>
  <si>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</si>
  <si>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</si>
  <si>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</si>
  <si>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</si>
  <si>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</si>
  <si>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</si>
  <si>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</si>
  <si>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</si>
  <si>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</si>
  <si>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</si>
  <si>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</si>
  <si>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</si>
  <si>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</si>
  <si>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</si>
  <si>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</si>
  <si>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</si>
  <si>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</si>
  <si>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</si>
  <si>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</si>
  <si>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</si>
  <si>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</si>
  <si>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</si>
  <si>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</si>
  <si>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</si>
  <si>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</si>
  <si>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</si>
  <si>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</si>
  <si>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</si>
  <si>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</si>
  <si>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</si>
  <si>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</si>
  <si>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</si>
  <si>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</si>
  <si>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</si>
  <si>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</si>
  <si>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</si>
  <si>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</si>
  <si>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</si>
  <si>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</si>
  <si>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</si>
  <si>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</si>
  <si>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</si>
  <si>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</si>
  <si>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</si>
  <si>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</si>
  <si>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</si>
  <si>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</si>
  <si>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</si>
  <si>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</si>
  <si>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</si>
  <si>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</si>
  <si>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</si>
  <si>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</si>
  <si>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</si>
  <si>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</si>
  <si>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</si>
  <si>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</si>
  <si>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</si>
  <si>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</si>
  <si>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</si>
  <si>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</si>
  <si>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</si>
  <si>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</si>
  <si>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</si>
  <si>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</si>
  <si>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</si>
  <si>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</si>
  <si>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</si>
  <si>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</si>
  <si>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</si>
  <si>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</si>
  <si>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</si>
  <si>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</si>
  <si>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</si>
  <si>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</si>
  <si>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</si>
  <si>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</si>
  <si>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</si>
  <si>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</si>
  <si>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</si>
  <si>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</si>
  <si>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</si>
  <si>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</si>
  <si>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</si>
  <si>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</si>
  <si>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</si>
  <si>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</si>
  <si>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</si>
  <si>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</si>
  <si>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</si>
  <si>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</si>
  <si>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</si>
  <si>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</si>
  <si>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</si>
  <si>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</si>
  <si>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</si>
  <si>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</si>
  <si>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</si>
  <si>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</si>
  <si>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</si>
  <si>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</si>
  <si>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</si>
  <si>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</si>
  <si>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</si>
  <si>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</si>
  <si>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</si>
  <si>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</si>
  <si>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</si>
  <si>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</si>
  <si>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</si>
  <si>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</si>
  <si>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</si>
  <si>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</si>
  <si>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</si>
  <si>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</si>
  <si>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</si>
  <si>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</si>
  <si>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</si>
  <si>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</si>
  <si>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</si>
  <si>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</si>
  <si>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</si>
  <si>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</si>
  <si>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</si>
  <si>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</si>
  <si>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</si>
  <si>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</si>
  <si>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</si>
  <si>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</si>
  <si>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</si>
  <si>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</si>
  <si>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</si>
  <si>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</si>
  <si>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</si>
  <si>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</si>
  <si>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</si>
  <si>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</si>
  <si>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</si>
  <si>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</si>
  <si>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</si>
  <si>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</si>
  <si>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</si>
  <si>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</si>
  <si>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</si>
  <si>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</si>
  <si>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</si>
  <si>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</si>
  <si>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</si>
  <si>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</si>
  <si>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</si>
  <si>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</si>
  <si>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</si>
  <si>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</si>
  <si>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</si>
  <si>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</si>
  <si>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</si>
  <si>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</si>
  <si>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</si>
  <si>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</si>
  <si>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</si>
  <si>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</si>
  <si>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</si>
  <si>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</si>
  <si>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</si>
  <si>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</si>
  <si>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</si>
  <si>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</si>
  <si>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</si>
  <si>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</si>
  <si>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</si>
  <si>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</si>
  <si>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</si>
  <si>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</si>
  <si>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</si>
  <si>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</si>
  <si>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</si>
  <si>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</si>
  <si>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</si>
  <si>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</si>
  <si>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</si>
  <si>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</si>
  <si>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</si>
  <si>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</si>
  <si>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</si>
  <si>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</si>
  <si>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</si>
  <si>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</si>
  <si>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</si>
  <si>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</si>
  <si>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</si>
  <si>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</si>
  <si>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</si>
  <si>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</si>
  <si>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</si>
  <si>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</si>
  <si>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</si>
  <si>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</si>
  <si>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</si>
  <si>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</si>
  <si>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</si>
  <si>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</si>
  <si>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</si>
  <si>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</si>
  <si>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</si>
  <si>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</si>
  <si>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</si>
  <si>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</si>
  <si>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</si>
  <si>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</si>
  <si>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</si>
  <si>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</si>
  <si>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</si>
  <si>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</si>
  <si>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</si>
  <si>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</si>
  <si>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</si>
  <si>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</si>
  <si>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</si>
  <si>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</si>
  <si>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</si>
  <si>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</si>
  <si>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</si>
  <si>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</si>
  <si>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</si>
  <si>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</si>
  <si>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</si>
  <si>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</si>
  <si>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</si>
  <si>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</si>
  <si>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</si>
  <si>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</si>
  <si>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</si>
  <si>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</si>
  <si>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</si>
  <si>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</si>
  <si>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</si>
  <si>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</si>
  <si>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</si>
  <si>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</si>
  <si>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</si>
  <si>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</si>
  <si>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</si>
  <si>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</si>
  <si>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</si>
  <si>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</si>
  <si>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</si>
  <si>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</si>
  <si>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</si>
  <si>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</si>
  <si>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</si>
  <si>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</si>
  <si>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</si>
  <si>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</si>
  <si>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</si>
  <si>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</si>
  <si>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</si>
  <si>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</si>
  <si>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</si>
  <si>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</si>
  <si>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</si>
  <si>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</si>
  <si>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</si>
  <si>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</si>
  <si>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</si>
  <si>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</si>
  <si>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</si>
  <si>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</si>
  <si>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</si>
  <si>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</si>
  <si>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</si>
  <si>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</si>
  <si>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</si>
  <si>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</si>
  <si>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</si>
  <si>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</si>
  <si>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</si>
  <si>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</si>
  <si>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</si>
  <si>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</si>
  <si>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</si>
  <si>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</si>
  <si>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</si>
  <si>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</si>
  <si>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</si>
  <si>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</si>
  <si>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</si>
  <si>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</si>
  <si>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</si>
  <si>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</si>
  <si>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</si>
  <si>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</si>
  <si>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</si>
  <si>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</si>
  <si>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</si>
  <si>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</si>
  <si>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</si>
  <si>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</si>
  <si>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</si>
  <si>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</si>
  <si>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</si>
  <si>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</si>
  <si>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</si>
  <si>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</si>
  <si>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</si>
  <si>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</si>
  <si>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</si>
  <si>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</si>
  <si>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</si>
  <si>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</si>
  <si>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</si>
  <si>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</si>
  <si>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</si>
  <si>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</si>
  <si>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</si>
  <si>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</si>
  <si>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</si>
  <si>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</si>
  <si>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</si>
  <si>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</si>
  <si>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</si>
  <si>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</si>
  <si>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</si>
  <si>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</si>
  <si>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</si>
  <si>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</si>
  <si>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</si>
  <si>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</si>
  <si>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</si>
  <si>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</si>
  <si>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</si>
  <si>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</si>
  <si>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</si>
  <si>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</si>
  <si>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</si>
  <si>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</si>
  <si>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</si>
  <si>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</si>
  <si>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</si>
  <si>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</si>
  <si>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</si>
  <si>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</si>
  <si>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</si>
  <si>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</si>
  <si>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</si>
  <si>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</si>
  <si>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</si>
  <si>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</si>
  <si>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</si>
  <si>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</si>
  <si>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</si>
  <si>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</si>
  <si>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</si>
  <si>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</si>
  <si>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</si>
  <si>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</si>
  <si>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</si>
  <si>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</si>
  <si>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</si>
  <si>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</si>
  <si>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</si>
  <si>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</si>
  <si>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</si>
  <si>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</si>
  <si>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</si>
  <si>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</si>
  <si>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</si>
  <si>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</si>
  <si>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</si>
  <si>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</si>
  <si>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</si>
  <si>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</si>
  <si>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</si>
  <si>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</si>
  <si>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</si>
  <si>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</si>
  <si>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</si>
  <si>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</si>
  <si>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</si>
  <si>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</si>
  <si>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</si>
  <si>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</si>
  <si>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</si>
  <si>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</si>
  <si>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</si>
  <si>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</si>
  <si>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</si>
  <si>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</si>
  <si>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</si>
  <si>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</si>
  <si>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</si>
  <si>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</si>
  <si>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</si>
  <si>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</si>
  <si>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</si>
  <si>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</si>
  <si>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</si>
  <si>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</si>
  <si>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</si>
  <si>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</si>
  <si>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</si>
  <si>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</si>
  <si>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</si>
  <si>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</si>
  <si>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</si>
  <si>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</si>
  <si>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</si>
  <si>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</si>
  <si>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</si>
  <si>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</si>
  <si>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</si>
  <si>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</si>
  <si>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</si>
  <si>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</si>
  <si>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</si>
  <si>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</si>
  <si>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</si>
  <si>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</si>
  <si>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</si>
  <si>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</si>
  <si>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</si>
  <si>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</si>
  <si>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</si>
  <si>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</si>
  <si>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</si>
  <si>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</si>
  <si>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</si>
  <si>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</si>
  <si>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</si>
  <si>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</si>
  <si>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</si>
  <si>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</si>
  <si>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</si>
  <si>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</si>
  <si>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</si>
  <si>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</si>
  <si>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</si>
  <si>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</si>
  <si>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</si>
  <si>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</si>
  <si>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</si>
  <si>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</si>
  <si>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</si>
  <si>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</si>
  <si>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</si>
  <si>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</si>
  <si>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</si>
  <si>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</si>
  <si>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</si>
  <si>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</si>
  <si>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</si>
  <si>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</si>
  <si>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</si>
  <si>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</si>
  <si>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</si>
  <si>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</si>
  <si>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</si>
  <si>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</si>
  <si>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</si>
  <si>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</si>
  <si>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</si>
  <si>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</si>
  <si>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</si>
  <si>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</si>
  <si>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</si>
  <si>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</si>
  <si>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</si>
  <si>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</si>
  <si>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</si>
  <si>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</si>
  <si>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</si>
  <si>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</si>
  <si>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</si>
  <si>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</si>
  <si>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</si>
  <si>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</si>
  <si>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</si>
  <si>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</si>
  <si>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</si>
  <si>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</si>
  <si>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</si>
  <si>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</si>
  <si>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</si>
  <si>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</si>
  <si>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</si>
  <si>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</si>
  <si>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</si>
  <si>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</si>
  <si>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</si>
  <si>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</si>
  <si>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</si>
  <si>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</si>
  <si>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</si>
  <si>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</si>
  <si>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</si>
  <si>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</si>
  <si>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</si>
  <si>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</si>
  <si>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</si>
  <si>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</si>
  <si>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</si>
  <si>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</si>
  <si>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</si>
  <si>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</si>
  <si>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</si>
  <si>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</si>
  <si>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</si>
  <si>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</si>
  <si>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</si>
  <si>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</si>
  <si>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</si>
  <si>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</si>
  <si>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</si>
  <si>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</si>
  <si>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</si>
  <si>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</si>
  <si>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</si>
  <si>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</si>
  <si>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</si>
  <si>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</si>
  <si>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</si>
  <si>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</si>
  <si>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</si>
  <si>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</si>
  <si>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</si>
  <si>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</si>
  <si>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</si>
  <si>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</si>
  <si>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</si>
  <si>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</si>
  <si>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</si>
  <si>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</si>
  <si>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</si>
  <si>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</si>
  <si>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</si>
  <si>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</si>
  <si>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</si>
  <si>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</si>
  <si>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</si>
  <si>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</si>
  <si>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</si>
  <si>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</si>
  <si>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</si>
  <si>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</si>
  <si>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</si>
  <si>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</si>
  <si>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</si>
  <si>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</si>
  <si>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</si>
  <si>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</si>
  <si>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</si>
  <si>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</si>
  <si>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</si>
  <si>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</si>
  <si>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</si>
  <si>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</si>
  <si>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</si>
  <si>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</si>
  <si>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</si>
  <si>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</si>
  <si>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</si>
  <si>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</si>
  <si>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</si>
  <si>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</si>
  <si>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</si>
  <si>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</si>
  <si>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</si>
  <si>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</si>
  <si>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</si>
  <si>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</si>
  <si>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</si>
  <si>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</si>
  <si>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</si>
  <si>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</si>
  <si>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</si>
  <si>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</si>
  <si>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</si>
  <si>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</si>
  <si>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</si>
  <si>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</si>
  <si>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</si>
  <si>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</si>
  <si>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</si>
  <si>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</si>
  <si>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</si>
  <si>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</si>
  <si>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</si>
  <si>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</si>
  <si>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</si>
  <si>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</si>
  <si>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</si>
  <si>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</si>
  <si>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</si>
  <si>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</si>
  <si>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</si>
  <si>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</si>
  <si>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</si>
  <si>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</si>
  <si>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</si>
  <si>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</si>
  <si>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</si>
  <si>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</si>
  <si>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</si>
  <si>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</si>
  <si>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</si>
  <si>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</si>
  <si>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</si>
  <si>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</si>
  <si>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</si>
  <si>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</si>
  <si>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</si>
  <si>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</si>
  <si>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</si>
  <si>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</si>
  <si>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</si>
  <si>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</si>
  <si>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</si>
  <si>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</si>
  <si>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</si>
  <si>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</si>
  <si>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</si>
  <si>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</si>
  <si>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</si>
  <si>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</si>
  <si>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</si>
  <si>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</si>
  <si>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</si>
  <si>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</si>
  <si>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</si>
  <si>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</si>
  <si>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</si>
  <si>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</si>
  <si>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</si>
  <si>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</si>
  <si>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</si>
  <si>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</si>
  <si>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</si>
  <si>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</si>
  <si>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</si>
  <si>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</si>
  <si>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</si>
  <si>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</si>
  <si>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</si>
  <si>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</si>
  <si>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</si>
  <si>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</si>
  <si>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</si>
  <si>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</si>
  <si>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</si>
  <si>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</si>
  <si>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</si>
  <si>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</si>
  <si>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</si>
  <si>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</si>
  <si>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</si>
  <si>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</si>
  <si>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</si>
  <si>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</si>
  <si>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</si>
  <si>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</si>
  <si>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</si>
  <si>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</si>
  <si>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</si>
  <si>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</si>
  <si>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</si>
  <si>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</si>
  <si>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</si>
  <si>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</si>
  <si>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</si>
  <si>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</si>
  <si>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</si>
  <si>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</si>
  <si>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</si>
  <si>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</si>
  <si>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</si>
  <si>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</si>
  <si>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</si>
  <si>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</si>
  <si>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</si>
  <si>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</si>
  <si>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</si>
  <si>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</si>
  <si>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</si>
  <si>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</si>
  <si>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</si>
  <si>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</si>
  <si>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</si>
  <si>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</si>
  <si>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</si>
  <si>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</si>
  <si>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</si>
  <si>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</si>
  <si>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</si>
  <si>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</si>
  <si>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</si>
  <si>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</si>
  <si>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</si>
  <si>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</si>
  <si>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</si>
  <si>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</si>
  <si>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</si>
  <si>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</si>
  <si>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</si>
  <si>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</si>
  <si>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</si>
  <si>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</si>
  <si>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</si>
  <si>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</si>
  <si>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</si>
  <si>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</si>
  <si>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</si>
  <si>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</si>
  <si>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</si>
  <si>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</si>
  <si>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</si>
  <si>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</si>
  <si>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</si>
  <si>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</si>
  <si>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</si>
  <si>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</si>
  <si>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</si>
  <si>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</si>
  <si>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</si>
  <si>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</si>
  <si>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</si>
  <si>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</si>
  <si>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</si>
  <si>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</si>
  <si>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</si>
  <si>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</si>
  <si>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</si>
  <si>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</si>
  <si>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</si>
  <si>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</si>
  <si>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</si>
  <si>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</si>
  <si>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</si>
  <si>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</si>
  <si>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</si>
  <si>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</si>
  <si>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</si>
  <si>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</si>
  <si>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</si>
  <si>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</si>
  <si>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</si>
  <si>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</si>
  <si>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</si>
  <si>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</si>
  <si>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</si>
  <si>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</si>
  <si>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</si>
  <si>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</si>
  <si>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</si>
  <si>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</si>
  <si>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</si>
  <si>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</si>
  <si>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</si>
  <si>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</si>
  <si>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</si>
  <si>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</si>
  <si>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</si>
  <si>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</si>
  <si>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</si>
  <si>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</si>
  <si>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</si>
  <si>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</si>
  <si>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</si>
  <si>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</si>
  <si>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</si>
  <si>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</si>
  <si>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</si>
  <si>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</si>
  <si>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</si>
  <si>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</si>
  <si>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</si>
  <si>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</si>
  <si>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</si>
  <si>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</si>
  <si>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</si>
  <si>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</si>
  <si>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</si>
  <si>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</si>
  <si>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</si>
  <si>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</si>
  <si>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</si>
  <si>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</si>
  <si>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</si>
  <si>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</si>
  <si>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</si>
  <si>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</si>
  <si>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</si>
  <si>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</si>
  <si>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</si>
  <si>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</si>
  <si>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</si>
  <si>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</si>
  <si>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</si>
  <si>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</si>
  <si>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</si>
  <si>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</si>
  <si>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</si>
  <si>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</si>
  <si>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</si>
  <si>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</si>
  <si>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</si>
  <si>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</si>
  <si>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</si>
  <si>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</si>
  <si>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</si>
  <si>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</si>
  <si>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</si>
  <si>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</si>
  <si>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</si>
  <si>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</si>
  <si>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</si>
  <si>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</si>
  <si>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</si>
  <si>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</si>
  <si>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</si>
  <si>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</si>
  <si>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</si>
  <si>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</si>
  <si>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</si>
  <si>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</si>
  <si>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</si>
  <si>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</si>
  <si>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</si>
  <si>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</si>
  <si>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</si>
  <si>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</si>
  <si>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</si>
  <si>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</si>
  <si>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</si>
  <si>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</si>
  <si>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</si>
  <si>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</si>
  <si>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</si>
  <si>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</si>
  <si>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</si>
  <si>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</si>
  <si>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</si>
  <si>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</si>
  <si>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</si>
  <si>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</si>
  <si>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</si>
  <si>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</si>
  <si>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</si>
  <si>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</si>
  <si>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</si>
  <si>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</si>
  <si>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</si>
  <si>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</si>
  <si>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</si>
  <si>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</si>
  <si>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</si>
  <si>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</si>
  <si>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</si>
  <si>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</si>
  <si>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</si>
  <si>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</si>
  <si>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</si>
  <si>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</si>
  <si>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</si>
  <si>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</si>
  <si>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</si>
  <si>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</si>
  <si>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</si>
  <si>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</si>
  <si>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</si>
  <si>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</si>
  <si>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</si>
  <si>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</si>
  <si>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</si>
  <si>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</si>
  <si>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</si>
  <si>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</si>
  <si>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</si>
  <si>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</si>
  <si>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</si>
  <si>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</si>
  <si>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</si>
  <si>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</si>
  <si>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</si>
  <si>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</si>
  <si>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</si>
  <si>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</si>
  <si>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</si>
  <si>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</si>
  <si>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</si>
  <si>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</si>
  <si>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</si>
  <si>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</si>
  <si>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</si>
  <si>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</si>
  <si>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</si>
  <si>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</si>
  <si>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</si>
  <si>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</si>
  <si>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</si>
  <si>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</si>
  <si>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</si>
  <si>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</si>
  <si>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</si>
  <si>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</si>
  <si>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</si>
  <si>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</si>
  <si>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</si>
  <si>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</si>
  <si>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</si>
  <si>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</si>
  <si>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</si>
  <si>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</si>
  <si>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</si>
  <si>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</si>
  <si>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</si>
  <si>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</si>
  <si>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</si>
  <si>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</si>
  <si>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</si>
  <si>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</si>
  <si>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</si>
  <si>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</si>
  <si>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</si>
  <si>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</si>
  <si>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</si>
  <si>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</si>
  <si>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</si>
  <si>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</si>
  <si>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</si>
  <si>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</si>
  <si>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</si>
  <si>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</si>
  <si>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</si>
  <si>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</si>
  <si>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</si>
  <si>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</si>
  <si>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</si>
  <si>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</si>
  <si>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</si>
  <si>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</si>
  <si>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</si>
  <si>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</si>
  <si>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</si>
  <si>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</si>
  <si>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</si>
  <si>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</si>
  <si>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</si>
  <si>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</si>
  <si>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</si>
  <si>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</si>
  <si>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</si>
  <si>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</si>
  <si>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</si>
  <si>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</si>
  <si>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</si>
  <si>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</si>
  <si>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</si>
  <si>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</si>
  <si>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</si>
  <si>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</si>
  <si>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</si>
  <si>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</si>
  <si>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</si>
  <si>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</si>
  <si>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</si>
  <si>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</si>
  <si>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</si>
  <si>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</si>
  <si>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</si>
  <si>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</si>
  <si>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</si>
  <si>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</si>
  <si>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</si>
  <si>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</si>
  <si>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</si>
  <si>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</si>
  <si>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</si>
  <si>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</si>
  <si>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</si>
  <si>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</si>
  <si>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</si>
  <si>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</si>
  <si>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</si>
  <si>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</si>
  <si>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</si>
  <si>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</si>
  <si>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</si>
  <si>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</si>
  <si>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</si>
  <si>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</si>
  <si>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</si>
  <si>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</si>
  <si>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</si>
  <si>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</si>
  <si>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</si>
  <si>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</si>
  <si>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</si>
  <si>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</si>
  <si>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</si>
  <si>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</si>
  <si>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</si>
  <si>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</si>
  <si>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</si>
  <si>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</si>
  <si>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</si>
  <si>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</si>
  <si>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</si>
  <si>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</si>
  <si>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</si>
  <si>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</si>
  <si>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</si>
  <si>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</si>
  <si>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</si>
  <si>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</si>
  <si>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</si>
  <si>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</si>
  <si>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</si>
  <si>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</si>
  <si>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</si>
  <si>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</si>
  <si>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</si>
  <si>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</si>
  <si>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</si>
  <si>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</si>
  <si>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</si>
  <si>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</si>
  <si>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</si>
  <si>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</si>
  <si>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</si>
  <si>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</si>
  <si>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</si>
  <si>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</si>
  <si>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</si>
  <si>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</si>
  <si>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</si>
  <si>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</si>
  <si>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</si>
  <si>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</si>
  <si>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</si>
  <si>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</si>
  <si>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</si>
  <si>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</si>
  <si>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</si>
  <si>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</si>
  <si>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</si>
  <si>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</si>
  <si>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</si>
  <si>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</si>
  <si>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</si>
  <si>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</si>
  <si>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</si>
  <si>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</si>
  <si>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</si>
  <si>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</si>
  <si>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</si>
  <si>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</si>
  <si>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</si>
  <si>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</si>
  <si>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</si>
  <si>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</si>
  <si>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</si>
  <si>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</si>
  <si>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</si>
  <si>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</si>
  <si>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</si>
  <si>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</si>
  <si>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</si>
  <si>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</si>
  <si>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</si>
  <si>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</si>
  <si>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</si>
  <si>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</si>
  <si>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</si>
  <si>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</si>
  <si>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</si>
  <si>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</si>
  <si>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</si>
  <si>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</si>
  <si>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</si>
  <si>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</si>
  <si>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</si>
  <si>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</si>
  <si>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</si>
  <si>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</si>
  <si>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</si>
  <si>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</si>
  <si>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</si>
  <si>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</si>
  <si>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</si>
  <si>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</si>
  <si>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</si>
  <si>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</si>
  <si>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</si>
  <si>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</si>
  <si>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</si>
  <si>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</si>
  <si>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</si>
  <si>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</si>
  <si>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</si>
  <si>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</si>
  <si>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</si>
  <si>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</si>
  <si>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</si>
  <si>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</si>
  <si>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</si>
  <si>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</si>
  <si>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</si>
  <si>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</si>
  <si>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</si>
  <si>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</si>
  <si>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</si>
  <si>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</si>
  <si>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</si>
  <si>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</si>
  <si>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</si>
  <si>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</si>
  <si>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</si>
  <si>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</si>
  <si>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</si>
  <si>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</si>
  <si>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</si>
  <si>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</si>
  <si>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</si>
  <si>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</si>
  <si>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</si>
  <si>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</si>
  <si>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</si>
  <si>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</si>
  <si>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</si>
  <si>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</si>
  <si>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</si>
  <si>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</si>
  <si>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</si>
  <si>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</si>
  <si>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</si>
  <si>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</si>
  <si>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</si>
  <si>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</si>
  <si>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</si>
  <si>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</si>
  <si>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</si>
  <si>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</si>
  <si>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</si>
  <si>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</si>
  <si>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</si>
  <si>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</si>
  <si>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</si>
  <si>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</si>
  <si>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</si>
  <si>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</si>
  <si>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</si>
  <si>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</si>
  <si>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</si>
  <si>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</si>
  <si>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</si>
  <si>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</si>
  <si>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</si>
  <si>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</si>
  <si>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</si>
  <si>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</si>
  <si>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</si>
  <si>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</si>
  <si>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</si>
  <si>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</si>
  <si>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</si>
  <si>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</si>
  <si>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</si>
  <si>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</si>
  <si>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</si>
  <si>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</si>
  <si>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</si>
  <si>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</si>
  <si>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</si>
  <si>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</si>
  <si>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</si>
  <si>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</si>
  <si>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</si>
  <si>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</si>
  <si>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</si>
  <si>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</si>
  <si>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</si>
  <si>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</si>
  <si>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</si>
  <si>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</si>
  <si>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</si>
  <si>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</si>
  <si>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</si>
  <si>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</si>
  <si>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</si>
  <si>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</si>
  <si>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</si>
  <si>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</si>
  <si>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</si>
  <si>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</si>
  <si>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</si>
  <si>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</si>
  <si>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</si>
  <si>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</si>
  <si>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</si>
  <si>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</si>
  <si>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</si>
  <si>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</si>
  <si>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</si>
  <si>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</si>
  <si>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</si>
  <si>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</si>
  <si>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</si>
  <si>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</si>
  <si>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</si>
  <si>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</si>
  <si>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</si>
  <si>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</si>
  <si>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</si>
  <si>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</si>
  <si>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</si>
  <si>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</si>
  <si>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</si>
  <si>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</si>
  <si>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</si>
  <si>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</si>
  <si>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</si>
  <si>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</si>
  <si>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</si>
  <si>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</si>
  <si>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</si>
  <si>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</si>
  <si>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</si>
  <si>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</si>
  <si>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</si>
  <si>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</si>
  <si>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</si>
  <si>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</si>
  <si>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</si>
  <si>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</si>
  <si>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</si>
  <si>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</si>
  <si>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</si>
  <si>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</si>
  <si>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</si>
  <si>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</si>
  <si>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</si>
  <si>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</si>
  <si>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</si>
  <si>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</si>
  <si>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</si>
  <si>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</si>
  <si>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</si>
  <si>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</si>
  <si>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</si>
  <si>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</si>
  <si>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</si>
  <si>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</si>
  <si>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</si>
  <si>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</si>
  <si>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</si>
  <si>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</si>
  <si>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</si>
  <si>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</si>
  <si>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</si>
  <si>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</si>
  <si>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</si>
  <si>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</si>
  <si>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</si>
  <si>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</si>
  <si>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</si>
  <si>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</si>
  <si>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</si>
  <si>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</si>
  <si>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</si>
  <si>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</si>
  <si>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</si>
  <si>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</si>
  <si>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</si>
  <si>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</si>
  <si>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</si>
  <si>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</si>
  <si>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</si>
  <si>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</si>
  <si>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</si>
  <si>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</si>
  <si>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</si>
  <si>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</si>
  <si>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</si>
  <si>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</si>
  <si>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</si>
  <si>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</si>
  <si>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</si>
  <si>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</si>
  <si>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</si>
  <si>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</si>
  <si>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</si>
  <si>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</si>
  <si>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</si>
  <si>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</si>
  <si>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</si>
  <si>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</si>
  <si>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</si>
  <si>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</si>
  <si>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</si>
  <si>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</si>
  <si>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</si>
  <si>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</si>
  <si>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</si>
  <si>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</si>
  <si>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</si>
  <si>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</si>
  <si>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</si>
  <si>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</si>
  <si>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</si>
  <si>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</si>
  <si>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</si>
  <si>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</si>
  <si>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</si>
  <si>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</si>
  <si>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</si>
  <si>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</si>
  <si>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</si>
  <si>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</si>
  <si>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</si>
  <si>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</si>
  <si>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</si>
  <si>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</si>
  <si>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</si>
  <si>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</si>
  <si>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</si>
  <si>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</si>
  <si>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</si>
  <si>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</si>
  <si>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</si>
  <si>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</si>
  <si>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</si>
  <si>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</si>
  <si>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</si>
  <si>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</si>
  <si>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</si>
  <si>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</si>
  <si>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</si>
  <si>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</si>
  <si>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</si>
  <si>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</si>
  <si>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</si>
  <si>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</si>
  <si>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</si>
  <si>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</si>
  <si>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</si>
  <si>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</si>
  <si>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</si>
  <si>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</si>
  <si>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</si>
  <si>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</si>
  <si>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</si>
  <si>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</si>
  <si>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</si>
  <si>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</si>
  <si>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</si>
  <si>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</si>
  <si>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</si>
  <si>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</si>
  <si>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</si>
  <si>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</si>
  <si>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</si>
  <si>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</si>
  <si>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</si>
  <si>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</si>
  <si>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</si>
  <si>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</si>
  <si>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</si>
  <si>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</si>
  <si>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</si>
  <si>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</si>
  <si>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</si>
  <si>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</si>
  <si>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</si>
  <si>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</si>
  <si>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</si>
  <si>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</si>
  <si>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</si>
  <si>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</si>
  <si>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</si>
  <si>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</si>
  <si>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</si>
  <si>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</si>
  <si>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</si>
  <si>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</si>
  <si>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</si>
  <si>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</si>
  <si>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</si>
  <si>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</si>
  <si>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</si>
  <si>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</si>
  <si>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</si>
  <si>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</si>
  <si>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</si>
  <si>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</si>
  <si>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</si>
  <si>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</si>
  <si>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</si>
  <si>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</si>
  <si>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</si>
  <si>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</si>
  <si>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</si>
  <si>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</si>
  <si>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</si>
  <si>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</si>
  <si>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</si>
  <si>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</si>
  <si>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</si>
  <si>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</si>
  <si>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</si>
  <si>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</si>
  <si>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</si>
  <si>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</si>
  <si>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</si>
  <si>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</si>
  <si>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</si>
  <si>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</si>
  <si>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</si>
  <si>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</si>
  <si>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</si>
  <si>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</si>
  <si>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</si>
  <si>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</si>
  <si>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</si>
  <si>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</si>
  <si>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</si>
  <si>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</si>
  <si>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</si>
  <si>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</si>
  <si>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</si>
  <si>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</si>
  <si>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</si>
  <si>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</si>
  <si>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</si>
  <si>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</si>
  <si>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</si>
  <si>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</si>
  <si>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</si>
  <si>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</si>
  <si>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</si>
  <si>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</si>
  <si>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</si>
  <si>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</si>
  <si>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</si>
  <si>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</si>
  <si>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</si>
  <si>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</si>
  <si>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</si>
  <si>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</si>
  <si>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</si>
  <si>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</si>
  <si>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</si>
  <si>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</si>
  <si>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</si>
  <si>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</si>
  <si>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</si>
  <si>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</si>
  <si>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</si>
  <si>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</si>
  <si>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</si>
  <si>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</si>
  <si>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</si>
  <si>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</si>
  <si>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</si>
  <si>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</si>
  <si>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</si>
  <si>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</si>
  <si>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</si>
  <si>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</si>
  <si>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</si>
  <si>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</si>
  <si>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</si>
  <si>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</si>
  <si>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</si>
  <si>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</si>
  <si>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</si>
  <si>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</si>
  <si>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</si>
  <si>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</si>
  <si>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</si>
  <si>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</si>
  <si>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</si>
  <si>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</si>
  <si>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</si>
  <si>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</si>
  <si>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</si>
  <si>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</si>
  <si>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</si>
  <si>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</si>
  <si>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</si>
  <si>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</si>
  <si>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</si>
  <si>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</si>
  <si>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</si>
  <si>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</si>
  <si>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</si>
  <si>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</si>
  <si>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</si>
  <si>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</si>
  <si>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</si>
  <si>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</si>
  <si>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</si>
  <si>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</si>
  <si>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</si>
  <si>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</si>
  <si>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</si>
  <si>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</si>
  <si>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</si>
  <si>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</si>
  <si>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</si>
  <si>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</si>
  <si>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</si>
  <si>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</si>
  <si>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</si>
  <si>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</si>
  <si>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</si>
  <si>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</si>
  <si>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</si>
  <si>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</si>
  <si>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</si>
  <si>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</si>
  <si>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</si>
  <si>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</si>
  <si>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</si>
  <si>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</si>
  <si>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</si>
  <si>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</si>
  <si>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</si>
  <si>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</si>
  <si>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</si>
  <si>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</si>
  <si>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</si>
  <si>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</si>
  <si>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</si>
  <si>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</si>
  <si>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</si>
  <si>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</si>
  <si>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</si>
  <si>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</si>
  <si>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</si>
  <si>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</si>
  <si>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</si>
  <si>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</si>
  <si>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</si>
  <si>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</si>
  <si>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</si>
  <si>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</si>
  <si>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</si>
  <si>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</si>
  <si>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</si>
  <si>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</si>
  <si>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</si>
  <si>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</si>
  <si>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</si>
  <si>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</si>
  <si>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</si>
  <si>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</si>
  <si>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</si>
  <si>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</si>
  <si>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</si>
  <si>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</si>
  <si>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</si>
  <si>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</si>
  <si>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</si>
  <si>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</si>
  <si>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</si>
  <si>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</si>
  <si>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</si>
  <si>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</si>
  <si>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</si>
  <si>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</si>
  <si>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</si>
  <si>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</si>
  <si>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</si>
  <si>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</si>
  <si>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</si>
  <si>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</si>
  <si>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</si>
  <si>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</si>
  <si>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</si>
  <si>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</si>
  <si>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</si>
  <si>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</si>
  <si>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</si>
  <si>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</si>
  <si>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</si>
  <si>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</si>
  <si>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</si>
  <si>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</si>
  <si>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</si>
  <si>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</si>
  <si>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</si>
  <si>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</si>
  <si>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</si>
  <si>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</si>
  <si>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</si>
  <si>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</si>
  <si>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</si>
  <si>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</si>
  <si>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</si>
  <si>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</si>
  <si>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</si>
  <si>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</si>
  <si>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</si>
  <si>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</si>
  <si>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</si>
  <si>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</si>
  <si>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</si>
  <si>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</si>
  <si>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</si>
  <si>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</si>
  <si>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</si>
  <si>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</si>
  <si>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</si>
  <si>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</si>
  <si>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</si>
  <si>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</si>
  <si>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</si>
  <si>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</si>
  <si>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</si>
  <si>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</si>
  <si>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</si>
  <si>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</si>
  <si>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</si>
  <si>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</si>
  <si>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</si>
  <si>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</si>
  <si>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</si>
  <si>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</si>
  <si>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</si>
  <si>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</si>
  <si>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</si>
  <si>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</si>
  <si>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</si>
  <si>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</si>
  <si>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</si>
  <si>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</si>
  <si>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</si>
  <si>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</si>
  <si>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</si>
  <si>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</si>
  <si>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</si>
  <si>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</si>
  <si>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</si>
  <si>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</si>
  <si>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</si>
  <si>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</si>
  <si>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</si>
  <si>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</si>
  <si>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</si>
  <si>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</si>
  <si>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</si>
  <si>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</si>
  <si>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</si>
  <si>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</si>
  <si>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</si>
  <si>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</si>
  <si>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</si>
  <si>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</si>
  <si>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</si>
  <si>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</si>
  <si>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</si>
  <si>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</si>
  <si>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</si>
  <si>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</si>
  <si>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</si>
  <si>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</si>
  <si>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</si>
  <si>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</si>
  <si>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</si>
  <si>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</si>
  <si>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</si>
  <si>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</si>
  <si>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</si>
  <si>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</si>
  <si>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</si>
  <si>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</si>
  <si>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</si>
  <si>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</si>
  <si>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</si>
  <si>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</si>
  <si>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</si>
  <si>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</si>
  <si>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</si>
  <si>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</si>
  <si>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</si>
  <si>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</si>
  <si>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</si>
  <si>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</si>
  <si>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</si>
  <si>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</si>
  <si>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</si>
  <si>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</si>
  <si>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</si>
  <si>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</si>
  <si>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</si>
  <si>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</si>
  <si>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</si>
  <si>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</si>
  <si>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</si>
  <si>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</si>
  <si>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</si>
  <si>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</si>
  <si>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</si>
  <si>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</si>
  <si>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</si>
  <si>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</si>
  <si>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</si>
  <si>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</si>
  <si>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</si>
  <si>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</si>
  <si>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</si>
  <si>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</si>
  <si>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</si>
  <si>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</si>
  <si>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</si>
  <si>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</si>
  <si>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</si>
  <si>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</si>
  <si>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</si>
  <si>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</si>
  <si>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</si>
  <si>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</si>
  <si>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</si>
  <si>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</si>
  <si>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</si>
  <si>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</si>
  <si>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</si>
  <si>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</si>
  <si>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</si>
  <si>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</si>
  <si>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</si>
  <si>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</si>
  <si>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</si>
  <si>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</si>
  <si>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</si>
  <si>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</si>
  <si>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</si>
  <si>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</si>
  <si>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</si>
  <si>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</si>
  <si>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</si>
  <si>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</si>
  <si>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</si>
  <si>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</si>
  <si>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</si>
  <si>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</si>
  <si>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</si>
  <si>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</si>
  <si>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</si>
  <si>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</si>
  <si>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</si>
  <si>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</si>
  <si>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</si>
  <si>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</si>
  <si>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</si>
  <si>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</si>
  <si>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</si>
  <si>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</si>
  <si>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</si>
  <si>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</si>
  <si>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</si>
  <si>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</si>
  <si>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</si>
  <si>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</si>
  <si>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</si>
  <si>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</si>
  <si>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</si>
  <si>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</si>
  <si>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</si>
  <si>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</si>
  <si>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</si>
  <si>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</si>
  <si>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</si>
  <si>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</si>
  <si>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</si>
  <si>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</si>
  <si>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</si>
  <si>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</si>
  <si>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</si>
  <si>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</si>
  <si>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</si>
  <si>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</si>
  <si>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</si>
  <si>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</si>
  <si>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</si>
  <si>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</si>
  <si>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</si>
  <si>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</si>
  <si>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</si>
  <si>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</si>
  <si>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</si>
  <si>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</si>
  <si>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</si>
  <si>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</si>
  <si>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</si>
  <si>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</si>
  <si>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</si>
  <si>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</si>
  <si>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</si>
  <si>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</si>
  <si>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</si>
  <si>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</si>
  <si>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</si>
  <si>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</si>
  <si>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</si>
  <si>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</si>
  <si>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</si>
  <si>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</si>
  <si>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</si>
  <si>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</si>
  <si>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</si>
  <si>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</si>
  <si>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</si>
  <si>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</si>
  <si>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</si>
  <si>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</si>
  <si>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</si>
  <si>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</si>
  <si>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</si>
  <si>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</si>
  <si>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</si>
  <si>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</si>
  <si>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</si>
  <si>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</si>
  <si>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</si>
  <si>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</si>
  <si>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</si>
  <si>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</si>
  <si>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</si>
  <si>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</si>
  <si>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</si>
  <si>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</si>
  <si>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</si>
  <si>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</si>
  <si>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</si>
  <si>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</si>
  <si>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</si>
  <si>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</si>
  <si>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</si>
  <si>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</si>
  <si>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</si>
  <si>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</si>
  <si>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</si>
  <si>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</si>
  <si>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</si>
  <si>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</si>
  <si>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</si>
  <si>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</si>
  <si>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</si>
  <si>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</si>
  <si>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</si>
  <si>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</si>
  <si>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</si>
  <si>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</si>
  <si>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</si>
  <si>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</si>
  <si>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</si>
  <si>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</si>
  <si>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</si>
  <si>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</si>
  <si>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</si>
  <si>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</si>
  <si>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</si>
  <si>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</si>
  <si>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</si>
  <si>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</si>
  <si>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</si>
  <si>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</si>
  <si>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</si>
  <si>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</si>
  <si>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</si>
  <si>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</si>
  <si>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</si>
  <si>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</si>
  <si>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</si>
  <si>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</si>
  <si>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</si>
  <si>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</si>
  <si>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</si>
  <si>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</si>
  <si>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</si>
  <si>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</si>
  <si>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</si>
  <si>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</si>
  <si>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</si>
  <si>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</si>
  <si>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</si>
  <si>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</si>
  <si>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</si>
  <si>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</si>
  <si>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</si>
  <si>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</si>
  <si>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</si>
  <si>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</si>
  <si>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</si>
  <si>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</si>
  <si>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</si>
  <si>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</si>
  <si>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</si>
  <si>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</si>
  <si>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</si>
  <si>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</si>
  <si>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</si>
  <si>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</si>
  <si>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</si>
  <si>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</si>
  <si>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</si>
  <si>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</si>
  <si>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</si>
  <si>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</si>
  <si>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</si>
  <si>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</si>
  <si>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</si>
  <si>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</si>
  <si>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</si>
  <si>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</si>
  <si>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</si>
  <si>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</si>
  <si>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</si>
  <si>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</si>
  <si>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</si>
  <si>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</si>
  <si>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</si>
  <si>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</si>
  <si>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</si>
  <si>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</si>
  <si>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</si>
  <si>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</si>
  <si>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</si>
  <si>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</si>
  <si>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</si>
  <si>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</si>
  <si>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</si>
  <si>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</si>
  <si>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</si>
  <si>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</si>
  <si>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</si>
  <si>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</si>
  <si>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</si>
  <si>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</si>
  <si>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</si>
  <si>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</si>
  <si>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</si>
  <si>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</si>
  <si>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</si>
  <si>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</si>
  <si>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</si>
  <si>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</si>
  <si>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</si>
  <si>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</si>
  <si>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</si>
  <si>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</si>
  <si>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</si>
  <si>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</si>
  <si>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</si>
  <si>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</si>
  <si>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</si>
  <si>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</si>
  <si>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</si>
  <si>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</si>
  <si>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</si>
  <si>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</si>
  <si>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</si>
  <si>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</si>
  <si>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</si>
  <si>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</si>
  <si>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</si>
  <si>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</si>
  <si>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</si>
  <si>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</si>
  <si>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</si>
  <si>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</si>
  <si>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</si>
  <si>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</si>
  <si>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</si>
  <si>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</si>
  <si>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</si>
  <si>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</si>
  <si>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</si>
  <si>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</si>
  <si>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</si>
  <si>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</si>
  <si>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</si>
  <si>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</si>
  <si>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</si>
  <si>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</si>
  <si>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</si>
  <si>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</si>
  <si>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</si>
  <si>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</si>
  <si>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</si>
  <si>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</si>
  <si>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</si>
  <si>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</si>
  <si>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</si>
  <si>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</si>
  <si>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</si>
  <si>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</si>
  <si>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</si>
  <si>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</si>
  <si>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</si>
  <si>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</si>
  <si>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</si>
  <si>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</si>
  <si>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</si>
  <si>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</si>
  <si>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</si>
  <si>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</si>
  <si>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</si>
  <si>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</si>
  <si>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</si>
  <si>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</si>
  <si>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</si>
  <si>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</si>
  <si>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</si>
  <si>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</si>
  <si>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</si>
  <si>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</si>
  <si>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</si>
  <si>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</si>
  <si>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</si>
  <si>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</si>
  <si>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</si>
  <si>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</si>
  <si>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</si>
  <si>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</si>
  <si>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</si>
  <si>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</si>
  <si>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</si>
  <si>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</si>
  <si>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</si>
  <si>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</si>
  <si>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</si>
  <si>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</si>
  <si>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</si>
  <si>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</si>
  <si>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</si>
  <si>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</si>
  <si>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</si>
  <si>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</si>
  <si>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</si>
  <si>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</si>
  <si>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</si>
  <si>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</si>
  <si>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</si>
  <si>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</si>
  <si>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</si>
  <si>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</si>
  <si>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</si>
  <si>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</si>
  <si>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</si>
  <si>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</si>
  <si>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</si>
  <si>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</si>
  <si>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</si>
  <si>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</si>
  <si>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</si>
  <si>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</si>
  <si>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</si>
  <si>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</si>
  <si>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</si>
  <si>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</si>
  <si>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</si>
  <si>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</si>
  <si>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</si>
  <si>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</si>
  <si>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</si>
  <si>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</si>
  <si>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</si>
  <si>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</si>
  <si>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</si>
  <si>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</si>
  <si>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</si>
  <si>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</si>
  <si>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</si>
  <si>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</si>
  <si>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</si>
  <si>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</si>
  <si>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</si>
  <si>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</si>
  <si>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</si>
  <si>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</si>
  <si>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</si>
  <si>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</si>
  <si>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</si>
  <si>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</si>
  <si>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</si>
  <si>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</si>
  <si>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</si>
  <si>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</si>
  <si>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</si>
  <si>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</si>
  <si>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</si>
  <si>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</si>
  <si>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</si>
  <si>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</si>
  <si>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</si>
  <si>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</si>
  <si>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</si>
  <si>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</si>
  <si>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</si>
  <si>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</si>
  <si>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</si>
  <si>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</si>
  <si>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</si>
  <si>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</si>
  <si>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</si>
  <si>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</si>
  <si>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</si>
  <si>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</si>
  <si>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</si>
  <si>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</si>
  <si>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</si>
  <si>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北京大星发商贸有限公司</t>
    <phoneticPr fontId="6" type="noConversion"/>
  </si>
  <si>
    <r>
      <rPr>
        <sz val="10"/>
        <color theme="9" tint="-0.249977111117893"/>
        <rFont val="宋体"/>
        <family val="3"/>
        <charset val="134"/>
      </rPr>
      <t>怀柔县庆春路</t>
    </r>
    <r>
      <rPr>
        <sz val="10"/>
        <color theme="9" tint="-0.249977111117893"/>
        <rFont val="Arial"/>
        <family val="2"/>
      </rPr>
      <t>56</t>
    </r>
    <r>
      <rPr>
        <sz val="10"/>
        <color theme="9" tint="-0.249977111117893"/>
        <rFont val="宋体"/>
        <family val="3"/>
        <charset val="134"/>
      </rPr>
      <t>号</t>
    </r>
    <phoneticPr fontId="6" type="noConversion"/>
  </si>
  <si>
    <t>证号</t>
    <phoneticPr fontId="134" type="noConversion"/>
  </si>
  <si>
    <t>房屋所有权人</t>
    <phoneticPr fontId="134" type="noConversion"/>
  </si>
  <si>
    <t>坐落</t>
    <phoneticPr fontId="134" type="noConversion"/>
  </si>
  <si>
    <t>产别</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</si>
  <si>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</si>
  <si>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</si>
  <si>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</si>
  <si>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</si>
  <si>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</si>
  <si>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</si>
  <si>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t>北京大星发商贸有限公司</t>
    <phoneticPr fontId="134" type="noConversion"/>
  </si>
  <si>
    <r>
      <t>怀柔县青春路5</t>
    </r>
    <r>
      <rPr>
        <sz val="11"/>
        <color theme="1"/>
        <rFont val="宋体"/>
        <family val="3"/>
        <charset val="134"/>
        <scheme val="minor"/>
      </rPr>
      <t>6号</t>
    </r>
    <phoneticPr fontId="134" type="noConversion"/>
  </si>
  <si>
    <t>私有产</t>
    <phoneticPr fontId="134" type="noConversion"/>
  </si>
  <si>
    <t>混合</t>
    <phoneticPr fontId="134" type="noConversion"/>
  </si>
  <si>
    <t>建成年份</t>
    <phoneticPr fontId="134" type="noConversion"/>
  </si>
  <si>
    <t>土地证号</t>
    <phoneticPr fontId="134" type="noConversion"/>
  </si>
  <si>
    <r>
      <t>京怀国用（2</t>
    </r>
    <r>
      <rPr>
        <sz val="11"/>
        <color theme="1"/>
        <rFont val="宋体"/>
        <family val="3"/>
        <charset val="134"/>
        <scheme val="minor"/>
      </rPr>
      <t>010出）第0043号</t>
    </r>
    <phoneticPr fontId="134" type="noConversion"/>
  </si>
  <si>
    <t>综合</t>
    <phoneticPr fontId="134" type="noConversion"/>
  </si>
  <si>
    <t>使用权类型</t>
    <phoneticPr fontId="134" type="noConversion"/>
  </si>
  <si>
    <t>出让</t>
    <phoneticPr fontId="134" type="noConversion"/>
  </si>
  <si>
    <t>土地使用权人</t>
    <phoneticPr fontId="134" type="noConversion"/>
  </si>
  <si>
    <t>终止日期</t>
    <phoneticPr fontId="134" type="noConversion"/>
  </si>
  <si>
    <t>使用权面积</t>
    <phoneticPr fontId="134" type="noConversion"/>
  </si>
  <si>
    <r>
      <t>京房权证怀私移字第2</t>
    </r>
    <r>
      <rPr>
        <sz val="11"/>
        <color theme="1"/>
        <rFont val="宋体"/>
        <family val="3"/>
        <charset val="134"/>
        <scheme val="minor"/>
      </rPr>
      <t>9822号</t>
    </r>
    <phoneticPr fontId="134" type="noConversion"/>
  </si>
  <si>
    <t>北京市怀柔区青春路56号</t>
    <phoneticPr fontId="134" type="noConversion"/>
  </si>
  <si>
    <t>综合</t>
    <phoneticPr fontId="6" type="noConversion"/>
  </si>
  <si>
    <t>现房</t>
  </si>
  <si>
    <t>是</t>
  </si>
  <si>
    <t>地上</t>
  </si>
  <si>
    <t>Ⅷ-怀1</t>
  </si>
  <si>
    <t>成新度</t>
  </si>
  <si>
    <t>建成年代</t>
    <phoneticPr fontId="3" type="noConversion"/>
  </si>
  <si>
    <t>直线</t>
    <phoneticPr fontId="3" type="noConversion"/>
  </si>
  <si>
    <t>观察</t>
    <phoneticPr fontId="3" type="noConversion"/>
  </si>
  <si>
    <t>系数</t>
    <phoneticPr fontId="3" type="noConversion"/>
  </si>
  <si>
    <t>综合</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</si>
  <si>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</si>
  <si>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</si>
  <si>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</si>
  <si>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</si>
  <si>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</si>
  <si>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</si>
  <si>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</si>
  <si>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</si>
  <si>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租赁合同</t>
    <phoneticPr fontId="134" type="noConversion"/>
  </si>
  <si>
    <t>餐饮服务</t>
    <phoneticPr fontId="134" type="noConversion"/>
  </si>
  <si>
    <t>租赁期限</t>
    <phoneticPr fontId="134" type="noConversion"/>
  </si>
  <si>
    <t>2024.9.7-2027.9.6</t>
    <phoneticPr fontId="134" type="noConversion"/>
  </si>
  <si>
    <r>
      <t>怀柔区青春路5</t>
    </r>
    <r>
      <rPr>
        <sz val="11"/>
        <color theme="1"/>
        <rFont val="宋体"/>
        <family val="3"/>
        <charset val="134"/>
        <scheme val="minor"/>
      </rPr>
      <t>6号1幢1层北数第二间</t>
    </r>
    <phoneticPr fontId="134" type="noConversion"/>
  </si>
  <si>
    <t>怀柔区青春路56号大星发湖光店门脸</t>
    <phoneticPr fontId="134" type="noConversion"/>
  </si>
  <si>
    <t>好美滋</t>
    <phoneticPr fontId="134" type="noConversion"/>
  </si>
  <si>
    <r>
      <t>2</t>
    </r>
    <r>
      <rPr>
        <sz val="11"/>
        <color theme="1"/>
        <rFont val="宋体"/>
        <family val="3"/>
        <charset val="134"/>
        <scheme val="minor"/>
      </rPr>
      <t>023.12.30-2024.12.29</t>
    </r>
    <phoneticPr fontId="134" type="noConversion"/>
  </si>
  <si>
    <t>时长（年）</t>
    <phoneticPr fontId="134" type="noConversion"/>
  </si>
  <si>
    <t>怀柔区青春路56号1幢1门</t>
    <phoneticPr fontId="134" type="noConversion"/>
  </si>
  <si>
    <t>药店</t>
    <phoneticPr fontId="134" type="noConversion"/>
  </si>
  <si>
    <t>2024.9.7-2026.9.6</t>
    <phoneticPr fontId="134" type="noConversion"/>
  </si>
  <si>
    <t>剩余租赁时长（年）</t>
    <phoneticPr fontId="134" type="noConversion"/>
  </si>
  <si>
    <t>日租金</t>
    <phoneticPr fontId="134" type="noConversion"/>
  </si>
  <si>
    <t>平均日租金</t>
    <phoneticPr fontId="134" type="noConversion"/>
  </si>
  <si>
    <t>自定义容积率</t>
  </si>
  <si>
    <t>与级别开发程度一致</t>
  </si>
  <si>
    <t>中心城区以外</t>
  </si>
  <si>
    <t>一般</t>
  </si>
  <si>
    <t>较好</t>
  </si>
  <si>
    <t>未包含在土地购买价格中</t>
  </si>
  <si>
    <t>已包含在土地取得成本中</t>
  </si>
  <si>
    <t>押一</t>
  </si>
  <si>
    <t>砖混</t>
  </si>
  <si>
    <t>非生产用房</t>
  </si>
  <si>
    <t>成本法 (元)</t>
  </si>
  <si>
    <t>商业</t>
    <phoneticPr fontId="134" type="noConversion"/>
  </si>
  <si>
    <t>客观租金</t>
    <phoneticPr fontId="134" type="noConversion"/>
  </si>
  <si>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</si>
  <si>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</si>
  <si>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</si>
  <si>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</si>
  <si>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</si>
  <si>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</si>
  <si>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</si>
  <si>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r>
      <t>3</t>
    </r>
    <r>
      <rPr>
        <sz val="11"/>
        <color theme="1"/>
        <rFont val="宋体"/>
        <family val="3"/>
        <charset val="134"/>
      </rPr>
      <t>、</t>
    </r>
    <r>
      <rPr>
        <sz val="11"/>
        <color theme="1"/>
        <rFont val="Arial"/>
        <family val="2"/>
      </rPr>
      <t>5</t>
    </r>
    <phoneticPr fontId="247" type="noConversion"/>
  </si>
  <si>
    <t>商务金融用地</t>
  </si>
  <si>
    <t>较差</t>
  </si>
  <si>
    <t>收益法 (元)2</t>
  </si>
  <si>
    <t>收益法 (元)2</t>
    <phoneticPr fontId="16" type="noConversion"/>
  </si>
  <si>
    <t>收益法 (元)1</t>
  </si>
  <si>
    <t>收益法 (元)1</t>
    <phoneticPr fontId="16" type="noConversion"/>
  </si>
  <si>
    <t>青春路北口</t>
    <phoneticPr fontId="134" type="noConversion"/>
  </si>
  <si>
    <r>
      <t>1</t>
    </r>
    <r>
      <rPr>
        <sz val="11"/>
        <color theme="1"/>
        <rFont val="宋体"/>
        <family val="3"/>
        <charset val="134"/>
        <scheme val="minor"/>
      </rPr>
      <t>.4-1.5</t>
    </r>
    <phoneticPr fontId="134" type="noConversion"/>
  </si>
  <si>
    <t>万达边上</t>
    <phoneticPr fontId="134" type="noConversion"/>
  </si>
  <si>
    <t>2元左右</t>
    <phoneticPr fontId="134" type="noConversion"/>
  </si>
  <si>
    <t>不含税物业取暖。可以聊</t>
    <phoneticPr fontId="134" type="noConversion"/>
  </si>
  <si>
    <t>收益法（汇总）</t>
  </si>
  <si>
    <t>楼面单价</t>
  </si>
  <si>
    <t>自定义</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</si>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</sst>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i/>
      <sz val="9"/>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70"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14" fontId="95" fillId="0" borderId="1" xfId="0" applyNumberFormat="1" applyFont="1" applyBorder="1">
      <alignment vertical="center"/>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5" fillId="0" borderId="15" xfId="0" applyFont="1" applyBorder="1">
      <alignment vertical="center"/>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71" fillId="27" borderId="0" xfId="0" applyFont="1" applyFill="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4" fillId="8" borderId="1"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129540</xdr:colOff>
      <xdr:row>22</xdr:row>
      <xdr:rowOff>30480</xdr:rowOff>
    </xdr:from>
    <xdr:to>
      <xdr:col>16</xdr:col>
      <xdr:colOff>69703</xdr:colOff>
      <xdr:row>47</xdr:row>
      <xdr:rowOff>144194</xdr:rowOff>
    </xdr:to>
    <xdr:pic>
      <xdr:nvPicPr>
        <xdr:cNvPr id="4" name="图片 3">
          <a:extLst>
            <a:ext uri="{FF2B5EF4-FFF2-40B4-BE49-F238E27FC236}">
              <a16:creationId xmlns:a16="http://schemas.microsoft.com/office/drawing/2014/main" id="{64B703A1-2F20-279D-E1D4-891512C002E2}"/>
            </a:ext>
          </a:extLst>
        </xdr:cNvPr>
        <xdr:cNvPicPr>
          <a:picLocks noChangeAspect="1"/>
        </xdr:cNvPicPr>
      </xdr:nvPicPr>
      <xdr:blipFill>
        <a:blip xmlns:r="http://schemas.openxmlformats.org/officeDocument/2006/relationships" r:embed="rId1"/>
        <a:stretch>
          <a:fillRect/>
        </a:stretch>
      </xdr:blipFill>
      <xdr:spPr>
        <a:xfrm>
          <a:off x="8374380" y="4053840"/>
          <a:ext cx="6257143" cy="4685714"/>
        </a:xfrm>
        <a:prstGeom prst="rect">
          <a:avLst/>
        </a:prstGeom>
      </xdr:spPr>
    </xdr:pic>
    <xdr:clientData/>
  </xdr:twoCellAnchor>
  <xdr:twoCellAnchor editAs="oneCell">
    <xdr:from>
      <xdr:col>0</xdr:col>
      <xdr:colOff>0</xdr:colOff>
      <xdr:row>25</xdr:row>
      <xdr:rowOff>0</xdr:rowOff>
    </xdr:from>
    <xdr:to>
      <xdr:col>5</xdr:col>
      <xdr:colOff>248589</xdr:colOff>
      <xdr:row>55</xdr:row>
      <xdr:rowOff>142171</xdr:rowOff>
    </xdr:to>
    <xdr:pic>
      <xdr:nvPicPr>
        <xdr:cNvPr id="5" name="图片 4">
          <a:extLst>
            <a:ext uri="{FF2B5EF4-FFF2-40B4-BE49-F238E27FC236}">
              <a16:creationId xmlns:a16="http://schemas.microsoft.com/office/drawing/2014/main" id="{65F9635A-BF76-5653-5EB0-8E48E50E70E7}"/>
            </a:ext>
          </a:extLst>
        </xdr:cNvPr>
        <xdr:cNvPicPr>
          <a:picLocks noChangeAspect="1"/>
        </xdr:cNvPicPr>
      </xdr:nvPicPr>
      <xdr:blipFill>
        <a:blip xmlns:r="http://schemas.openxmlformats.org/officeDocument/2006/relationships" r:embed="rId2"/>
        <a:stretch>
          <a:fillRect/>
        </a:stretch>
      </xdr:blipFill>
      <xdr:spPr>
        <a:xfrm>
          <a:off x="0" y="4572000"/>
          <a:ext cx="7723809" cy="5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284724</xdr:colOff>
      <xdr:row>37</xdr:row>
      <xdr:rowOff>109630</xdr:rowOff>
    </xdr:to>
    <xdr:pic>
      <xdr:nvPicPr>
        <xdr:cNvPr id="2" name="图片 1">
          <a:extLst>
            <a:ext uri="{FF2B5EF4-FFF2-40B4-BE49-F238E27FC236}">
              <a16:creationId xmlns:a16="http://schemas.microsoft.com/office/drawing/2014/main" id="{C5681747-6098-A428-9C99-B1D18F4FFB3F}"/>
            </a:ext>
          </a:extLst>
        </xdr:cNvPr>
        <xdr:cNvPicPr>
          <a:picLocks noChangeAspect="1"/>
        </xdr:cNvPicPr>
      </xdr:nvPicPr>
      <xdr:blipFill>
        <a:blip xmlns:r="http://schemas.openxmlformats.org/officeDocument/2006/relationships" r:embed="rId1"/>
        <a:stretch>
          <a:fillRect/>
        </a:stretch>
      </xdr:blipFill>
      <xdr:spPr>
        <a:xfrm>
          <a:off x="0" y="0"/>
          <a:ext cx="8209524" cy="6876190"/>
        </a:xfrm>
        <a:prstGeom prst="rect">
          <a:avLst/>
        </a:prstGeom>
      </xdr:spPr>
    </xdr:pic>
    <xdr:clientData/>
  </xdr:twoCellAnchor>
  <xdr:twoCellAnchor editAs="oneCell">
    <xdr:from>
      <xdr:col>0</xdr:col>
      <xdr:colOff>0</xdr:colOff>
      <xdr:row>38</xdr:row>
      <xdr:rowOff>0</xdr:rowOff>
    </xdr:from>
    <xdr:to>
      <xdr:col>13</xdr:col>
      <xdr:colOff>141867</xdr:colOff>
      <xdr:row>75</xdr:row>
      <xdr:rowOff>90583</xdr:rowOff>
    </xdr:to>
    <xdr:pic>
      <xdr:nvPicPr>
        <xdr:cNvPr id="3" name="图片 2">
          <a:extLst>
            <a:ext uri="{FF2B5EF4-FFF2-40B4-BE49-F238E27FC236}">
              <a16:creationId xmlns:a16="http://schemas.microsoft.com/office/drawing/2014/main" id="{DEEC86AF-60A6-8A78-E930-6B150B0C28E4}"/>
            </a:ext>
          </a:extLst>
        </xdr:cNvPr>
        <xdr:cNvPicPr>
          <a:picLocks noChangeAspect="1"/>
        </xdr:cNvPicPr>
      </xdr:nvPicPr>
      <xdr:blipFill>
        <a:blip xmlns:r="http://schemas.openxmlformats.org/officeDocument/2006/relationships" r:embed="rId2"/>
        <a:stretch>
          <a:fillRect/>
        </a:stretch>
      </xdr:blipFill>
      <xdr:spPr>
        <a:xfrm>
          <a:off x="0" y="6949440"/>
          <a:ext cx="8066667" cy="6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北京市怀柔县庆春路56号房地产抵押价值预评估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受贵公司委托，我公司对北京市怀柔县庆春路56号房地产抵押价值进行了预评估。</v>
      </c>
    </row>
    <row r="7" spans="1:2">
      <c r="A7" s="1119" t="s">
        <v>566</v>
      </c>
      <c r="B7" s="1120" t="str">
        <f>'预评函-1'!A7</f>
        <v>估价对象为北京市怀柔县庆春路56号房地产，为北京大星发商贸有限公司所有。根据《国有土地使用证》[]，估价对象（分摊）出让国有建设用地使用权面积为895.66平方米，建筑面积为522.49平方米。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县庆春路56号房地产,属北京大星发商贸有限公司开发建设的，该项目尚在开发建设中。根据《国有土地使用证》[]，估价对象（分摊）出让国有建设用地使用权面积为895.66平方米，规划建筑面积为522.49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县庆春路56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v>
      </c>
    </row>
    <row r="13" spans="1:2">
      <c r="A13" s="1119" t="s">
        <v>529</v>
      </c>
      <c r="B13" s="1120" t="str">
        <f>'预评函-1'!A18</f>
        <v>本次估价的“房地产价值”是指在正常市场情况下，在价值时点2024年11月4日，估价对象规划用途为综合，土地取得方式为出让，出让国有建设用地使用权剩余土地使用年限为26.44，假定未设立法定优先受偿款下的房地产市场价值。</v>
      </c>
    </row>
    <row r="14" spans="1:2">
      <c r="A14" s="1119" t="s">
        <v>530</v>
      </c>
      <c r="B14" s="1120" t="str">
        <f>'预评函-1'!A19</f>
        <v>其中，“出让国有建设用地使用权价值”是指估价对象用途为综合，实际开发程度为宗地红线外“七通”（即、、、、、、）、红线内场地平整条件下，剩余土地使用年限为26.44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853</v>
      </c>
    </row>
    <row r="21" spans="1:2">
      <c r="A21" s="1119" t="s">
        <v>537</v>
      </c>
      <c r="B21" s="1120">
        <f ca="1">'预评函-2'!D7</f>
        <v>16323</v>
      </c>
    </row>
    <row r="22" spans="1:2">
      <c r="A22" s="1119" t="s">
        <v>538</v>
      </c>
      <c r="B22" s="1120" t="str">
        <f ca="1">'预评函-2'!D6</f>
        <v>捌佰伍拾叁万元整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853</v>
      </c>
    </row>
    <row r="31" spans="1:2">
      <c r="A31" s="1119" t="s">
        <v>576</v>
      </c>
      <c r="B31" s="1120">
        <f ca="1">'预评函-2'!D15</f>
        <v>16323</v>
      </c>
    </row>
    <row r="32" spans="1:2">
      <c r="A32" s="1119" t="s">
        <v>543</v>
      </c>
      <c r="B32" s="1120" t="str">
        <f ca="1">'预评函-2'!D14</f>
        <v>捌佰伍拾叁万元整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北京市怀柔县庆春路56号房地产</v>
      </c>
    </row>
    <row r="42" spans="1:2">
      <c r="A42" s="1119" t="s">
        <v>590</v>
      </c>
      <c r="B42" s="1120" t="str">
        <f>'预评函-3'!B2</f>
        <v>建筑面积</v>
      </c>
    </row>
    <row r="43" spans="1:2">
      <c r="A43" s="1119" t="s">
        <v>591</v>
      </c>
      <c r="B43" s="1120">
        <f>'预评函-3'!B4</f>
        <v>522.49</v>
      </c>
    </row>
    <row r="44" spans="1:2">
      <c r="A44" s="1119" t="s">
        <v>575</v>
      </c>
      <c r="B44" s="1120" t="str">
        <f>'预评函-3'!C2</f>
        <v>(分摊)土地面积</v>
      </c>
    </row>
    <row r="45" spans="1:2">
      <c r="A45" s="1119" t="s">
        <v>547</v>
      </c>
      <c r="B45" s="1120">
        <f>'预评函-3'!C4</f>
        <v>895.66</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B20" sqref="B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3480</v>
      </c>
      <c r="C19" s="1442"/>
    </row>
    <row r="20" spans="1:3">
      <c r="A20" s="1441" t="s">
        <v>1048</v>
      </c>
      <c r="B20" s="1441" t="s">
        <v>3478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县庆春路56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04" t="s">
        <v>2582</v>
      </c>
      <c r="J2" s="3204"/>
      <c r="K2" s="3204"/>
      <c r="L2" s="3204"/>
      <c r="M2" s="3204"/>
      <c r="N2" s="3204"/>
      <c r="O2" s="3204"/>
      <c r="P2" s="3204"/>
      <c r="Q2" s="3204"/>
      <c r="R2" s="3204"/>
    </row>
    <row r="3" spans="1:18">
      <c r="A3" s="2761" t="s">
        <v>2503</v>
      </c>
      <c r="B3" s="2762">
        <f>项目基本情况!D3</f>
        <v>45600</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北京市怀柔县庆春路56号房地产抵押价值预评估</v>
      </c>
      <c r="C1" s="3206"/>
      <c r="D1" s="3206"/>
      <c r="E1" s="3206"/>
      <c r="F1" s="3206"/>
      <c r="G1" s="3206"/>
      <c r="H1" s="3206"/>
      <c r="I1" s="320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北京市怀柔县庆春路56号房地产抵押价值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北京市怀柔县庆春路56号房地产</v>
      </c>
      <c r="T2" s="1618"/>
      <c r="U2" s="1618"/>
      <c r="V2" s="1618"/>
      <c r="W2" s="1618"/>
      <c r="X2" s="1618"/>
      <c r="Y2" s="1618"/>
      <c r="Z2" s="1618"/>
      <c r="AA2" s="1618"/>
      <c r="AB2" s="1618"/>
    </row>
    <row r="3" spans="1:30">
      <c r="A3" s="294" t="s">
        <v>2170</v>
      </c>
      <c r="B3" s="2185"/>
      <c r="C3" s="2186" t="s">
        <v>2171</v>
      </c>
      <c r="D3" s="2185">
        <v>45600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3389</v>
      </c>
      <c r="C8" s="2201"/>
      <c r="D8" s="3208" t="s">
        <v>2177</v>
      </c>
      <c r="E8" s="2202" t="s">
        <v>3390</v>
      </c>
      <c r="F8" s="2203"/>
      <c r="G8" s="2441"/>
      <c r="H8" s="2441"/>
      <c r="I8" s="2441"/>
      <c r="J8" s="2244"/>
      <c r="K8" s="2399"/>
      <c r="L8" s="2398"/>
      <c r="M8" s="2398"/>
      <c r="N8" s="2244"/>
      <c r="O8" s="1670"/>
      <c r="P8" s="2244"/>
      <c r="Q8" s="2244"/>
      <c r="R8" s="2244"/>
    </row>
    <row r="9" spans="1:30" ht="13.5" thickBot="1">
      <c r="A9" s="2204" t="s">
        <v>2178</v>
      </c>
      <c r="B9" s="2205" t="s">
        <v>3390</v>
      </c>
      <c r="C9" s="2206"/>
      <c r="D9" s="3209"/>
      <c r="E9" s="2205"/>
      <c r="F9" s="2207"/>
      <c r="G9" s="2442"/>
      <c r="H9" s="2442"/>
      <c r="I9" s="2442"/>
      <c r="J9" s="2244"/>
      <c r="K9" s="2401"/>
      <c r="L9" s="2398"/>
      <c r="M9" s="2398"/>
      <c r="N9" s="2244"/>
      <c r="O9" s="1670"/>
      <c r="P9" s="2244"/>
      <c r="Q9" s="2244"/>
      <c r="R9" s="2244"/>
    </row>
    <row r="10" spans="1:30" ht="13.5" thickTop="1">
      <c r="A10" s="2208" t="s">
        <v>2179</v>
      </c>
      <c r="B10" s="2209" t="s">
        <v>3391</v>
      </c>
      <c r="C10" s="2210"/>
      <c r="D10" s="2193"/>
      <c r="E10" s="2211" t="s">
        <v>2180</v>
      </c>
      <c r="F10" s="3144" t="s">
        <v>3394</v>
      </c>
      <c r="G10" s="2443"/>
      <c r="H10" s="2444"/>
      <c r="I10" s="2445"/>
      <c r="J10" s="2244"/>
      <c r="K10" s="2401"/>
      <c r="L10" s="2398"/>
      <c r="M10" s="2398"/>
      <c r="N10" s="2244"/>
      <c r="O10" s="1670"/>
      <c r="P10" s="2244"/>
      <c r="Q10" s="2244"/>
      <c r="R10" s="2244"/>
    </row>
    <row r="11" spans="1:30" ht="24">
      <c r="A11" s="2212" t="s">
        <v>2181</v>
      </c>
      <c r="B11" s="2213" t="s">
        <v>3392</v>
      </c>
      <c r="C11" s="3143" t="s">
        <v>3393</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3333</v>
      </c>
      <c r="B13" s="2217" t="s">
        <v>2190</v>
      </c>
      <c r="C13" s="803"/>
      <c r="D13" s="803"/>
      <c r="E13" s="803">
        <v>55252</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26.44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5" t="s">
        <v>3420</v>
      </c>
      <c r="C16" s="3216"/>
      <c r="D16" s="3217"/>
      <c r="E16" s="2221" t="s">
        <v>2194</v>
      </c>
      <c r="F16" s="3218">
        <f>E15</f>
        <v>26.44</v>
      </c>
      <c r="G16" s="3219"/>
      <c r="H16" s="3219"/>
      <c r="I16" s="3220"/>
      <c r="J16" s="2244"/>
      <c r="K16" s="2402"/>
      <c r="L16" s="1670"/>
      <c r="M16" s="1670"/>
      <c r="N16" s="2244"/>
      <c r="O16" s="1670"/>
      <c r="P16" s="2244"/>
      <c r="Q16" s="2244"/>
      <c r="R16" s="2244"/>
    </row>
    <row r="17" spans="1:28">
      <c r="A17" s="305" t="s">
        <v>2195</v>
      </c>
      <c r="B17" s="294" t="s">
        <v>2196</v>
      </c>
      <c r="C17" s="8">
        <f>'数据-汇总表'!E3</f>
        <v>522.49</v>
      </c>
      <c r="D17" s="1256" t="s">
        <v>2197</v>
      </c>
      <c r="E17" s="3221" t="s">
        <v>2198</v>
      </c>
      <c r="F17" s="3222"/>
      <c r="G17" s="3222"/>
      <c r="H17" s="3222"/>
      <c r="I17" s="3223"/>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895.66</v>
      </c>
      <c r="D18" s="1029" t="s">
        <v>2201</v>
      </c>
      <c r="E18" s="3224" t="s">
        <v>2202</v>
      </c>
      <c r="F18" s="3225"/>
      <c r="G18" s="3225"/>
      <c r="H18" s="3225"/>
      <c r="I18" s="3226"/>
      <c r="J18" s="2244"/>
      <c r="K18" s="2403"/>
      <c r="L18" s="1670"/>
      <c r="M18" s="1670"/>
      <c r="N18" s="2244"/>
      <c r="O18" s="1670"/>
      <c r="P18" s="2244"/>
      <c r="Q18" s="2244"/>
      <c r="R18" s="2244"/>
      <c r="S18" s="2244"/>
      <c r="T18" s="2244"/>
      <c r="U18" s="2244"/>
      <c r="V18" s="2244"/>
    </row>
    <row r="19" spans="1:28" ht="37.5"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1" t="s">
        <v>2206</v>
      </c>
      <c r="C20" s="3212"/>
      <c r="D20" s="3213" t="s">
        <v>2207</v>
      </c>
      <c r="E20" s="3214"/>
      <c r="F20" s="2429" t="s">
        <v>1056</v>
      </c>
      <c r="G20" s="2441"/>
      <c r="H20" s="2441"/>
      <c r="I20" s="2441"/>
      <c r="J20" s="2244"/>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9"/>
      <c r="B30" s="294" t="s">
        <v>2218</v>
      </c>
      <c r="C30" s="3230"/>
      <c r="D30" s="3231"/>
      <c r="E30" s="2441"/>
      <c r="F30" s="2441"/>
      <c r="G30" s="2441"/>
      <c r="H30" s="2441"/>
      <c r="I30" s="2441"/>
      <c r="J30" s="2244"/>
      <c r="K30" s="2401"/>
      <c r="L30" s="2398"/>
      <c r="M30" s="2398"/>
      <c r="N30" s="2244"/>
      <c r="O30" s="1670"/>
      <c r="P30" s="2244"/>
      <c r="Q30" s="2244"/>
      <c r="R30" s="2244"/>
      <c r="S30" s="2244"/>
      <c r="T30" s="2244"/>
      <c r="U30" s="2244"/>
      <c r="V30" s="2244"/>
    </row>
    <row r="31" spans="1:28">
      <c r="A31" s="3232"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4"/>
      <c r="V34" s="2244"/>
    </row>
    <row r="35" spans="1:30">
      <c r="A35" s="2235"/>
      <c r="B35" s="3227" t="s">
        <v>2229</v>
      </c>
      <c r="C35" s="3227"/>
      <c r="D35" s="3227"/>
      <c r="E35" s="322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3424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895.66</v>
      </c>
      <c r="B3" s="11">
        <f>IF(C3="否",G5-AT5,G5)</f>
        <v>522.49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522.49</v>
      </c>
      <c r="H5" s="13">
        <f t="shared" ref="H5:AT5" si="0">SUM(H13:H656)</f>
        <v>522.49</v>
      </c>
      <c r="I5" s="13">
        <f t="shared" si="0"/>
        <v>522.49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522.49</v>
      </c>
      <c r="BA5" s="15">
        <f t="shared" si="1"/>
        <v>522.49</v>
      </c>
      <c r="BB5" s="15">
        <f t="shared" si="1"/>
        <v>522.49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895.66</v>
      </c>
      <c r="F6" s="13" t="s">
        <v>0</v>
      </c>
      <c r="G6" s="13" t="s">
        <v>1</v>
      </c>
      <c r="H6" s="17">
        <f>SUMIF(I$12:AB$12,"总值",I6:AB6)</f>
        <v>895.66</v>
      </c>
      <c r="I6" s="13">
        <f t="shared" ref="I6:AB6" si="2">ROUND($A$3*I5/$B$3,2)</f>
        <v>895.66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895.66</v>
      </c>
      <c r="AZ6" s="13" t="s">
        <v>2</v>
      </c>
      <c r="BA6" s="13">
        <f>ROUND($AY$6*BA5/$AZ$5,2)</f>
        <v>895.66</v>
      </c>
      <c r="BB6" s="13">
        <f>ROUND($AY$6*BB5/$AZ$5,2)</f>
        <v>895.66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f>信息表!E2</f>
        <v>1</v>
      </c>
      <c r="D13" s="1513" t="s">
        <v>3422</v>
      </c>
      <c r="E13" s="13">
        <f>IF($C$3="是",ROUND($A$3*G13/$B$3,2),ROUND($A$3*(G13-AT13)/$B$3,2))</f>
        <v>393.41</v>
      </c>
      <c r="F13" s="29"/>
      <c r="G13" s="30">
        <f>H13+AC13+AT13</f>
        <v>229.5</v>
      </c>
      <c r="H13" s="17">
        <f>SUMIF(I$12:AB$12,"总值",I13:AB13)</f>
        <v>229.5</v>
      </c>
      <c r="I13" s="1514">
        <f>信息表!J2</f>
        <v>229.5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393.41</v>
      </c>
      <c r="AZ13" s="13">
        <f>BA13+BL13</f>
        <v>229.5</v>
      </c>
      <c r="BA13" s="13">
        <f>SUM(BB13:BK13)</f>
        <v>229.5</v>
      </c>
      <c r="BB13" s="13">
        <f>IF($D13="是",I13-J13,0)</f>
        <v>229.5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f>信息表!E3</f>
        <v>2</v>
      </c>
      <c r="D14" s="1513" t="s">
        <v>3422</v>
      </c>
      <c r="E14" s="13">
        <f>IF($C$3="是",ROUND($A$3*G14/$B$3,2),ROUND($A$3*(G14-AT14)/$B$3,2))</f>
        <v>502.25</v>
      </c>
      <c r="F14" s="29"/>
      <c r="G14" s="30">
        <f>H14+AC14+AT14</f>
        <v>292.99</v>
      </c>
      <c r="H14" s="17">
        <f>SUMIF(I$12:AB$12,"总值",I14:AB14)</f>
        <v>292.99</v>
      </c>
      <c r="I14" s="1514">
        <f>信息表!J3</f>
        <v>292.99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502.25</v>
      </c>
      <c r="AZ14" s="13">
        <f>BA14+BL14</f>
        <v>292.99</v>
      </c>
      <c r="BA14" s="13">
        <f>SUM(BB14:BK14)</f>
        <v>292.99</v>
      </c>
      <c r="BB14" s="13">
        <f>IF($D14="是",I14-J14,0)</f>
        <v>292.99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8"/>
      <c r="G2" s="2431"/>
      <c r="H2" s="2432"/>
      <c r="I2" s="2146" t="s">
        <v>1132</v>
      </c>
      <c r="J2" s="2438"/>
      <c r="K2" s="2438"/>
      <c r="L2" s="2438"/>
      <c r="M2" s="2438"/>
      <c r="N2" s="2439"/>
      <c r="O2" s="2438"/>
      <c r="P2" s="2438"/>
    </row>
    <row r="3" spans="1:16" ht="15.75" thickBot="1">
      <c r="A3" s="3244" t="s">
        <v>1105</v>
      </c>
      <c r="B3" s="3244"/>
      <c r="C3" s="3244"/>
      <c r="D3" s="41">
        <f>'数据-基础表'!AY6</f>
        <v>895.66</v>
      </c>
      <c r="E3" s="41">
        <f>'数据-基础表'!AZ5</f>
        <v>522.49</v>
      </c>
      <c r="F3" s="2438"/>
      <c r="G3" s="42"/>
      <c r="H3" s="43" t="s">
        <v>1106</v>
      </c>
      <c r="I3" s="802">
        <f>ROUND('数据-基础表'!B3/'数据-基础表'!A3,2)</f>
        <v>0.57999999999999996</v>
      </c>
      <c r="J3" s="2438"/>
      <c r="K3" s="2438"/>
      <c r="L3" s="2438"/>
      <c r="M3" s="2438"/>
      <c r="N3" s="2439"/>
      <c r="O3" s="2438"/>
      <c r="P3" s="2438"/>
    </row>
    <row r="4" spans="1:16" ht="15">
      <c r="A4" s="3245"/>
      <c r="B4" s="3246"/>
      <c r="C4" s="3247"/>
      <c r="D4" s="1524" t="s">
        <v>1107</v>
      </c>
      <c r="E4" s="1525" t="s">
        <v>1108</v>
      </c>
      <c r="F4" s="2438"/>
      <c r="G4" s="2433" t="s">
        <v>1133</v>
      </c>
      <c r="H4" s="43" t="s">
        <v>1113</v>
      </c>
      <c r="I4" s="802">
        <f>ROUND(SUMIF('数据-基础表'!I9:AS9,"地上",'数据-基础表'!I5:AS5)/'数据-基础表'!A3,2)</f>
        <v>0.57999999999999996</v>
      </c>
      <c r="J4" s="2438"/>
      <c r="K4" s="2438"/>
      <c r="L4" s="2438"/>
      <c r="M4" s="2438"/>
      <c r="N4" s="2439"/>
      <c r="O4" s="2438"/>
      <c r="P4" s="2438"/>
    </row>
    <row r="5" spans="1:16">
      <c r="A5" s="42" t="s">
        <v>1109</v>
      </c>
      <c r="B5" s="3248" t="s">
        <v>1110</v>
      </c>
      <c r="C5" s="3248"/>
      <c r="D5" s="43">
        <f>ROUND($D$3*E5/$E$3,2)</f>
        <v>0</v>
      </c>
      <c r="E5" s="44">
        <f>SUMIF('数据-基础表'!$11:$11,"住宅",'数据-基础表'!$5:$5)</f>
        <v>0</v>
      </c>
      <c r="F5" s="2438"/>
      <c r="G5" s="42"/>
      <c r="H5" s="43" t="s">
        <v>1106</v>
      </c>
      <c r="I5" s="802">
        <f>ROUND(E31/D31,2)</f>
        <v>0.57999999999999996</v>
      </c>
      <c r="J5" s="2438"/>
      <c r="K5" s="2438"/>
      <c r="L5" s="2438"/>
      <c r="M5" s="2438"/>
      <c r="N5" s="2438"/>
      <c r="O5" s="2438"/>
      <c r="P5" s="2438"/>
    </row>
    <row r="6" spans="1:16" ht="15" thickBot="1">
      <c r="A6" s="1527"/>
      <c r="B6" s="3248" t="s">
        <v>1111</v>
      </c>
      <c r="C6" s="3248"/>
      <c r="D6" s="43">
        <f>ROUND($D$3*E6/$E$3,2)</f>
        <v>895.66</v>
      </c>
      <c r="E6" s="44">
        <f>E3-E5</f>
        <v>522.49</v>
      </c>
      <c r="F6" s="2438"/>
      <c r="G6" s="1529" t="s">
        <v>1112</v>
      </c>
      <c r="H6" s="45" t="s">
        <v>1113</v>
      </c>
      <c r="I6" s="2434">
        <f>ROUND(F31/D31,2)</f>
        <v>0.57999999999999996</v>
      </c>
      <c r="J6" s="2438"/>
      <c r="K6" s="2438"/>
      <c r="L6" s="2438"/>
      <c r="M6" s="2438"/>
      <c r="N6" s="2438"/>
      <c r="O6" s="2438"/>
      <c r="P6" s="2438"/>
    </row>
    <row r="7" spans="1:16" ht="15.75" thickBot="1">
      <c r="A7" s="3240"/>
      <c r="B7" s="3241"/>
      <c r="C7" s="3242"/>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895.66</v>
      </c>
      <c r="E8" s="46">
        <f>SUMIF('数据-基础表'!BB10:BK10,"地上",'数据-基础表'!BB5:BK5)</f>
        <v>522.49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895.66</v>
      </c>
      <c r="E16" s="48">
        <f>SUM(E8:E15)</f>
        <v>522.49</v>
      </c>
      <c r="F16" s="2438"/>
      <c r="G16" s="2438"/>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1</v>
      </c>
      <c r="D19" s="43">
        <f>ROUND($D$3*E19/$E$3,2)</f>
        <v>393.41</v>
      </c>
      <c r="E19" s="51">
        <f t="shared" ref="E19:E26" si="1">SUM(F19:G19)</f>
        <v>229.5</v>
      </c>
      <c r="F19" s="2556">
        <f>'数据-基础表'!G13</f>
        <v>229.5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393.41</v>
      </c>
      <c r="S19" s="51">
        <f t="shared" si="5"/>
        <v>229.5</v>
      </c>
    </row>
    <row r="20" spans="1:19">
      <c r="A20" s="1549"/>
      <c r="B20" s="45" t="s">
        <v>1153</v>
      </c>
      <c r="C20" s="3114">
        <v>2</v>
      </c>
      <c r="D20" s="43">
        <f t="shared" ref="D20:D26" si="6">ROUND($D$3*E20/$E$3,2)</f>
        <v>502.25</v>
      </c>
      <c r="E20" s="51">
        <f t="shared" si="1"/>
        <v>292.99</v>
      </c>
      <c r="F20" s="2556">
        <f>'数据-基础表'!G14</f>
        <v>292.99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502.25</v>
      </c>
      <c r="S20" s="51">
        <f t="shared" si="5"/>
        <v>292.99</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895.66000000000008</v>
      </c>
      <c r="E27" s="1073">
        <f>IF(SUM(E19:E26)='数据-基础表'!BA5,SUM(E19:E26),IF(F27="地上面积有误","面积有误","地下面积有误"))</f>
        <v>522.49</v>
      </c>
      <c r="F27" s="1072">
        <f>IF(SUM(F19:F26)=E8,SUM(F19:F26),"地上面积有误")</f>
        <v>522.49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895.66000000000008</v>
      </c>
      <c r="S27" s="43">
        <f>IF(SUM(S19:S26)=$E$3,SUM(S19:S26),SUM(S19:S26)&amp;"误差"&amp;ROUND(SUM(S19:S26)-E3,2))</f>
        <v>522.49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895.66000000000008</v>
      </c>
      <c r="E31" s="643">
        <f>E27+E30</f>
        <v>522.49</v>
      </c>
      <c r="F31" s="644">
        <f>F27+F30</f>
        <v>522.49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v>
      </c>
      <c r="B6" s="1587" t="str">
        <f>IF(A6=0,"","经营性")</f>
        <v>经营性</v>
      </c>
      <c r="C6" s="1588" t="s">
        <v>21</v>
      </c>
      <c r="D6" s="805">
        <f>SUMIF(项目基本情况!C$12:I$12,C6,项目基本情况!C$14:I$14)</f>
        <v>50</v>
      </c>
      <c r="E6" s="804">
        <f>IF(B6="","",SUMIF(项目基本情况!C$12:I$12,C6,项目基本情况!C$13:I$13))</f>
        <v>55252</v>
      </c>
      <c r="F6" s="61">
        <f>SUMIF(项目基本情况!C$12:I$12,C6,项目基本情况!C$15:I$15)</f>
        <v>26.44</v>
      </c>
      <c r="G6" s="62">
        <f>IF(ISERROR(ROUND(POWER(1+H6,D6-F6)*(POWER(1+H6,F6)-1)/(POWER(1+H6,D6)-1),3)),0,ROUND(POWER(1+H6,D6-F6)*(POWER(1+H6,F6)-1)/(POWER(1+H6,D6)-1),3))</f>
        <v>0.79400000000000004</v>
      </c>
      <c r="H6" s="691">
        <v>0.05</v>
      </c>
      <c r="I6" s="691">
        <v>5.5E-2</v>
      </c>
      <c r="J6" s="63">
        <v>7.0000000000000007E-2</v>
      </c>
      <c r="K6" s="970">
        <f>SUMIF('数据-汇总表'!C$19:C$33,A6,'数据-汇总表'!E$19:E$33)</f>
        <v>229.5</v>
      </c>
      <c r="L6" s="692">
        <v>3000</v>
      </c>
      <c r="M6" s="64">
        <f t="shared" ref="M6:M14" si="0">ROUND(K6*L6/10000,0)</f>
        <v>69</v>
      </c>
      <c r="N6" s="690">
        <f>O19</f>
        <v>0.65</v>
      </c>
      <c r="O6" s="64" t="str">
        <f>IF($N$5="成新度","——",ROUND(M6*N6,0))</f>
        <v>——</v>
      </c>
      <c r="P6" s="65" t="str">
        <f>IF($N$5="成新度","——",M6-O6)</f>
        <v>——</v>
      </c>
      <c r="Q6" s="693">
        <v>0.15</v>
      </c>
      <c r="R6" s="66">
        <f ca="1">SUMIF('数据-汇总表'!C$19:C$33,A6,'数据-汇总表'!R$19:R$27)</f>
        <v>393.41</v>
      </c>
      <c r="S6" s="49">
        <f>IF('数据-汇总表'!$I$17="按面积比例",SUMIF('数据-汇总表'!C$19:C$33,A6,'数据-汇总表'!K$19:K$33),SUMIF('数据-汇总表'!C$19:C$33,A6,'数据-汇总表'!N$19:N$33))</f>
        <v>0</v>
      </c>
      <c r="T6" s="1092">
        <f>ROUND($L$14*S6/10000,0)</f>
        <v>0</v>
      </c>
      <c r="U6" s="3125">
        <v>3.5</v>
      </c>
      <c r="V6" s="67">
        <v>0.02</v>
      </c>
      <c r="W6" s="67">
        <v>0.1</v>
      </c>
      <c r="X6" s="979"/>
      <c r="Y6" s="68">
        <f>N6</f>
        <v>0.65</v>
      </c>
      <c r="Z6" s="69"/>
      <c r="AA6" s="63"/>
      <c r="AB6" s="63"/>
      <c r="AC6" s="979"/>
      <c r="AD6" s="70"/>
      <c r="AE6" s="980">
        <f ca="1">IF(AN6="",0,SUMIF(INDIRECT("'"&amp;AN6&amp;"'"&amp;"!E:E"),$AE$5,INDIRECT("'"&amp;AN6&amp;"'"&amp;"!F:F")))</f>
        <v>26.44</v>
      </c>
      <c r="AF6" s="74"/>
      <c r="AG6" s="130">
        <f>IF(AF6="",0,AE6-AF6)</f>
        <v>0</v>
      </c>
      <c r="AH6" s="71"/>
      <c r="AI6" s="73">
        <v>365</v>
      </c>
      <c r="AJ6" s="74"/>
      <c r="AK6" s="3502">
        <v>5.0000000000000001E-3</v>
      </c>
      <c r="AL6" s="76">
        <v>1.5E-3</v>
      </c>
      <c r="AM6" s="77">
        <v>0.01</v>
      </c>
      <c r="AN6" s="1589" t="s">
        <v>3479</v>
      </c>
      <c r="AO6" s="50">
        <f ca="1">SUMIF(INDIRECT("'"&amp;AN6&amp;"'"&amp;"!A:A"),"总价",INDIRECT("'"&amp;AN6&amp;"'"&amp;"!B:B"))</f>
        <v>355.9289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2</v>
      </c>
      <c r="B7" s="1587" t="str">
        <f t="shared" ref="B7:B13" si="1">IF(A7=0,"","经营性")</f>
        <v>经营性</v>
      </c>
      <c r="C7" s="1588" t="s">
        <v>21</v>
      </c>
      <c r="D7" s="805">
        <f>SUMIF(项目基本情况!C$12:I$12,C7,项目基本情况!C$14:I$14)</f>
        <v>50</v>
      </c>
      <c r="E7" s="804">
        <f>IF(B7="","",SUMIF(项目基本情况!C$12:I$12,C7,项目基本情况!C$13:I$13))</f>
        <v>55252</v>
      </c>
      <c r="F7" s="61">
        <f>SUMIF(项目基本情况!C$12:I$12,C7,项目基本情况!C$15:I$15)</f>
        <v>26.44</v>
      </c>
      <c r="G7" s="62">
        <f t="shared" ref="G7:G11" si="2">IF(ISERROR(ROUND(POWER(1+H7,D7-F7)*(POWER(1+H7,F7)-1)/(POWER(1+H7,D7)-1),3)),0,ROUND(POWER(1+H7,D7-F7)*(POWER(1+H7,F7)-1)/(POWER(1+H7,D7)-1),3))</f>
        <v>0.79400000000000004</v>
      </c>
      <c r="H7" s="691">
        <f>H6</f>
        <v>0.05</v>
      </c>
      <c r="I7" s="691">
        <f>I6</f>
        <v>5.5E-2</v>
      </c>
      <c r="J7" s="63">
        <f>J6</f>
        <v>7.0000000000000007E-2</v>
      </c>
      <c r="K7" s="970">
        <f>SUMIF('数据-汇总表'!C$19:C$33,A7,'数据-汇总表'!E$19:E$33)</f>
        <v>292.99</v>
      </c>
      <c r="L7" s="692">
        <f>L6</f>
        <v>3000</v>
      </c>
      <c r="M7" s="64">
        <f t="shared" si="0"/>
        <v>88</v>
      </c>
      <c r="N7" s="690">
        <f>O20</f>
        <v>0.67</v>
      </c>
      <c r="O7" s="64" t="str">
        <f t="shared" ref="O7:O14" si="3">IF($N$5="成新度","——",ROUND(M7*N7,0))</f>
        <v>——</v>
      </c>
      <c r="P7" s="65" t="str">
        <f t="shared" ref="P7:P14" si="4">IF($N$5="成新度","——",M7-O7)</f>
        <v>——</v>
      </c>
      <c r="Q7" s="693">
        <v>0.1</v>
      </c>
      <c r="R7" s="66">
        <f ca="1">SUMIF('数据-汇总表'!C$19:C$33,A7,'数据-汇总表'!R$19:R$27)</f>
        <v>502.25</v>
      </c>
      <c r="S7" s="49">
        <f>IF('数据-汇总表'!$I$17="按面积比例",SUMIF('数据-汇总表'!C$19:C$33,A7,'数据-汇总表'!K$19:K$33),SUMIF('数据-汇总表'!C$19:C$33,A7,'数据-汇总表'!N$19:N$33))</f>
        <v>0</v>
      </c>
      <c r="T7" s="1092">
        <f t="shared" ref="T7:T13" si="5">ROUND($L$14*S7/10000,0)</f>
        <v>0</v>
      </c>
      <c r="U7" s="3125">
        <v>1.5</v>
      </c>
      <c r="V7" s="67">
        <v>0.02</v>
      </c>
      <c r="W7" s="67">
        <v>0.1</v>
      </c>
      <c r="X7" s="979"/>
      <c r="Y7" s="68">
        <f>N7</f>
        <v>0.67</v>
      </c>
      <c r="Z7" s="69"/>
      <c r="AA7" s="63"/>
      <c r="AB7" s="63"/>
      <c r="AC7" s="979"/>
      <c r="AD7" s="70"/>
      <c r="AE7" s="980">
        <f t="shared" ref="AE7:AE13" ca="1" si="6">IF(AN7="",0,SUMIF(INDIRECT("'"&amp;AN7&amp;"'"&amp;"!E:E"),$AE$5,INDIRECT("'"&amp;AN7&amp;"'"&amp;"!F:F")))</f>
        <v>26.44</v>
      </c>
      <c r="AF7" s="74"/>
      <c r="AG7" s="130">
        <f t="shared" ref="AG7:AG13" si="7">IF(AF7="",0,AE7-AF7)</f>
        <v>0</v>
      </c>
      <c r="AH7" s="71"/>
      <c r="AI7" s="73">
        <v>365</v>
      </c>
      <c r="AJ7" s="74"/>
      <c r="AK7" s="3502">
        <f>AK6</f>
        <v>5.0000000000000001E-3</v>
      </c>
      <c r="AL7" s="76">
        <f>AL6</f>
        <v>1.5E-3</v>
      </c>
      <c r="AM7" s="77">
        <f>AM6</f>
        <v>0.01</v>
      </c>
      <c r="AN7" s="1589" t="s">
        <v>3477</v>
      </c>
      <c r="AO7" s="50">
        <f t="shared" ref="AO7:AO13" ca="1" si="8">SUMIF(INDIRECT("'"&amp;AN7&amp;"'"&amp;"!A:A"),"总价",INDIRECT("'"&amp;AN7&amp;"'"&amp;"!B:B"))</f>
        <v>187.24209999999999</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522.49</v>
      </c>
      <c r="L16" s="87">
        <f>ROUND(M16*10000/SUM(K6:K14),0)</f>
        <v>3005</v>
      </c>
      <c r="M16" s="87">
        <f>SUM(M6:M14)</f>
        <v>157</v>
      </c>
      <c r="N16" s="88">
        <f>ROUND(SUMPRODUCT(M6:M14,N6:N14)/M16,3)</f>
        <v>0.66100000000000003</v>
      </c>
      <c r="O16" s="87">
        <f>SUM(O6:O14)</f>
        <v>0</v>
      </c>
      <c r="P16" s="87">
        <f>SUM(P6:P14)</f>
        <v>0</v>
      </c>
      <c r="Q16" s="89">
        <f>ROUND(SUMPRODUCT(Q6:Q13,K6:K13)/SUMPRODUCT((Q6:Q13&gt;0)*(K6:K13)),2)</f>
        <v>0.12</v>
      </c>
      <c r="R16" s="974">
        <f ca="1">SUM(R6:R13)</f>
        <v>895.66000000000008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148" t="s">
        <v>3426</v>
      </c>
      <c r="M18" s="3149" t="s">
        <v>3427</v>
      </c>
      <c r="N18" s="3149" t="s">
        <v>3428</v>
      </c>
      <c r="O18" s="3149" t="s">
        <v>3430</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2303</v>
      </c>
      <c r="D19" s="2450"/>
      <c r="E19" s="2438"/>
      <c r="F19" s="2438"/>
      <c r="G19" s="2438"/>
      <c r="H19" s="2438"/>
      <c r="I19" s="2438"/>
      <c r="J19" s="2438"/>
      <c r="K19" s="2448">
        <v>1</v>
      </c>
      <c r="L19" s="2448">
        <f>信息表!$K$2</f>
        <v>1988</v>
      </c>
      <c r="M19" s="2447">
        <f>ROUND(1-(1-2%)*(2024-L19)/50,2)</f>
        <v>0.28999999999999998</v>
      </c>
      <c r="N19" s="2447">
        <v>0.8</v>
      </c>
      <c r="O19" s="2447">
        <f>ROUND(M19*M21+N19*N21,2)</f>
        <v>0.65</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1</v>
      </c>
      <c r="C20" s="2560" t="s">
        <v>2301</v>
      </c>
      <c r="D20" s="2450"/>
      <c r="E20" s="2438"/>
      <c r="F20" s="2438"/>
      <c r="G20" s="2438"/>
      <c r="H20" s="2438"/>
      <c r="I20" s="2438"/>
      <c r="J20" s="2438"/>
      <c r="K20" s="2448">
        <v>2</v>
      </c>
      <c r="L20" s="2448">
        <f>信息表!$K$3</f>
        <v>1991</v>
      </c>
      <c r="M20" s="2447">
        <f>ROUND(1-(1-2%)*(2024-L20)/50,2)</f>
        <v>0.35</v>
      </c>
      <c r="N20" s="2447">
        <v>0.8</v>
      </c>
      <c r="O20" s="2447">
        <f>ROUND(M20*M21+N20*N21,2)</f>
        <v>0.67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1</v>
      </c>
      <c r="C21" s="2438"/>
      <c r="D21" s="2450"/>
      <c r="E21" s="2438"/>
      <c r="F21" s="2438"/>
      <c r="G21" s="2438"/>
      <c r="H21" s="2438"/>
      <c r="I21" s="2438"/>
      <c r="J21" s="2438"/>
      <c r="K21" s="2448"/>
      <c r="L21" s="3148" t="s">
        <v>3429</v>
      </c>
      <c r="M21" s="2447">
        <v>0.3</v>
      </c>
      <c r="N21" s="2447">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8"/>
      <c r="D25" s="2450"/>
      <c r="E25" s="2438"/>
      <c r="F25" s="2438"/>
      <c r="G25" s="2438"/>
      <c r="H25" s="2438"/>
      <c r="I25" s="3249" t="s">
        <v>3431</v>
      </c>
      <c r="J25" s="3250"/>
      <c r="K25" s="3250"/>
      <c r="L25" s="3251" t="s">
        <v>3467</v>
      </c>
      <c r="M25" s="3252"/>
      <c r="N25" s="3252"/>
      <c r="O25" s="3252"/>
      <c r="P25" s="3252"/>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28.5" thickBot="1">
      <c r="A26" s="1562" t="s">
        <v>1217</v>
      </c>
      <c r="B26" s="1600" t="s">
        <v>1218</v>
      </c>
      <c r="C26" s="2451" t="s">
        <v>1219</v>
      </c>
      <c r="D26" s="2450"/>
      <c r="E26" s="2438"/>
      <c r="F26" s="2438"/>
      <c r="G26" s="2438"/>
      <c r="H26" s="2438"/>
      <c r="I26" s="3150" t="s">
        <v>3432</v>
      </c>
      <c r="J26" s="3150" t="s">
        <v>3433</v>
      </c>
      <c r="K26" s="3150" t="s">
        <v>3434</v>
      </c>
      <c r="L26" s="3160" t="s">
        <v>3468</v>
      </c>
      <c r="M26" s="3160" t="s">
        <v>3469</v>
      </c>
      <c r="N26" s="3161" t="s">
        <v>3470</v>
      </c>
      <c r="O26" s="3160" t="s">
        <v>3471</v>
      </c>
      <c r="P26" s="3160" t="s">
        <v>3472</v>
      </c>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120</v>
      </c>
      <c r="C27" s="2561" t="s">
        <v>2305</v>
      </c>
      <c r="D27" s="2453"/>
      <c r="E27" s="2439"/>
      <c r="F27" s="2439"/>
      <c r="G27" s="2438"/>
      <c r="H27" s="2438"/>
      <c r="I27" s="3150" t="s">
        <v>3435</v>
      </c>
      <c r="J27" s="3150" t="s">
        <v>3436</v>
      </c>
      <c r="K27" s="3150" t="s">
        <v>3437</v>
      </c>
      <c r="L27" s="3160" t="s">
        <v>3473</v>
      </c>
      <c r="M27" s="3160" t="s">
        <v>3435</v>
      </c>
      <c r="N27" s="3160" t="s">
        <v>3435</v>
      </c>
      <c r="O27" s="3160" t="s">
        <v>3436</v>
      </c>
      <c r="P27" s="3160" t="s">
        <v>3436</v>
      </c>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160</v>
      </c>
      <c r="C28" s="2454"/>
      <c r="D28" s="2453"/>
      <c r="E28" s="2439"/>
      <c r="F28" s="2439"/>
      <c r="G28" s="2438"/>
      <c r="H28" s="2438"/>
      <c r="I28" s="3151">
        <v>10</v>
      </c>
      <c r="J28" s="3151">
        <v>6</v>
      </c>
      <c r="K28" s="3151">
        <v>3</v>
      </c>
      <c r="L28" s="3161">
        <v>45</v>
      </c>
      <c r="M28" s="3161">
        <v>24</v>
      </c>
      <c r="N28" s="3161">
        <v>20</v>
      </c>
      <c r="O28" s="3161">
        <v>5</v>
      </c>
      <c r="P28" s="3161" t="s">
        <v>3474</v>
      </c>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f ca="1">'成本法 (元)'!C10/10000</f>
        <v>8.3597999999999999</v>
      </c>
      <c r="C29" s="2562" t="s">
        <v>2294</v>
      </c>
      <c r="D29" s="2453"/>
      <c r="E29" s="2439"/>
      <c r="F29" s="2439"/>
      <c r="G29" s="2438"/>
      <c r="H29" s="2438"/>
      <c r="I29" s="3151">
        <v>2</v>
      </c>
      <c r="J29" s="3151">
        <v>2</v>
      </c>
      <c r="K29" s="3151">
        <v>0</v>
      </c>
      <c r="L29" s="3161">
        <v>3</v>
      </c>
      <c r="M29" s="3161">
        <v>3</v>
      </c>
      <c r="N29" s="3161">
        <v>2</v>
      </c>
      <c r="O29" s="3161">
        <v>0</v>
      </c>
      <c r="P29" s="3161">
        <v>0</v>
      </c>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9"/>
      <c r="F30" s="2439"/>
      <c r="G30" s="2438"/>
      <c r="H30" s="2438"/>
      <c r="I30" s="3151">
        <v>67000</v>
      </c>
      <c r="J30" s="3151">
        <v>100000</v>
      </c>
      <c r="K30" s="3151">
        <v>21000</v>
      </c>
      <c r="L30" s="3161">
        <v>124000</v>
      </c>
      <c r="M30" s="3161">
        <v>57000</v>
      </c>
      <c r="N30" s="3161">
        <v>32000</v>
      </c>
      <c r="O30" s="3161">
        <v>22000</v>
      </c>
      <c r="P30" s="3161">
        <v>6400</v>
      </c>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9"/>
      <c r="F31" s="2439"/>
      <c r="G31" s="2438"/>
      <c r="H31" s="2438"/>
      <c r="I31" s="3152">
        <v>52000</v>
      </c>
      <c r="J31" s="3152">
        <v>72000</v>
      </c>
      <c r="K31" s="3152">
        <v>21000</v>
      </c>
      <c r="L31" s="3162">
        <v>100000</v>
      </c>
      <c r="M31" s="3162">
        <v>45000</v>
      </c>
      <c r="N31" s="3162">
        <v>26000</v>
      </c>
      <c r="O31" s="3162">
        <v>22000</v>
      </c>
      <c r="P31" s="3162">
        <v>6400</v>
      </c>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8"/>
      <c r="F32" s="2438"/>
      <c r="G32" s="2438"/>
      <c r="H32" s="2438"/>
      <c r="I32" s="3152">
        <v>15000</v>
      </c>
      <c r="J32" s="3152">
        <v>28000</v>
      </c>
      <c r="K32" s="3152">
        <v>0</v>
      </c>
      <c r="L32" s="3162">
        <v>24000</v>
      </c>
      <c r="M32" s="3162">
        <v>12000</v>
      </c>
      <c r="N32" s="3162">
        <v>6000</v>
      </c>
      <c r="O32" s="3162" t="s">
        <v>3438</v>
      </c>
      <c r="P32" s="3162" t="s">
        <v>3438</v>
      </c>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3377</v>
      </c>
      <c r="D33" s="2450"/>
      <c r="E33" s="2438"/>
      <c r="F33" s="2438"/>
      <c r="G33" s="2438"/>
      <c r="H33" s="2438"/>
      <c r="I33" s="3153">
        <f t="shared" ref="I33:P33" si="12">I34+I38+I37</f>
        <v>6002</v>
      </c>
      <c r="J33" s="3153">
        <f t="shared" si="12"/>
        <v>4964</v>
      </c>
      <c r="K33" s="3153">
        <f t="shared" si="12"/>
        <v>3045</v>
      </c>
      <c r="L33" s="3153">
        <f t="shared" si="12"/>
        <v>8084</v>
      </c>
      <c r="M33" s="3153">
        <f t="shared" si="12"/>
        <v>5893</v>
      </c>
      <c r="N33" s="3153">
        <f t="shared" si="12"/>
        <v>4402</v>
      </c>
      <c r="O33" s="3153">
        <f t="shared" si="12"/>
        <v>5920</v>
      </c>
      <c r="P33" s="3153">
        <f t="shared" si="12"/>
        <v>3380</v>
      </c>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v>
      </c>
      <c r="C34" s="2563" t="s">
        <v>2295</v>
      </c>
      <c r="D34" s="2458" t="s">
        <v>2302</v>
      </c>
      <c r="E34" s="2456"/>
      <c r="F34" s="2438"/>
      <c r="G34" s="2438"/>
      <c r="H34" s="2438"/>
      <c r="I34" s="3154">
        <v>2924</v>
      </c>
      <c r="J34" s="3154">
        <v>2788</v>
      </c>
      <c r="K34" s="3154">
        <v>1470</v>
      </c>
      <c r="L34" s="3154">
        <v>3802</v>
      </c>
      <c r="M34" s="3154">
        <v>3061</v>
      </c>
      <c r="N34" s="3154">
        <v>2273</v>
      </c>
      <c r="O34" s="3154">
        <v>1795</v>
      </c>
      <c r="P34" s="3154">
        <v>1595</v>
      </c>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9"/>
      <c r="F35" s="2439"/>
      <c r="G35" s="2438"/>
      <c r="H35" s="2438"/>
      <c r="I35" s="3152">
        <v>2105</v>
      </c>
      <c r="J35" s="3152">
        <v>2008</v>
      </c>
      <c r="K35" s="3152">
        <v>1470</v>
      </c>
      <c r="L35" s="3162">
        <v>3375</v>
      </c>
      <c r="M35" s="3162">
        <v>2440</v>
      </c>
      <c r="N35" s="3162">
        <v>1670</v>
      </c>
      <c r="O35" s="3162">
        <v>1795</v>
      </c>
      <c r="P35" s="3162">
        <v>1595</v>
      </c>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3378</v>
      </c>
      <c r="D36" s="2450"/>
      <c r="E36" s="2438"/>
      <c r="F36" s="2438"/>
      <c r="G36" s="2438"/>
      <c r="H36" s="2438"/>
      <c r="I36" s="3152">
        <v>5763</v>
      </c>
      <c r="J36" s="3152">
        <v>4793</v>
      </c>
      <c r="K36" s="3152" t="s">
        <v>3438</v>
      </c>
      <c r="L36" s="3162">
        <v>5582</v>
      </c>
      <c r="M36" s="3162">
        <v>5390</v>
      </c>
      <c r="N36" s="3162">
        <v>4887</v>
      </c>
      <c r="O36" s="3162" t="s">
        <v>3438</v>
      </c>
      <c r="P36" s="3162" t="s">
        <v>3438</v>
      </c>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2297</v>
      </c>
      <c r="D37" s="2450"/>
      <c r="E37" s="2438"/>
      <c r="F37" s="2438"/>
      <c r="G37" s="2438"/>
      <c r="H37" s="2438"/>
      <c r="I37" s="3155">
        <v>1397</v>
      </c>
      <c r="J37" s="3155">
        <v>700</v>
      </c>
      <c r="K37" s="3155">
        <v>350</v>
      </c>
      <c r="L37" s="3155">
        <v>1613</v>
      </c>
      <c r="M37" s="3155">
        <v>474</v>
      </c>
      <c r="N37" s="3155">
        <v>569</v>
      </c>
      <c r="O37" s="3155">
        <v>700</v>
      </c>
      <c r="P37" s="3155">
        <v>700</v>
      </c>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2297</v>
      </c>
      <c r="D38" s="2450"/>
      <c r="E38" s="2438"/>
      <c r="F38" s="2438"/>
      <c r="G38" s="2438"/>
      <c r="H38" s="2438"/>
      <c r="I38" s="3156">
        <v>1681</v>
      </c>
      <c r="J38" s="3156">
        <v>1476</v>
      </c>
      <c r="K38" s="3156">
        <v>1225</v>
      </c>
      <c r="L38" s="3156">
        <v>2669</v>
      </c>
      <c r="M38" s="3156">
        <v>2358</v>
      </c>
      <c r="N38" s="3156">
        <v>1560</v>
      </c>
      <c r="O38" s="3156">
        <v>3425</v>
      </c>
      <c r="P38" s="3156">
        <v>1085</v>
      </c>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8"/>
      <c r="F39" s="2438"/>
      <c r="G39" s="2438"/>
      <c r="H39" s="2438"/>
      <c r="I39" s="3157"/>
      <c r="J39" s="3157"/>
      <c r="K39" s="3157"/>
      <c r="L39" s="3157"/>
      <c r="M39" s="3157"/>
      <c r="N39" s="3157"/>
      <c r="O39" s="3157"/>
      <c r="P39" s="315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3.1E-2</v>
      </c>
      <c r="C40" s="2571">
        <v>5.0000000000000001E-3</v>
      </c>
      <c r="D40" s="2447"/>
      <c r="E40" s="2450"/>
      <c r="F40" s="2438"/>
      <c r="G40" s="2438"/>
      <c r="H40" s="2438"/>
      <c r="I40" s="3157"/>
      <c r="J40" s="3157"/>
      <c r="K40" s="3157"/>
      <c r="L40" s="3157"/>
      <c r="M40" s="3157"/>
      <c r="N40" s="3157"/>
      <c r="O40" s="3157"/>
      <c r="P40" s="315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5.5000000000000007E-2</v>
      </c>
      <c r="C41" s="2452"/>
      <c r="D41" s="2447"/>
      <c r="E41" s="2450"/>
      <c r="F41" s="2438"/>
      <c r="G41" s="2438"/>
      <c r="H41" s="2438"/>
      <c r="I41" s="3157"/>
      <c r="J41" s="3157"/>
      <c r="K41" s="3157"/>
      <c r="L41" s="3157"/>
      <c r="M41" s="3157"/>
      <c r="N41" s="3157"/>
      <c r="O41" s="3157"/>
      <c r="P41" s="315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8"/>
      <c r="F42" s="2438"/>
      <c r="G42" s="2438"/>
      <c r="H42" s="2438"/>
      <c r="I42" s="3157"/>
      <c r="J42" s="3157"/>
      <c r="K42" s="3157"/>
      <c r="L42" s="3157"/>
      <c r="M42" s="3157"/>
      <c r="N42" s="3157"/>
      <c r="O42" s="3157"/>
      <c r="P42" s="315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5.000000000000001E-3</v>
      </c>
      <c r="C43" s="2452"/>
      <c r="D43" s="2450"/>
      <c r="E43" s="2438"/>
      <c r="F43" s="2438"/>
      <c r="G43" s="2438"/>
      <c r="H43" s="2438"/>
      <c r="I43" s="3158">
        <f t="shared" ref="I43:P43" si="13">I34/I33</f>
        <v>0.48717094301899366</v>
      </c>
      <c r="J43" s="3158">
        <f t="shared" si="13"/>
        <v>0.56164383561643838</v>
      </c>
      <c r="K43" s="3158">
        <f t="shared" si="13"/>
        <v>0.48275862068965519</v>
      </c>
      <c r="L43" s="3158">
        <f t="shared" si="13"/>
        <v>0.47031172686788719</v>
      </c>
      <c r="M43" s="3158">
        <f t="shared" si="13"/>
        <v>0.51942983200407267</v>
      </c>
      <c r="N43" s="3158">
        <f t="shared" si="13"/>
        <v>0.516356201726488</v>
      </c>
      <c r="O43" s="3158">
        <f t="shared" si="13"/>
        <v>0.30320945945945948</v>
      </c>
      <c r="P43" s="3158">
        <f t="shared" si="13"/>
        <v>0.47189349112426038</v>
      </c>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0.05</v>
      </c>
      <c r="C44" s="2563" t="s">
        <v>2306</v>
      </c>
      <c r="D44" s="2450"/>
      <c r="E44" s="2438"/>
      <c r="F44" s="2438"/>
      <c r="G44" s="2438"/>
      <c r="H44" s="2438"/>
      <c r="I44" s="3158">
        <f t="shared" ref="I44:P44" si="14">I37/I33</f>
        <v>0.23275574808397201</v>
      </c>
      <c r="J44" s="3158">
        <f t="shared" si="14"/>
        <v>0.14101531023368252</v>
      </c>
      <c r="K44" s="3158">
        <f t="shared" si="14"/>
        <v>0.11494252873563218</v>
      </c>
      <c r="L44" s="3158">
        <f t="shared" si="14"/>
        <v>0.19952993567540822</v>
      </c>
      <c r="M44" s="3158">
        <f t="shared" si="14"/>
        <v>8.0434413711182762E-2</v>
      </c>
      <c r="N44" s="3158">
        <f t="shared" si="14"/>
        <v>0.12925942753293956</v>
      </c>
      <c r="O44" s="3158">
        <f t="shared" si="14"/>
        <v>0.11824324324324324</v>
      </c>
      <c r="P44" s="3158">
        <f t="shared" si="14"/>
        <v>0.20710059171597633</v>
      </c>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2298</v>
      </c>
      <c r="D45" s="2450"/>
      <c r="E45" s="2438"/>
      <c r="F45" s="2438"/>
      <c r="G45" s="2438"/>
      <c r="H45" s="2438"/>
      <c r="I45" s="3158">
        <f t="shared" ref="I45:P45" si="15">I38/I33</f>
        <v>0.2800733088970343</v>
      </c>
      <c r="J45" s="3158">
        <f t="shared" si="15"/>
        <v>0.29734085414987915</v>
      </c>
      <c r="K45" s="3158">
        <f t="shared" si="15"/>
        <v>0.40229885057471265</v>
      </c>
      <c r="L45" s="3158">
        <f t="shared" si="15"/>
        <v>0.33015833745670459</v>
      </c>
      <c r="M45" s="3158">
        <f t="shared" si="15"/>
        <v>0.40013575428474463</v>
      </c>
      <c r="N45" s="3158">
        <f t="shared" si="15"/>
        <v>0.35438437074057244</v>
      </c>
      <c r="O45" s="3158">
        <f t="shared" si="15"/>
        <v>0.57854729729729726</v>
      </c>
      <c r="P45" s="3158">
        <f t="shared" si="15"/>
        <v>0.32100591715976329</v>
      </c>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mergeCells count="2">
    <mergeCell ref="I25:K25"/>
    <mergeCell ref="L25:P25"/>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522.49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45600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853</v>
      </c>
      <c r="C5" s="2299">
        <f ca="1">IF(B5=D14,结果表!H102,ROUND(B5*10000/$B$1,0))</f>
        <v>16323</v>
      </c>
      <c r="D5" s="2299" t="e">
        <f ca="1">ROUND(B5*10000/$B$2,0)</f>
        <v>#DIV/0!</v>
      </c>
      <c r="E5" s="2460"/>
      <c r="F5" s="2461"/>
      <c r="G5" s="2461"/>
      <c r="H5" s="2461"/>
      <c r="I5" s="2461"/>
      <c r="J5" s="2461"/>
      <c r="K5" s="2461"/>
    </row>
    <row r="6" spans="1:11" ht="16.5">
      <c r="A6" s="2299" t="s">
        <v>656</v>
      </c>
      <c r="B6" s="2299">
        <f>SUM(G14:G23)</f>
        <v>0</v>
      </c>
      <c r="C6" s="2299">
        <f ca="1">IF(B6=G14,结果表!H108,ROUND(B6*10000/$B$1,0))</f>
        <v>16323</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3357</v>
      </c>
      <c r="D10" s="2299" t="s">
        <v>3358</v>
      </c>
      <c r="E10" s="3135"/>
      <c r="F10" s="3139" t="s">
        <v>3359</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522.49</v>
      </c>
      <c r="C14" s="2305"/>
      <c r="D14" s="2305">
        <f ca="1">结果表!H101</f>
        <v>853</v>
      </c>
      <c r="E14" s="2305">
        <f ca="1">结果表!H102</f>
        <v>16323</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6" sqref="K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3421</v>
      </c>
      <c r="H1" s="1621" t="str">
        <f>IF(G1="现房","——","估价对象范围")</f>
        <v>——</v>
      </c>
      <c r="I1" s="1622"/>
    </row>
    <row r="2" spans="1:12" ht="21.75" customHeight="1" thickBot="1">
      <c r="A2" s="3322" t="str">
        <f>项目基本情况!S2</f>
        <v>北京市怀柔县庆春路56号房地产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4" t="s">
        <v>1265</v>
      </c>
      <c r="B4" s="1625" t="s">
        <v>1266</v>
      </c>
      <c r="C4" s="1626" t="s">
        <v>3464</v>
      </c>
      <c r="D4" s="1626" t="s">
        <v>3486</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325">
        <v>25</v>
      </c>
      <c r="C5" s="3328"/>
      <c r="D5" s="3316"/>
      <c r="E5" s="123" t="s">
        <v>1269</v>
      </c>
      <c r="F5" s="1627"/>
      <c r="G5" s="1627"/>
      <c r="H5" s="1627"/>
      <c r="I5" s="1281"/>
    </row>
    <row r="6" spans="1:12" ht="12.75">
      <c r="A6" s="3270"/>
      <c r="B6" s="3325"/>
      <c r="C6" s="3330"/>
      <c r="D6" s="3316"/>
      <c r="E6" s="123" t="s">
        <v>1270</v>
      </c>
      <c r="F6" s="1627"/>
      <c r="G6" s="1627"/>
      <c r="H6" s="1627"/>
      <c r="I6" s="1281"/>
    </row>
    <row r="7" spans="1:12" ht="12.75">
      <c r="A7" s="3270"/>
      <c r="B7" s="3325"/>
      <c r="C7" s="3329"/>
      <c r="D7" s="3316"/>
      <c r="E7" s="123" t="s">
        <v>1271</v>
      </c>
      <c r="F7" s="1627"/>
      <c r="G7" s="1627"/>
      <c r="H7" s="1627"/>
      <c r="I7" s="1281"/>
    </row>
    <row r="8" spans="1:12" ht="12.75">
      <c r="A8" s="3270" t="s">
        <v>1272</v>
      </c>
      <c r="B8" s="3325">
        <v>15</v>
      </c>
      <c r="C8" s="3328"/>
      <c r="D8" s="3316"/>
      <c r="E8" s="123" t="s">
        <v>1273</v>
      </c>
      <c r="F8" s="1627"/>
      <c r="G8" s="1627"/>
      <c r="H8" s="1627"/>
      <c r="I8" s="1281"/>
    </row>
    <row r="9" spans="1:12" ht="12.75">
      <c r="A9" s="3270"/>
      <c r="B9" s="3325"/>
      <c r="C9" s="3329"/>
      <c r="D9" s="3316"/>
      <c r="E9" s="123" t="s">
        <v>1274</v>
      </c>
      <c r="F9" s="1627"/>
      <c r="G9" s="1627"/>
      <c r="H9" s="1627"/>
      <c r="I9" s="1281"/>
    </row>
    <row r="10" spans="1:12" ht="12.75">
      <c r="A10" s="3270" t="s">
        <v>1275</v>
      </c>
      <c r="B10" s="3325">
        <v>15</v>
      </c>
      <c r="C10" s="3328"/>
      <c r="D10" s="3316"/>
      <c r="E10" s="123" t="s">
        <v>1276</v>
      </c>
      <c r="F10" s="1627"/>
      <c r="G10" s="1627"/>
      <c r="H10" s="1627"/>
      <c r="I10" s="1281"/>
    </row>
    <row r="11" spans="1:12" ht="12.75">
      <c r="A11" s="3270"/>
      <c r="B11" s="3325"/>
      <c r="C11" s="3329"/>
      <c r="D11" s="3316"/>
      <c r="E11" s="123" t="s">
        <v>1277</v>
      </c>
      <c r="F11" s="1627"/>
      <c r="G11" s="1627"/>
      <c r="H11" s="1627"/>
      <c r="I11" s="1281"/>
    </row>
    <row r="12" spans="1:12" ht="12.75">
      <c r="A12" s="3270" t="s">
        <v>1278</v>
      </c>
      <c r="B12" s="3325">
        <v>15</v>
      </c>
      <c r="C12" s="3328"/>
      <c r="D12" s="3316"/>
      <c r="E12" s="123" t="s">
        <v>1279</v>
      </c>
      <c r="F12" s="1627"/>
      <c r="G12" s="1627"/>
      <c r="H12" s="1627"/>
      <c r="I12" s="1281"/>
    </row>
    <row r="13" spans="1:12" ht="12.75">
      <c r="A13" s="3270"/>
      <c r="B13" s="3325"/>
      <c r="C13" s="3329"/>
      <c r="D13" s="3316"/>
      <c r="E13" s="123" t="s">
        <v>1280</v>
      </c>
      <c r="F13" s="1627"/>
      <c r="G13" s="1627"/>
      <c r="H13" s="1627"/>
      <c r="I13" s="1281"/>
    </row>
    <row r="14" spans="1:12" ht="12.75">
      <c r="A14" s="3270" t="s">
        <v>1281</v>
      </c>
      <c r="B14" s="3325">
        <v>30</v>
      </c>
      <c r="C14" s="3328">
        <v>6</v>
      </c>
      <c r="D14" s="3316">
        <v>4</v>
      </c>
      <c r="E14" s="123" t="s">
        <v>1282</v>
      </c>
      <c r="F14" s="1627"/>
      <c r="G14" s="1627"/>
      <c r="H14" s="1627"/>
      <c r="I14" s="1281"/>
    </row>
    <row r="15" spans="1:12" ht="12.75">
      <c r="A15" s="3270"/>
      <c r="B15" s="3325"/>
      <c r="C15" s="3330"/>
      <c r="D15" s="3316"/>
      <c r="E15" s="123" t="s">
        <v>1283</v>
      </c>
      <c r="F15" s="1627"/>
      <c r="G15" s="1627"/>
      <c r="H15" s="1627"/>
      <c r="I15" s="1281"/>
    </row>
    <row r="16" spans="1:12" ht="12.75">
      <c r="A16" s="3270"/>
      <c r="B16" s="3325"/>
      <c r="C16" s="3329"/>
      <c r="D16" s="331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47" t="s">
        <v>2131</v>
      </c>
      <c r="F18" s="3348"/>
      <c r="G18" s="3348"/>
      <c r="H18" s="3348"/>
      <c r="I18" s="3348"/>
      <c r="K18" s="294" t="s">
        <v>1289</v>
      </c>
      <c r="L18" s="294">
        <f>IF(C1="",'数据-汇总表'!E3,SUMIF(项目类型,C1,'数据-汇总表'!E17:E26)+SUMIF(项目类型,C1,'数据-汇总表'!I17:I26))</f>
        <v>522.49</v>
      </c>
      <c r="M18" s="294">
        <f>IF(C1="",'数据-汇总表'!E3,SUMIF(项目类型,C1,'数据-汇总表'!E17:E26))</f>
        <v>522.49</v>
      </c>
    </row>
    <row r="19" spans="1:36" ht="15">
      <c r="A19" s="1630" t="s">
        <v>1290</v>
      </c>
      <c r="B19" s="1631" t="s">
        <v>1291</v>
      </c>
      <c r="C19" s="126">
        <f ca="1">SUMIF(INDIRECT("'"&amp;C4&amp;"'"&amp;"!A:A"),结果表!B19,INDIRECT("'"&amp;C4&amp;"'"&amp;"!B:B"))</f>
        <v>1059.3608999999999</v>
      </c>
      <c r="D19" s="127">
        <f ca="1">SUMIF(INDIRECT("'"&amp;D4&amp;"'"&amp;"!A:A"),结果表!B19,INDIRECT("'"&amp;D4&amp;"'"&amp;"!B:B"))</f>
        <v>543.17100000000005</v>
      </c>
      <c r="E19" s="1630" t="s">
        <v>1292</v>
      </c>
      <c r="F19" s="1631" t="s">
        <v>1291</v>
      </c>
      <c r="G19" s="128">
        <f ca="1">ROUND(C19*$C$18+D19*$D$18,0)</f>
        <v>853</v>
      </c>
      <c r="H19" s="1632" t="s">
        <v>1293</v>
      </c>
      <c r="I19" s="121"/>
      <c r="K19" s="294" t="s">
        <v>1294</v>
      </c>
      <c r="L19" s="294">
        <f>IF(C1="",'数据-汇总表'!D3,SUMIF(项目类型,C1,'数据-汇总表'!D17:D26)+SUMIF(项目类型,C1,'数据-汇总表'!H17:H27))</f>
        <v>895.66</v>
      </c>
      <c r="M19" s="294">
        <f>IF(C1="",'数据-汇总表'!D3,SUMIF(项目类型,C1,'数据-汇总表'!D17:D26))</f>
        <v>895.66</v>
      </c>
    </row>
    <row r="20" spans="1:36" ht="15">
      <c r="A20" s="1633"/>
      <c r="B20" s="43" t="s">
        <v>1295</v>
      </c>
      <c r="C20" s="129">
        <f ca="1">SUMIF(INDIRECT("'"&amp;C4&amp;"'"&amp;"!A:A"),结果表!B20,INDIRECT("'"&amp;C4&amp;"'"&amp;"!B:B"))</f>
        <v>20275</v>
      </c>
      <c r="D20" s="130">
        <f ca="1">SUMIF(INDIRECT("'"&amp;D4&amp;"'"&amp;"!A:A"),结果表!B20,INDIRECT("'"&amp;D4&amp;"'"&amp;"!B:B"))</f>
        <v>10396</v>
      </c>
      <c r="E20" s="1633"/>
      <c r="F20" s="43" t="s">
        <v>1295</v>
      </c>
      <c r="G20" s="131">
        <f ca="1">ROUND(C20*$C$18+D20*$D$18,0)</f>
        <v>16323</v>
      </c>
      <c r="H20" s="760" t="s">
        <v>1296</v>
      </c>
      <c r="I20" s="121"/>
    </row>
    <row r="21" spans="1:36" ht="15" customHeight="1" thickBot="1">
      <c r="A21" s="449"/>
      <c r="B21" s="93" t="s">
        <v>1297</v>
      </c>
      <c r="C21" s="678">
        <f ca="1">ROUND(C19*10000/L19,0)</f>
        <v>11828</v>
      </c>
      <c r="D21" s="679">
        <f ca="1">ROUND(D19*10000/L19,0)</f>
        <v>6064</v>
      </c>
      <c r="E21" s="449"/>
      <c r="F21" s="93" t="s">
        <v>1297</v>
      </c>
      <c r="G21" s="132">
        <f ca="1">ROUND(G19*10000/L19,0)</f>
        <v>9524</v>
      </c>
      <c r="H21" s="1634" t="s">
        <v>1296</v>
      </c>
      <c r="I21" s="121"/>
    </row>
    <row r="22" spans="1:36" ht="15" thickBot="1">
      <c r="A22" s="1564" t="s">
        <v>1298</v>
      </c>
      <c r="B22" s="1635"/>
      <c r="C22" s="1636"/>
      <c r="D22" s="680">
        <f ca="1">IF(C19&lt;D19,D19/C19-1,C19/D19-1)</f>
        <v>0.95032669269898395</v>
      </c>
      <c r="E22" s="121"/>
      <c r="F22" s="121"/>
      <c r="G22" s="121"/>
      <c r="H22" s="121"/>
      <c r="I22" s="121"/>
      <c r="K22" s="684" t="s">
        <v>3489</v>
      </c>
      <c r="L22" s="684">
        <v>528</v>
      </c>
    </row>
    <row r="23" spans="1:36" ht="13.5" thickBot="1">
      <c r="A23" s="646"/>
      <c r="B23" s="646"/>
      <c r="C23" s="646"/>
      <c r="D23" s="646"/>
      <c r="E23" s="121"/>
      <c r="F23" s="121"/>
      <c r="G23" s="121"/>
      <c r="H23" s="121"/>
      <c r="I23" s="121"/>
      <c r="K23" s="684" t="s">
        <v>3487</v>
      </c>
      <c r="L23" s="684">
        <v>10107</v>
      </c>
    </row>
    <row r="24" spans="1:36" ht="14.25">
      <c r="A24" s="3340" t="s">
        <v>1299</v>
      </c>
      <c r="B24" s="1631" t="s">
        <v>1291</v>
      </c>
      <c r="C24" s="128">
        <f>IF(B30=0,0,D30)</f>
        <v>0</v>
      </c>
      <c r="D24" s="1637"/>
      <c r="E24" s="121"/>
      <c r="F24" s="121"/>
      <c r="G24" s="121"/>
      <c r="H24" s="121"/>
      <c r="I24" s="121"/>
    </row>
    <row r="25" spans="1:36" ht="14.25">
      <c r="A25" s="334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16323</v>
      </c>
      <c r="D32" s="1641" t="s">
        <v>3487</v>
      </c>
      <c r="E32" s="121"/>
      <c r="F32" s="121"/>
      <c r="G32" s="121"/>
      <c r="H32" s="121"/>
      <c r="I32" s="121"/>
    </row>
    <row r="33" spans="1:15" ht="15">
      <c r="A33" s="740" t="s">
        <v>1306</v>
      </c>
      <c r="B33" s="123"/>
      <c r="C33" s="1642" t="s">
        <v>3488</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7" t="s">
        <v>1326</v>
      </c>
      <c r="B45" s="3338"/>
      <c r="C45" s="3339"/>
      <c r="D45" s="147">
        <f ca="1">ROUND(H101*F45,0)</f>
        <v>853</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8"/>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45600</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58" t="s">
        <v>1340</v>
      </c>
      <c r="L48" s="3258"/>
      <c r="M48" s="3261">
        <f ca="1">H101</f>
        <v>853</v>
      </c>
      <c r="N48" s="3261"/>
      <c r="O48" s="3261"/>
    </row>
    <row r="49" spans="1:35" ht="25.5" customHeight="1">
      <c r="A49" s="2152" t="s">
        <v>1341</v>
      </c>
      <c r="B49" s="3306" t="s">
        <v>1342</v>
      </c>
      <c r="C49" s="3306"/>
      <c r="D49" s="1478">
        <v>0</v>
      </c>
      <c r="E49" s="316" t="s">
        <v>1343</v>
      </c>
      <c r="F49" s="2232" t="s">
        <v>28</v>
      </c>
      <c r="G49" s="3289"/>
      <c r="H49" s="2134" t="s">
        <v>2134</v>
      </c>
      <c r="I49" s="2135"/>
      <c r="J49" s="2309">
        <v>4</v>
      </c>
      <c r="K49" s="3258" t="str">
        <f>IF(项目基本情况!E8="房地产抵押价值","房地产抵押价值","抵押担保权已注销时的房地产抵押价值")</f>
        <v>房地产抵押价值</v>
      </c>
      <c r="L49" s="3258"/>
      <c r="M49" s="3261">
        <f ca="1">IF(项目基本情况!E8="房地产抵押价值",H107,H109)</f>
        <v>853</v>
      </c>
      <c r="N49" s="3261"/>
      <c r="O49" s="3261"/>
    </row>
    <row r="50" spans="1:35" ht="25.5" customHeight="1">
      <c r="A50" s="2337"/>
      <c r="B50" s="3306" t="s">
        <v>1344</v>
      </c>
      <c r="C50" s="3306"/>
      <c r="D50" s="2189"/>
      <c r="E50" s="323"/>
      <c r="F50" s="2232"/>
      <c r="G50" s="3290"/>
      <c r="H50" s="2136" t="s">
        <v>2135</v>
      </c>
      <c r="I50" s="2135"/>
      <c r="J50" s="3257" t="s">
        <v>1345</v>
      </c>
      <c r="K50" s="3257"/>
      <c r="L50" s="3257"/>
      <c r="M50" s="3257"/>
      <c r="N50" s="3257"/>
      <c r="O50" s="3257"/>
    </row>
    <row r="51" spans="1:35" ht="20.45" customHeight="1">
      <c r="A51" s="2338"/>
      <c r="B51" s="3306" t="s">
        <v>1346</v>
      </c>
      <c r="C51" s="3306"/>
      <c r="D51" s="1024"/>
      <c r="E51" s="319"/>
      <c r="F51" s="2232"/>
      <c r="G51" s="3291"/>
      <c r="H51" s="2136" t="s">
        <v>2136</v>
      </c>
      <c r="I51" s="2135"/>
      <c r="J51" s="2310" t="s">
        <v>1347</v>
      </c>
      <c r="K51" s="3258" t="s">
        <v>1348</v>
      </c>
      <c r="L51" s="3258"/>
      <c r="M51" s="2310" t="s">
        <v>1349</v>
      </c>
      <c r="N51" s="2310" t="s">
        <v>1350</v>
      </c>
      <c r="O51" s="2310" t="s">
        <v>1351</v>
      </c>
    </row>
    <row r="52" spans="1:35" ht="24" customHeight="1">
      <c r="A52" s="2153" t="s">
        <v>1352</v>
      </c>
      <c r="B52" s="3306" t="s">
        <v>1353</v>
      </c>
      <c r="C52" s="3306"/>
      <c r="D52" s="1024">
        <f ca="1">ROUND(D45*'数据-取费表'!B41/(1+'数据-取费表'!C42),0)</f>
        <v>45</v>
      </c>
      <c r="E52" s="1256" t="s">
        <v>1354</v>
      </c>
      <c r="F52" s="2339">
        <f>'数据-取费表'!B41</f>
        <v>5.5000000000000007E-2</v>
      </c>
      <c r="G52" s="2340"/>
      <c r="H52" s="2330"/>
      <c r="I52" s="1669"/>
      <c r="J52" s="2309">
        <v>1</v>
      </c>
      <c r="K52" s="3283" t="s">
        <v>1355</v>
      </c>
      <c r="L52" s="3283"/>
      <c r="M52" s="2311" t="b">
        <f>D48</f>
        <v>0</v>
      </c>
      <c r="N52" s="2309" t="str">
        <f>E48</f>
        <v>销售额×税（费）率</v>
      </c>
      <c r="O52" s="2312">
        <f>F48</f>
        <v>5.5000000000000007E-2</v>
      </c>
    </row>
    <row r="53" spans="1:35" ht="12" customHeight="1">
      <c r="A53" s="2153" t="s">
        <v>1356</v>
      </c>
      <c r="B53" s="3307" t="s">
        <v>2291</v>
      </c>
      <c r="C53" s="3308"/>
      <c r="D53" s="1024">
        <f ca="1">ROUND(D45*'数据-取费表'!B41/(1+'数据-取费表'!C42),0)</f>
        <v>45</v>
      </c>
      <c r="E53" s="1256" t="s">
        <v>1354</v>
      </c>
      <c r="F53" s="2339">
        <f>'数据-取费表'!B41</f>
        <v>5.5000000000000007E-2</v>
      </c>
      <c r="G53" s="2340"/>
      <c r="H53" s="2330"/>
      <c r="I53" s="1669"/>
      <c r="J53" s="2309">
        <v>2</v>
      </c>
      <c r="K53" s="3283" t="s">
        <v>1357</v>
      </c>
      <c r="L53" s="3283"/>
      <c r="M53" s="2311">
        <f t="shared" ref="M53:O54" ca="1" si="0">D55</f>
        <v>0</v>
      </c>
      <c r="N53" s="2309" t="str">
        <f t="shared" si="0"/>
        <v>销售额×税（费）率</v>
      </c>
      <c r="O53" s="2312" t="str">
        <f t="shared" si="0"/>
        <v>免征</v>
      </c>
    </row>
    <row r="54" spans="1:35" ht="12" customHeight="1">
      <c r="A54" s="2153" t="s">
        <v>1358</v>
      </c>
      <c r="B54" s="3307" t="s">
        <v>2292</v>
      </c>
      <c r="C54" s="3308"/>
      <c r="D54" s="1024">
        <f ca="1">C68</f>
        <v>45</v>
      </c>
      <c r="E54" s="319" t="s">
        <v>1359</v>
      </c>
      <c r="F54" s="2339">
        <f>'数据-取费表'!B41</f>
        <v>5.5000000000000007E-2</v>
      </c>
      <c r="G54" s="2340"/>
      <c r="H54" s="2341"/>
      <c r="I54" s="1669"/>
      <c r="J54" s="2309">
        <v>3</v>
      </c>
      <c r="K54" s="3283" t="s">
        <v>1360</v>
      </c>
      <c r="L54" s="3283"/>
      <c r="M54" s="2311">
        <f t="shared" ca="1" si="0"/>
        <v>483</v>
      </c>
      <c r="N54" s="2309" t="str">
        <f t="shared" si="0"/>
        <v>增值额×税（费）率</v>
      </c>
      <c r="O54" s="2313" t="str">
        <f t="shared" si="0"/>
        <v>免征</v>
      </c>
    </row>
    <row r="55" spans="1:35" ht="24" customHeight="1">
      <c r="A55" s="3343" t="s">
        <v>1361</v>
      </c>
      <c r="B55" s="3321"/>
      <c r="C55" s="3321"/>
      <c r="D55" s="12">
        <f ca="1">IF(H55="个人住宅",0,ROUND(D45*I55,0))</f>
        <v>0</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f ca="1">D59</f>
        <v>8</v>
      </c>
      <c r="N55" s="1883" t="str">
        <f>E59</f>
        <v>差额计税</v>
      </c>
      <c r="O55" s="2315">
        <f>F59</f>
        <v>0.01</v>
      </c>
    </row>
    <row r="56" spans="1:35" ht="24.75">
      <c r="A56" s="3343" t="s">
        <v>1363</v>
      </c>
      <c r="B56" s="3321"/>
      <c r="C56" s="3321"/>
      <c r="D56" s="12">
        <f ca="1">IF(H56="个人住宅",D57,D58)</f>
        <v>483</v>
      </c>
      <c r="E56" s="1256" t="s">
        <v>1364</v>
      </c>
      <c r="F56" s="2339" t="str">
        <f>IF(H56="正常",F58,"免征")</f>
        <v>免征</v>
      </c>
      <c r="G56" s="2342" t="s">
        <v>1365</v>
      </c>
      <c r="H56" s="2343"/>
      <c r="I56" s="1670"/>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2.75">
      <c r="A57" s="2153" t="s">
        <v>1341</v>
      </c>
      <c r="B57" s="3307" t="s">
        <v>1366</v>
      </c>
      <c r="C57" s="3308"/>
      <c r="D57" s="1478">
        <v>0</v>
      </c>
      <c r="E57" s="316" t="s">
        <v>1343</v>
      </c>
      <c r="F57" s="294"/>
      <c r="G57" s="2340"/>
      <c r="H57" s="2344"/>
      <c r="I57" s="1670"/>
      <c r="J57" s="3283">
        <f>IF(AND(J55="",J56=""),4,IF(项目基本情况!K6="上海银行",结果表!J56+1,结果表!J55+1))</f>
        <v>5</v>
      </c>
      <c r="K57" s="3283" t="s">
        <v>1367</v>
      </c>
      <c r="L57" s="2316" t="s">
        <v>1368</v>
      </c>
      <c r="M57" s="2317"/>
      <c r="N57" s="2318">
        <f ca="1">SUMIF(M52:M56,"&lt;9e307")</f>
        <v>491</v>
      </c>
      <c r="O57" s="2319"/>
      <c r="P57" s="2463">
        <f ca="1">N57/M49</f>
        <v>0.57561547479484176</v>
      </c>
    </row>
    <row r="58" spans="1:35" ht="24.75">
      <c r="A58" s="2153" t="s">
        <v>1352</v>
      </c>
      <c r="B58" s="3307" t="s">
        <v>1369</v>
      </c>
      <c r="C58" s="3306"/>
      <c r="D58" s="12">
        <f ca="1">IF(H58="转让取得",C81,C97)</f>
        <v>483</v>
      </c>
      <c r="E58" s="1256" t="s">
        <v>1364</v>
      </c>
      <c r="F58" s="294" t="s">
        <v>28</v>
      </c>
      <c r="G58" s="2340"/>
      <c r="H58" s="2343"/>
      <c r="I58" s="1670"/>
      <c r="J58" s="3283"/>
      <c r="K58" s="3283"/>
      <c r="L58" s="2316" t="s">
        <v>1370</v>
      </c>
      <c r="M58" s="2320"/>
      <c r="N58" s="2321" t="str">
        <f ca="1">NUMBERSTRING(INT(N57*10000),2)&amp;"元整"</f>
        <v>肆佰玖拾壹万元整</v>
      </c>
      <c r="O58" s="2322"/>
    </row>
    <row r="59" spans="1:35" ht="24.75" thickBot="1">
      <c r="A59" s="3287" t="s">
        <v>1371</v>
      </c>
      <c r="B59" s="3288"/>
      <c r="C59" s="3288"/>
      <c r="D59" s="2345">
        <f ca="1">IF(H59="非个人房产","——",IF(H59="个人住宅（满五唯一有凭证）",0,IF(H59="个人其他（无凭证）",ROUND(D45*F59,0),ROUND(C67*F59,0))))</f>
        <v>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5">
        <f>J57+1</f>
        <v>6</v>
      </c>
      <c r="K59" s="3283" t="s">
        <v>1372</v>
      </c>
      <c r="L59" s="2309" t="s">
        <v>1368</v>
      </c>
      <c r="M59" s="2323"/>
      <c r="N59" s="2324">
        <f ca="1">M49-N57</f>
        <v>362</v>
      </c>
      <c r="O59" s="2325"/>
    </row>
    <row r="60" spans="1:35" ht="12" customHeight="1">
      <c r="A60" s="1671"/>
      <c r="B60" s="646"/>
      <c r="C60" s="646"/>
      <c r="D60" s="646"/>
      <c r="E60" s="1466"/>
      <c r="F60" s="1670"/>
      <c r="G60" s="1670"/>
      <c r="H60" s="151"/>
      <c r="I60" s="121"/>
      <c r="J60" s="3286"/>
      <c r="K60" s="3283"/>
      <c r="L60" s="2316" t="s">
        <v>1370</v>
      </c>
      <c r="M60" s="2320"/>
      <c r="N60" s="2321" t="str">
        <f ca="1">NUMBERSTRING(INT(N59*10000),2)&amp;"元整"</f>
        <v>叁佰陆拾贰万元整</v>
      </c>
      <c r="O60" s="2322"/>
    </row>
    <row r="61" spans="1:35" ht="13.5" thickBot="1">
      <c r="A61" s="3342" t="s">
        <v>1373</v>
      </c>
      <c r="B61" s="3342"/>
      <c r="C61" s="3342"/>
      <c r="D61" s="3342"/>
      <c r="E61" s="3342"/>
      <c r="F61" s="1670"/>
      <c r="G61" s="1670"/>
      <c r="H61" s="151"/>
      <c r="I61" s="121"/>
      <c r="J61" s="2309">
        <f>J59+1</f>
        <v>7</v>
      </c>
      <c r="K61" s="3283" t="s">
        <v>1374</v>
      </c>
      <c r="L61" s="3283"/>
      <c r="M61" s="2326"/>
      <c r="N61" s="2327">
        <f ca="1">ROUND(N59*10000/'数据-汇总表'!E3,0)</f>
        <v>6928</v>
      </c>
      <c r="O61" s="2328"/>
    </row>
    <row r="62" spans="1:35" ht="12.75">
      <c r="A62" s="3302" t="s">
        <v>1375</v>
      </c>
      <c r="B62" s="3303"/>
      <c r="C62" s="1865"/>
      <c r="D62" s="1865" t="s">
        <v>1376</v>
      </c>
      <c r="E62" s="158" t="s">
        <v>1377</v>
      </c>
      <c r="F62" s="1670"/>
      <c r="G62" s="1670"/>
      <c r="H62" s="151"/>
      <c r="I62" s="121"/>
    </row>
    <row r="63" spans="1:35" ht="12.75">
      <c r="A63" s="165" t="s">
        <v>330</v>
      </c>
      <c r="B63" s="159" t="s">
        <v>1378</v>
      </c>
      <c r="C63" s="2349">
        <f ca="1">ROUND((C64+C65)/(1+'数据-取费表'!C42),0)</f>
        <v>812</v>
      </c>
      <c r="D63" s="159"/>
      <c r="E63" s="160"/>
      <c r="F63" s="1670"/>
      <c r="G63" s="1670"/>
      <c r="H63" s="151"/>
      <c r="I63" s="121"/>
      <c r="J63" s="3266" t="s">
        <v>1379</v>
      </c>
      <c r="K63" s="1245" t="s">
        <v>1380</v>
      </c>
      <c r="L63" s="1245">
        <f ca="1">IF(M49&gt;10000,M49*0.5%,IF(AND(M49&gt;1000,M49&lt;=10000),M49*1%,IF(AND(M49&gt;100,M49&lt;=1000),M49*3%,IF(AND(M49&gt;10,M49&lt;=100),M49*5%,M49*8%))))</f>
        <v>25.59</v>
      </c>
      <c r="M63" s="294">
        <f ca="1">ROUND(L63,1)</f>
        <v>25.6</v>
      </c>
      <c r="N63" s="2329"/>
      <c r="Z63" s="1623"/>
      <c r="AI63" s="1561"/>
    </row>
    <row r="64" spans="1:35" ht="14.25" customHeight="1">
      <c r="A64" s="161" t="s">
        <v>325</v>
      </c>
      <c r="B64" s="162" t="s">
        <v>1381</v>
      </c>
      <c r="C64" s="2350">
        <f ca="1">D45</f>
        <v>853</v>
      </c>
      <c r="D64" s="162" t="s">
        <v>26</v>
      </c>
      <c r="E64" s="164"/>
      <c r="F64" s="1670"/>
      <c r="G64" s="1670"/>
      <c r="H64" s="151"/>
      <c r="I64" s="121"/>
      <c r="J64" s="3266"/>
      <c r="K64" s="1245" t="s">
        <v>1382</v>
      </c>
      <c r="L64" s="1245">
        <f ca="1">IF(M49&gt;2000,M49*0.5%,IF(AND(M49&gt;1000,M49&lt;=2000),M49*0.6%,IF(AND(M49&gt;500,M49&lt;=1000),M49*0.7%,IF(AND(M49&gt;200,M49&lt;=500),M49*0.8%,IF(AND(M49&gt;100,M49&lt;=200),M49*0.9%,IF(AND(M49&gt;50,M49&lt;=100),M49*1%,IF(AND(M49&gt;20,M49&lt;=50),M49*1.5%,IF(AND(M49&gt;10,M49&lt;=20),M49*2%,IF(AND(M49&gt;1,M49&lt;=10),M49*2.5%)))))))))</f>
        <v>5.9709999999999992</v>
      </c>
      <c r="M64" s="294">
        <f t="shared" ref="M64:M65" ca="1" si="1">ROUND(L64,1)</f>
        <v>6</v>
      </c>
      <c r="N64" s="2330" t="s">
        <v>1383</v>
      </c>
      <c r="Z64" s="1623"/>
      <c r="AI64" s="1561"/>
    </row>
    <row r="65" spans="1:35" ht="14.25" customHeight="1">
      <c r="A65" s="161" t="s">
        <v>326</v>
      </c>
      <c r="B65" s="162" t="s">
        <v>1384</v>
      </c>
      <c r="C65" s="2351"/>
      <c r="D65" s="162"/>
      <c r="E65" s="164"/>
      <c r="F65" s="1670"/>
      <c r="G65" s="1670"/>
      <c r="H65" s="151"/>
      <c r="I65" s="121"/>
      <c r="J65" s="3266"/>
      <c r="K65" s="1245" t="s">
        <v>1385</v>
      </c>
      <c r="L65" s="1245">
        <f ca="1">IF(M49&gt;1000,M49*0.1%,IF(AND(M49&gt;500,M49&lt;=1000),M49*0.5%,IF(AND(M49&gt;50,M49&lt;=500),M49*1%,IF(AND(M49&gt;1,M49&lt;=50),M49*1.5%))))</f>
        <v>4.2649999999999997</v>
      </c>
      <c r="M65" s="294">
        <f t="shared" ca="1" si="1"/>
        <v>4.3</v>
      </c>
      <c r="N65" s="2330" t="s">
        <v>1383</v>
      </c>
      <c r="Z65" s="1623"/>
      <c r="AI65" s="1561"/>
    </row>
    <row r="66" spans="1:35" ht="14.25" customHeight="1">
      <c r="A66" s="165" t="s">
        <v>327</v>
      </c>
      <c r="B66" s="166" t="s">
        <v>1386</v>
      </c>
      <c r="C66" s="2352"/>
      <c r="D66" s="166" t="s">
        <v>26</v>
      </c>
      <c r="E66" s="1251" t="s">
        <v>671</v>
      </c>
      <c r="F66" s="1670"/>
      <c r="G66" s="1670"/>
      <c r="H66" s="151"/>
      <c r="I66" s="121"/>
      <c r="J66" s="3266"/>
      <c r="K66" s="1245" t="s">
        <v>1387</v>
      </c>
      <c r="L66" s="1245">
        <f ca="1">M49*0.5%</f>
        <v>4.2649999999999997</v>
      </c>
      <c r="M66" s="294">
        <f ca="1">IF(L66&gt;0.5,0.5,ROUND(L66,0))</f>
        <v>0.5</v>
      </c>
      <c r="N66" s="2330" t="s">
        <v>1388</v>
      </c>
      <c r="Z66" s="1623"/>
      <c r="AI66" s="1561"/>
    </row>
    <row r="67" spans="1:35" ht="14.25" customHeight="1">
      <c r="A67" s="165" t="s">
        <v>328</v>
      </c>
      <c r="B67" s="166" t="s">
        <v>1389</v>
      </c>
      <c r="C67" s="2353">
        <f ca="1">C63-C66</f>
        <v>812</v>
      </c>
      <c r="D67" s="162" t="s">
        <v>26</v>
      </c>
      <c r="E67" s="164"/>
      <c r="F67" s="1670"/>
      <c r="G67" s="1670"/>
      <c r="H67" s="151"/>
      <c r="I67" s="121"/>
      <c r="J67" s="3266"/>
      <c r="K67" s="1245" t="s">
        <v>1390</v>
      </c>
      <c r="L67" s="1245">
        <f ca="1">IF(M49&gt;=10000,(8.25+(M49-10000)*0.01%),IF(AND(M49&gt;=8000,M49&lt;10000),(7.85+(M49-8000)*0.02%),IF(AND(M49&gt;=5000,M49&lt;8000),(6.65+(M49-5000)*0.04%),IF(AND(M49&gt;=2000,M49&lt;5000),(4.25+(PM49-2000)*0.08%),IF(AND(M49&gt;=1000,M49&lt;2000),(2.75+(M49-1000)*0.15%),IF(AND(M49&gt;=100,M49&lt;1000),(0.5+(M49-100)*0.25%),IF(AND(M49&gt;0,M49&lt;100),M49*0.5%)))))))</f>
        <v>2.3825000000000003</v>
      </c>
      <c r="M67" s="294">
        <f ca="1">ROUND(L67*0.9,1)</f>
        <v>2.1</v>
      </c>
      <c r="N67" s="2329"/>
      <c r="Z67" s="1623"/>
      <c r="AI67" s="1561"/>
    </row>
    <row r="68" spans="1:35" ht="14.25" customHeight="1" thickBot="1">
      <c r="A68" s="168" t="s">
        <v>329</v>
      </c>
      <c r="B68" s="169" t="s">
        <v>1391</v>
      </c>
      <c r="C68" s="2354">
        <f ca="1">IF(C67&lt;=0,0,ROUND(C67*D68,0))</f>
        <v>45</v>
      </c>
      <c r="D68" s="2355">
        <f>'数据-取费表'!B41</f>
        <v>5.5000000000000007E-2</v>
      </c>
      <c r="E68" s="170"/>
      <c r="F68" s="1670"/>
      <c r="G68" s="1670"/>
      <c r="H68" s="151"/>
      <c r="I68" s="121"/>
      <c r="J68" s="3266"/>
      <c r="K68" s="1245" t="s">
        <v>1392</v>
      </c>
      <c r="L68" s="1245">
        <f ca="1">IF(M49&gt;10000,M49*0.5%,IF(AND(M49&gt;5000,M49&lt;=10000),M49*1%,IF(AND(M49&gt;1000,M49&lt;=5000),M49*2%,IF(AND(M49&gt;200,M49&lt;=1000),M49*3%,M49*5%))))</f>
        <v>25.59</v>
      </c>
      <c r="M68" s="294">
        <f ca="1">ROUND(L68,1)</f>
        <v>25.6</v>
      </c>
      <c r="N68" s="2329"/>
      <c r="Z68" s="1623"/>
      <c r="AI68" s="1561"/>
    </row>
    <row r="69" spans="1:35" ht="16.5" customHeight="1">
      <c r="A69" s="1672"/>
      <c r="B69" s="1673"/>
      <c r="C69" s="1674"/>
      <c r="D69" s="1675"/>
      <c r="E69" s="1676"/>
      <c r="F69" s="1466"/>
      <c r="G69" s="1466"/>
      <c r="H69" s="1467"/>
      <c r="I69" s="646"/>
      <c r="J69" s="3266"/>
      <c r="K69" s="1245" t="s">
        <v>1393</v>
      </c>
      <c r="L69" s="1245"/>
      <c r="M69" s="294">
        <f ca="1">ROUND(SUM(M63:M68),0)</f>
        <v>64</v>
      </c>
      <c r="N69" s="2331">
        <f ca="1">M69/M49</f>
        <v>7.5029308323563887E-2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812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7" t="s">
        <v>1402</v>
      </c>
      <c r="F76" s="3306"/>
      <c r="G76" s="3306"/>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v>
      </c>
      <c r="D78" s="2362">
        <f>'数据-取费表'!B43</f>
        <v>5.000000000000001E-3</v>
      </c>
      <c r="E78" s="3299" t="s">
        <v>1406</v>
      </c>
      <c r="F78" s="3300"/>
      <c r="G78" s="3300"/>
      <c r="H78" s="330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808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483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812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268" t="s">
        <v>2129</v>
      </c>
      <c r="H90" s="326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9" t="s">
        <v>1422</v>
      </c>
      <c r="F92" s="3300"/>
      <c r="G92" s="3300"/>
      <c r="H92" s="330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v>
      </c>
      <c r="D93" s="2362">
        <f>'数据-取费表'!B43</f>
        <v>5.000000000000001E-3</v>
      </c>
      <c r="E93" s="3299" t="s">
        <v>1406</v>
      </c>
      <c r="F93" s="3300"/>
      <c r="G93" s="3300"/>
      <c r="H93" s="330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4" t="s">
        <v>1426</v>
      </c>
      <c r="F94" s="3345"/>
      <c r="G94" s="3345"/>
      <c r="H94" s="334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808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483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4"/>
      <c r="E100" s="3246" t="s">
        <v>1429</v>
      </c>
      <c r="F100" s="3246"/>
      <c r="G100" s="3246"/>
      <c r="H100" s="3284"/>
      <c r="I100" s="121"/>
    </row>
    <row r="101" spans="1:35" ht="18.75" customHeight="1">
      <c r="A101" s="3292" t="s">
        <v>1430</v>
      </c>
      <c r="B101" s="3293"/>
      <c r="C101" s="2370" t="str">
        <f>C4</f>
        <v>成本法 (元)</v>
      </c>
      <c r="D101" s="2371" t="str">
        <f>D4</f>
        <v>收益法（汇总）</v>
      </c>
      <c r="E101" s="3262" t="s">
        <v>1431</v>
      </c>
      <c r="F101" s="3263"/>
      <c r="G101" s="1687" t="s">
        <v>1432</v>
      </c>
      <c r="H101" s="2380">
        <f ca="1">H118</f>
        <v>853</v>
      </c>
      <c r="I101" s="121"/>
    </row>
    <row r="102" spans="1:35" ht="18.75" customHeight="1">
      <c r="A102" s="3294" t="s">
        <v>1433</v>
      </c>
      <c r="B102" s="2369" t="s">
        <v>1432</v>
      </c>
      <c r="C102" s="2370">
        <f ca="1">IF(D32="楼面单价",ROUND(C19,0),C19)</f>
        <v>1059</v>
      </c>
      <c r="D102" s="2371">
        <f ca="1">IF(D32="楼面单价",ROUND(D19,0),D19)</f>
        <v>543</v>
      </c>
      <c r="E102" s="3262"/>
      <c r="F102" s="3263"/>
      <c r="G102" s="1687" t="s">
        <v>1434</v>
      </c>
      <c r="H102" s="2340">
        <f ca="1">I118</f>
        <v>16323</v>
      </c>
      <c r="I102" s="121"/>
    </row>
    <row r="103" spans="1:35" ht="42.75" customHeight="1">
      <c r="A103" s="3294"/>
      <c r="B103" s="2369" t="s">
        <v>1434</v>
      </c>
      <c r="C103" s="2372">
        <f ca="1">C20</f>
        <v>20275</v>
      </c>
      <c r="D103" s="2373">
        <f ca="1">D20</f>
        <v>10396</v>
      </c>
      <c r="E103" s="3255" t="s">
        <v>1435</v>
      </c>
      <c r="F103" s="3256"/>
      <c r="G103" s="1688" t="s">
        <v>1436</v>
      </c>
      <c r="H103" s="2380">
        <f>IF(D36="正常操作",H104+H105+H106,H105+H106)</f>
        <v>0</v>
      </c>
      <c r="I103" s="121"/>
    </row>
    <row r="104" spans="1:35" ht="18.75" customHeight="1">
      <c r="A104" s="3294" t="s">
        <v>1437</v>
      </c>
      <c r="B104" s="2374" t="s">
        <v>1432</v>
      </c>
      <c r="C104" s="2375">
        <f ca="1">H118</f>
        <v>853</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16323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5" t="str">
        <f>IF(项目基本情况!E8="已注销","——","3.房地产抵押价值")</f>
        <v>3.房地产抵押价值</v>
      </c>
      <c r="F107" s="3263"/>
      <c r="G107" s="1687" t="s">
        <v>1432</v>
      </c>
      <c r="H107" s="2380">
        <f ca="1">IF(E107="——","——",H101-H103)</f>
        <v>853</v>
      </c>
      <c r="I107" s="121"/>
    </row>
    <row r="108" spans="1:35" ht="18.75" customHeight="1">
      <c r="A108" s="121"/>
      <c r="B108" s="121"/>
      <c r="C108" s="121"/>
      <c r="D108" s="121"/>
      <c r="E108" s="3295"/>
      <c r="F108" s="3263"/>
      <c r="G108" s="1687" t="s">
        <v>1434</v>
      </c>
      <c r="H108" s="2340">
        <f ca="1">IF(H107=H101,H102,ROUND(H107*10000/'数据-汇总表'!E3,0))</f>
        <v>16323</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7" t="s">
        <v>1432</v>
      </c>
      <c r="H109" s="2383" t="str">
        <f>IF(E109="——","——",H101-H105-H106)</f>
        <v>——</v>
      </c>
      <c r="I109" s="121"/>
    </row>
    <row r="110" spans="1:35" ht="18.75" customHeight="1">
      <c r="A110" s="121"/>
      <c r="B110" s="121"/>
      <c r="C110" s="121"/>
      <c r="D110" s="121"/>
      <c r="E110" s="3295"/>
      <c r="F110" s="3263"/>
      <c r="G110" s="1687"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7" t="s">
        <v>1432</v>
      </c>
      <c r="H111" s="2380" t="str">
        <f>IF(E111="——","——",N59)</f>
        <v>——</v>
      </c>
      <c r="I111" s="121"/>
    </row>
    <row r="112" spans="1:35" ht="18.75" customHeight="1" thickBot="1">
      <c r="A112" s="121"/>
      <c r="B112" s="121"/>
      <c r="C112" s="121"/>
      <c r="D112" s="121"/>
      <c r="E112" s="3297"/>
      <c r="F112" s="3298"/>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50" t="s">
        <v>1449</v>
      </c>
      <c r="E117" s="2150" t="s">
        <v>1450</v>
      </c>
      <c r="F117" s="2150" t="s">
        <v>1449</v>
      </c>
      <c r="G117" s="2150" t="s">
        <v>1451</v>
      </c>
      <c r="H117" s="2150" t="s">
        <v>1449</v>
      </c>
      <c r="I117" s="2150" t="s">
        <v>1451</v>
      </c>
    </row>
    <row r="118" spans="1:27" ht="24.75" customHeight="1">
      <c r="A118" s="2385" t="str">
        <f>项目基本情况!S2</f>
        <v>北京市怀柔县庆春路56号房地产</v>
      </c>
      <c r="B118" s="2150">
        <f>M18</f>
        <v>522.49</v>
      </c>
      <c r="C118" s="2150">
        <f>M19</f>
        <v>895.66</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853</v>
      </c>
      <c r="I118" s="2150">
        <f ca="1">ROUND(IF(D32="楼面单价",C32,H118*10000/B118),0)</f>
        <v>16323</v>
      </c>
    </row>
    <row r="119" spans="1:27" ht="18.75" customHeight="1">
      <c r="A119" s="3270" t="s">
        <v>1452</v>
      </c>
      <c r="B119" s="3270"/>
      <c r="C119" s="3270"/>
      <c r="D119" s="3276" t="str">
        <f>NUMBERSTRING(INT(D118*10000),2)&amp;"元整"</f>
        <v>零元整</v>
      </c>
      <c r="E119" s="3277"/>
      <c r="F119" s="3276" t="str">
        <f>NUMBERSTRING(INT(F118*10000),2)&amp;"元整"</f>
        <v>零元整</v>
      </c>
      <c r="G119" s="3277"/>
      <c r="H119" s="3276" t="str">
        <f ca="1">NUMBERSTRING(INT(H118*10000),2)&amp;"元整"</f>
        <v>捌佰伍拾叁万元整</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f ca="1">H107</f>
        <v>853</v>
      </c>
      <c r="E122" s="3272"/>
      <c r="F122" s="3272"/>
      <c r="G122" s="3272"/>
      <c r="H122" s="3272"/>
      <c r="I122" s="3273"/>
      <c r="AA122" s="684"/>
    </row>
    <row r="123" spans="1:27" ht="18.75" customHeight="1">
      <c r="A123" s="3270" t="s">
        <v>1452</v>
      </c>
      <c r="B123" s="3270"/>
      <c r="C123" s="3270"/>
      <c r="D123" s="3276" t="str">
        <f ca="1">NUMBERSTRING(INT(D122*10000),2)&amp;"元整"</f>
        <v>捌佰伍拾叁万元整</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8</v>
      </c>
    </row>
    <row r="2" spans="1:9" s="192" customFormat="1" ht="18" customHeight="1">
      <c r="A2" s="193" t="s">
        <v>1462</v>
      </c>
      <c r="B2" s="194">
        <f ca="1">IF(D2="——",C52,C52-E2)</f>
        <v>167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3196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8.3597999999999999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8.3597999999999999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522.49</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522.49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522.49</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21</v>
      </c>
      <c r="D45" s="227">
        <f ca="1">C47</f>
        <v>2.3999999999999998E-3</v>
      </c>
      <c r="E45" s="228" t="s">
        <v>1539</v>
      </c>
      <c r="F45" s="238">
        <f ca="1">F27</f>
        <v>0.12</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219</v>
      </c>
      <c r="D49" s="224"/>
      <c r="E49" s="224"/>
      <c r="F49" s="256"/>
      <c r="G49" s="226" t="s">
        <v>1554</v>
      </c>
    </row>
    <row r="50" spans="1:7" s="250" customFormat="1" ht="24">
      <c r="A50" s="247" t="s">
        <v>1555</v>
      </c>
      <c r="B50" s="202" t="s">
        <v>1556</v>
      </c>
      <c r="C50" s="224"/>
      <c r="D50" s="224"/>
      <c r="E50" s="224"/>
      <c r="F50" s="256">
        <f>IF('数据-取费表'!B24=0,'数据-取费表'!N16,1)</f>
        <v>0.66100000000000003</v>
      </c>
      <c r="G50" s="239" t="s">
        <v>1557</v>
      </c>
    </row>
    <row r="51" spans="1:7" ht="16.5" customHeight="1">
      <c r="A51" s="247" t="s">
        <v>1558</v>
      </c>
      <c r="B51" s="202" t="s">
        <v>1559</v>
      </c>
      <c r="C51" s="224">
        <f ca="1">ROUND(C49*F50,0)</f>
        <v>145</v>
      </c>
      <c r="D51" s="224"/>
      <c r="E51" s="224"/>
      <c r="F51" s="256"/>
      <c r="G51" s="226" t="s">
        <v>1560</v>
      </c>
    </row>
    <row r="52" spans="1:7" s="200" customFormat="1" ht="16.5" thickBot="1">
      <c r="A52" s="257" t="s">
        <v>1561</v>
      </c>
      <c r="B52" s="258"/>
      <c r="C52" s="259">
        <f ca="1">C31+C51</f>
        <v>167</v>
      </c>
      <c r="D52" s="258"/>
      <c r="E52" s="258"/>
      <c r="F52" s="258"/>
      <c r="G52" s="260"/>
    </row>
    <row r="55" spans="1:7" ht="15">
      <c r="B55" s="262" t="s">
        <v>1562</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北京市怀柔县庆春路56号房地产抵押价值预评估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7" sqref="J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1059.3608999999999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20275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7206216</v>
      </c>
      <c r="D5" s="203" t="s">
        <v>1469</v>
      </c>
      <c r="E5" s="204" t="s">
        <v>1470</v>
      </c>
      <c r="F5" s="204" t="s">
        <v>1471</v>
      </c>
      <c r="G5" s="205"/>
    </row>
    <row r="6" spans="1:8" s="206" customFormat="1" ht="13.5" customHeight="1">
      <c r="A6" s="732" t="s">
        <v>1472</v>
      </c>
      <c r="B6" s="207" t="s">
        <v>1473</v>
      </c>
      <c r="C6" s="208">
        <f>ROUND(基准地价修正!C33*基准地价修正!D33,0)</f>
        <v>6911808</v>
      </c>
      <c r="D6" s="209"/>
      <c r="E6" s="210"/>
      <c r="F6" s="210"/>
      <c r="G6" s="211"/>
    </row>
    <row r="7" spans="1:8" s="206" customFormat="1" ht="13.5" customHeight="1">
      <c r="A7" s="732" t="s">
        <v>1474</v>
      </c>
      <c r="B7" s="207" t="s">
        <v>1475</v>
      </c>
      <c r="C7" s="212">
        <f>ROUND(C6*F7,0)</f>
        <v>210810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83598</v>
      </c>
      <c r="D8" s="214"/>
      <c r="E8" s="212"/>
      <c r="F8" s="213"/>
      <c r="G8" s="1714" t="s">
        <v>3459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83598</v>
      </c>
      <c r="D10" s="795">
        <f ca="1">IF(B1="",'数据-汇总表'!E6,IF(INDIRECT("'数据-取费表'!c"&amp;$G$1)="住宅",INDIRECT("'数据-取费表'!s"&amp;$G$1),INDIRECT("'数据-取费表'!k"&amp;$G$1)+INDIRECT("'数据-取费表'!s"&amp;$G$1)))</f>
        <v>522.49</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522.49</v>
      </c>
      <c r="E19" s="203">
        <f>'数据-取费表'!B31</f>
        <v>200</v>
      </c>
      <c r="F19" s="223"/>
      <c r="G19" s="1714" t="s">
        <v>3460</v>
      </c>
    </row>
    <row r="20" spans="1:7" s="206" customFormat="1" ht="13.5" customHeight="1">
      <c r="A20" s="247" t="s">
        <v>1574</v>
      </c>
      <c r="B20" s="202" t="s">
        <v>1575</v>
      </c>
      <c r="C20" s="224">
        <f ca="1">ROUND((C5+C19)*F20,0)</f>
        <v>144124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225627</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223393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2234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882041</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ROUND((C5+C19+C20)*F27,0)</f>
        <v>882041</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9144781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1750341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1567470</v>
      </c>
      <c r="D34" s="209"/>
      <c r="E34" s="212"/>
      <c r="F34" s="249"/>
      <c r="G34" s="211"/>
    </row>
    <row r="35" spans="1:7" ht="13.5" customHeight="1">
      <c r="A35" s="734" t="s">
        <v>351</v>
      </c>
      <c r="B35" s="207" t="s">
        <v>1527</v>
      </c>
      <c r="C35" s="212">
        <f ca="1">ROUND(C34*F35,0)</f>
        <v>47024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104498</v>
      </c>
      <c r="D37" s="209">
        <f ca="1">D19</f>
        <v>522.49</v>
      </c>
      <c r="E37" s="241">
        <f>'数据-取费表'!B35</f>
        <v>200</v>
      </c>
      <c r="F37" s="251"/>
      <c r="G37" s="253"/>
    </row>
    <row r="38" spans="1:7" ht="13.5" customHeight="1">
      <c r="A38" s="734" t="s">
        <v>354</v>
      </c>
      <c r="B38" s="207" t="s">
        <v>1533</v>
      </c>
      <c r="C38" s="212">
        <f ca="1">ROUND(C34*F38,0)</f>
        <v>31349</v>
      </c>
      <c r="D38" s="212"/>
      <c r="E38" s="212"/>
      <c r="F38" s="251">
        <f>'数据-取费表'!B36</f>
        <v>0.02</v>
      </c>
      <c r="G38" s="211" t="s">
        <v>1528</v>
      </c>
    </row>
    <row r="39" spans="1:7" s="206" customFormat="1" ht="13.5" customHeight="1">
      <c r="A39" s="247" t="s">
        <v>1534</v>
      </c>
      <c r="B39" s="202" t="s">
        <v>1535</v>
      </c>
      <c r="C39" s="224">
        <f ca="1">ROUND(C33*F20,0)</f>
        <v>35007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27673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27130</v>
      </c>
      <c r="D42" s="230"/>
      <c r="E42" s="230"/>
      <c r="F42" s="231"/>
      <c r="G42" s="3349" t="s">
        <v>1591</v>
      </c>
    </row>
    <row r="43" spans="1:7" ht="13.5" customHeight="1">
      <c r="A43" s="734" t="s">
        <v>347</v>
      </c>
      <c r="B43" s="207" t="s">
        <v>1545</v>
      </c>
      <c r="C43" s="230">
        <f ca="1">ROUND(IF('数据-取费表'!B22&lt;=1,C39*F22*'数据-取费表'!B20/2,C39*(POWER((1+F22),'数据-取费表'!B20/2)-1)),0)</f>
        <v>543</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214242</v>
      </c>
      <c r="D45" s="227">
        <f ca="1">C47</f>
        <v>2.3999999999999998E-3</v>
      </c>
      <c r="E45" s="228" t="s">
        <v>1539</v>
      </c>
      <c r="F45" s="238">
        <f ca="1">F27</f>
        <v>0.12</v>
      </c>
      <c r="G45" s="239" t="s">
        <v>1548</v>
      </c>
    </row>
    <row r="46" spans="1:7" s="206" customFormat="1" ht="13.5" customHeight="1">
      <c r="A46" s="734" t="s">
        <v>346</v>
      </c>
      <c r="B46" s="240" t="s">
        <v>1549</v>
      </c>
      <c r="C46" s="241">
        <f ca="1">ROUND((C33+C39)*F27,0)</f>
        <v>214242</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2191873</v>
      </c>
      <c r="D49" s="224"/>
      <c r="E49" s="224"/>
      <c r="F49" s="256"/>
      <c r="G49" s="226" t="s">
        <v>1554</v>
      </c>
    </row>
    <row r="50" spans="1:7" s="250" customFormat="1">
      <c r="A50" s="247" t="s">
        <v>1555</v>
      </c>
      <c r="B50" s="202" t="s">
        <v>1556</v>
      </c>
      <c r="C50" s="224"/>
      <c r="D50" s="224"/>
      <c r="E50" s="224"/>
      <c r="F50" s="256">
        <f>IF('数据-取费表'!B24=0,'数据-取费表'!N16,1)</f>
        <v>0.66100000000000003</v>
      </c>
      <c r="G50" s="239"/>
    </row>
    <row r="51" spans="1:7" ht="16.5" customHeight="1">
      <c r="A51" s="247" t="s">
        <v>1558</v>
      </c>
      <c r="B51" s="202" t="s">
        <v>1593</v>
      </c>
      <c r="C51" s="224">
        <f ca="1">ROUND(C49*F50,0)</f>
        <v>1448828</v>
      </c>
      <c r="D51" s="224"/>
      <c r="E51" s="224"/>
      <c r="F51" s="256"/>
      <c r="G51" s="226" t="s">
        <v>1560</v>
      </c>
    </row>
    <row r="52" spans="1:7" s="200" customFormat="1" ht="16.5" thickBot="1">
      <c r="A52" s="257" t="s">
        <v>1561</v>
      </c>
      <c r="B52" s="258"/>
      <c r="C52" s="259">
        <f ca="1">C31+C51</f>
        <v>10593609</v>
      </c>
      <c r="D52" s="258"/>
      <c r="E52" s="258"/>
      <c r="F52" s="258"/>
      <c r="G52" s="260"/>
    </row>
    <row r="55" spans="1:7" ht="15">
      <c r="B55" s="262" t="s">
        <v>1562</v>
      </c>
      <c r="C55" s="263"/>
    </row>
    <row r="56" spans="1:7">
      <c r="B56" s="265" t="s">
        <v>802</v>
      </c>
      <c r="C56" s="267">
        <f ca="1">1-C57</f>
        <v>0.86299999999999999</v>
      </c>
    </row>
    <row r="57" spans="1:7">
      <c r="B57" s="265" t="s">
        <v>803</v>
      </c>
      <c r="C57" s="266">
        <f ca="1">ROUND(C51/C52,3)</f>
        <v>0.13700000000000001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8</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522.49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522.49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-0.3597999999999999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522.49</v>
      </c>
      <c r="E20" s="21">
        <f>'数据-取费表'!B28</f>
        <v>160</v>
      </c>
      <c r="F20" s="756"/>
      <c r="G20" s="12"/>
      <c r="H20" s="761"/>
      <c r="I20" s="761"/>
      <c r="J20" s="761"/>
      <c r="K20" s="762"/>
    </row>
    <row r="21" spans="1:33" s="755" customFormat="1" ht="13.5" customHeight="1">
      <c r="A21" s="744" t="s">
        <v>357</v>
      </c>
      <c r="B21" s="765" t="s">
        <v>1628</v>
      </c>
      <c r="C21" s="766">
        <f ca="1">C16+C17+C18</f>
        <v>-0.3597999999999999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895.66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691</v>
      </c>
      <c r="C2" s="1846" t="s">
        <v>1935</v>
      </c>
      <c r="D2" s="162" t="s">
        <v>1936</v>
      </c>
      <c r="E2" s="3119"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9672</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7715</v>
      </c>
      <c r="C3" s="1846" t="s">
        <v>1941</v>
      </c>
      <c r="D3" s="162" t="s">
        <v>1942</v>
      </c>
      <c r="E3" s="3117" t="s">
        <v>3475</v>
      </c>
      <c r="F3" s="1848" t="s">
        <v>3454</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7455</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364"/>
      <c r="B4" s="3365"/>
      <c r="C4" s="3365"/>
      <c r="D4" s="3366"/>
      <c r="E4" s="3366"/>
      <c r="F4" s="3366"/>
      <c r="G4" s="3366"/>
      <c r="H4" s="3366"/>
      <c r="I4" s="3366"/>
      <c r="J4" s="33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6081</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7570</v>
      </c>
      <c r="D5" s="1252">
        <f>ROUND(C6*C17+C20,0)</f>
        <v>7570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5163</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4704</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1</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7570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361" t="s">
        <v>1960</v>
      </c>
      <c r="X8" s="33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63"/>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3240</v>
      </c>
      <c r="B12" s="3012" t="s">
        <v>3241</v>
      </c>
      <c r="C12" s="3013">
        <v>1</v>
      </c>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9"/>
      <c r="C18" s="3033"/>
      <c r="D18" s="3028" t="s">
        <v>3250</v>
      </c>
      <c r="E18" s="2356"/>
      <c r="F18" s="3029" t="s">
        <v>3253</v>
      </c>
      <c r="G18" s="3033">
        <f>ROUND(1-(1/(POWER(1+G24,E18))),4)</f>
        <v>0</v>
      </c>
      <c r="H18" s="3029" t="s">
        <v>3255</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368" t="s">
        <v>3256</v>
      </c>
      <c r="B20" s="159" t="s">
        <v>1994</v>
      </c>
      <c r="C20" s="3030">
        <f>ROUND(IF(F21="与级别开发程度一致",0,(G21-E21)/C21),0)</f>
        <v>0</v>
      </c>
      <c r="D20" s="3045" t="s">
        <v>1998</v>
      </c>
      <c r="E20" s="3046"/>
      <c r="F20" s="3374" t="s">
        <v>1995</v>
      </c>
      <c r="G20" s="337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3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3455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45600</v>
      </c>
      <c r="H23" s="3047" t="s">
        <v>3257</v>
      </c>
      <c r="I23" s="3048" t="str">
        <f>IF(H23="季度增幅（自定义）",SUMIF(N25:N28,E2,O25:O28),"")</f>
        <v/>
      </c>
      <c r="J23" s="3140" t="s">
        <v>3456</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0.81310000000000004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26.44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3336</v>
      </c>
      <c r="C25" s="461">
        <f>IF(B25="容积率修正",IF(G3&lt;10,D26,J26),C27)</f>
        <v>1.2302</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3259</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0.99490000000000001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691</v>
      </c>
      <c r="D30" s="1925"/>
      <c r="E30" s="1842"/>
      <c r="F30" s="1926"/>
      <c r="G30" s="1842"/>
      <c r="H30" s="1842"/>
      <c r="I30" s="1842"/>
      <c r="J30" s="1927"/>
      <c r="K30" s="1056"/>
      <c r="L30" s="3054" t="s">
        <v>1936</v>
      </c>
      <c r="M30" s="3055" t="s">
        <v>1990</v>
      </c>
      <c r="N30" s="3055" t="s">
        <v>1991</v>
      </c>
      <c r="O30" s="3055" t="s">
        <v>1992</v>
      </c>
      <c r="P30" s="3055" t="s">
        <v>1993</v>
      </c>
      <c r="Q30" s="3058"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7717</v>
      </c>
      <c r="D33" s="1940">
        <f>'数据-基础表'!A3</f>
        <v>895.66</v>
      </c>
      <c r="E33" s="727">
        <f>ROUND(C33*D33/10000,0)</f>
        <v>691</v>
      </c>
      <c r="F33" s="3049" t="s">
        <v>3261</v>
      </c>
      <c r="G33" s="1941"/>
      <c r="H33" s="1941"/>
      <c r="I33" s="1941"/>
      <c r="J33" s="1942"/>
      <c r="K33" s="1056"/>
      <c r="L33" s="3052" t="s">
        <v>3264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1929</v>
      </c>
      <c r="D34" s="1945"/>
      <c r="E34" s="727">
        <f>ROUND(IF(B25="楼层修正",SUM(V2:V16)*M40,C34*D34/10000),0)</f>
        <v>0</v>
      </c>
      <c r="F34" s="1946" t="s">
        <v>2032</v>
      </c>
      <c r="G34" s="1947"/>
      <c r="H34" s="1947"/>
      <c r="I34" s="1947"/>
      <c r="J34" s="1948"/>
      <c r="K34" s="1056"/>
      <c r="L34" s="3052" t="s">
        <v>3265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2"/>
      <c r="B37" s="1955" t="s">
        <v>2036</v>
      </c>
      <c r="C37" s="167">
        <f>ROUND(D5*C22*C23*C24*C28*F37,0)</f>
        <v>3137</v>
      </c>
      <c r="D37" s="1940"/>
      <c r="E37" s="163">
        <f>ROUND(C37*D37/10000,0)</f>
        <v>0</v>
      </c>
      <c r="F37" s="163">
        <f>SUMIF(修正!A57:A68,G2,修正!B57:B68)</f>
        <v>0.5</v>
      </c>
      <c r="G37" s="163">
        <f>ROUND(IF(E2="工业",C37*$M$42,C37*$M$41),0)</f>
        <v>784</v>
      </c>
      <c r="H37" s="163">
        <f>D37</f>
        <v>0</v>
      </c>
      <c r="I37" s="163">
        <f>ROUND(G37*H37/10000,0)</f>
        <v>0</v>
      </c>
      <c r="J37" s="2753"/>
      <c r="K37" s="3060" t="s">
        <v>3267</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3"/>
      <c r="B38" s="1884" t="s">
        <v>2037</v>
      </c>
      <c r="C38" s="167">
        <f>ROUND(D5*C22*C23*C24*C28*F38,0)</f>
        <v>1255</v>
      </c>
      <c r="D38" s="1940"/>
      <c r="E38" s="163">
        <f t="shared" ref="E38:E42" si="4">ROUND(C38*D38/10000,0)</f>
        <v>0</v>
      </c>
      <c r="F38" s="163">
        <f>SUMIF(修正!A57:A68,G2,修正!C57:C68)</f>
        <v>0.2</v>
      </c>
      <c r="G38" s="163">
        <f>ROUND(IF(E2="工业",C38*$M$42,C38*$M$41),0)</f>
        <v>314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3"/>
      <c r="B39" s="1884" t="s">
        <v>3260</v>
      </c>
      <c r="C39" s="167">
        <f>ROUND(D5*C22*C23*C24*C28*F39,0)</f>
        <v>1255</v>
      </c>
      <c r="D39" s="1940"/>
      <c r="E39" s="163">
        <f t="shared" si="4"/>
        <v>0</v>
      </c>
      <c r="F39" s="163">
        <f>SUMIF(修正!A57:A68,G2,修正!D57:D68)</f>
        <v>0.2</v>
      </c>
      <c r="G39" s="163">
        <f>ROUND(IF(E2="工业",C39*$M$42,C39*$M$41),0)</f>
        <v>314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1255</v>
      </c>
      <c r="D40" s="1940"/>
      <c r="E40" s="163">
        <f t="shared" si="4"/>
        <v>0</v>
      </c>
      <c r="F40" s="167">
        <f>SUMIF(修正!A57:A68,G2,修正!E57:E68)</f>
        <v>0.2</v>
      </c>
      <c r="G40" s="163">
        <f>ROUND(IF(E2="工业",C40*$M$42,C40*$M$41),0)</f>
        <v>314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1255</v>
      </c>
      <c r="D41" s="1940"/>
      <c r="E41" s="163">
        <f t="shared" si="4"/>
        <v>0</v>
      </c>
      <c r="F41" s="167">
        <f>SUMIF(修正!A57:A68,G2,修正!F57:F68)</f>
        <v>0.2</v>
      </c>
      <c r="G41" s="163">
        <f>ROUND(IF(E2="工业",C41*$M$42,C41*$M$41),0)</f>
        <v>314</v>
      </c>
      <c r="H41" s="163">
        <f t="shared" si="5"/>
        <v>0</v>
      </c>
      <c r="I41" s="163">
        <f t="shared" si="6"/>
        <v>0</v>
      </c>
      <c r="J41" s="939"/>
      <c r="L41" s="3061"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627</v>
      </c>
      <c r="D42" s="1945"/>
      <c r="E42" s="179">
        <f t="shared" si="4"/>
        <v>0</v>
      </c>
      <c r="F42" s="723">
        <f>SUMIF(修正!A57:A68,G2,修正!G57:G68)</f>
        <v>0.1</v>
      </c>
      <c r="G42" s="179">
        <f>ROUND(IF(E2="工业",C42*$M$42,C42*$M$41),0)</f>
        <v>157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0.81310000000000004</v>
      </c>
      <c r="D44" s="163" t="s">
        <v>1999</v>
      </c>
      <c r="E44" s="1991">
        <f>G24</f>
        <v>5.5E-2</v>
      </c>
      <c r="F44" s="163" t="s">
        <v>2008</v>
      </c>
      <c r="G44" s="175">
        <f>项目基本情况!E15</f>
        <v>26.44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v>2.1600000000000001E-2</v>
      </c>
      <c r="H50" s="1003" t="str">
        <f t="shared" ref="H50:H58" si="8">IFERROR(ROUNDDOWN($F$50*I50/2,4),"——")</f>
        <v>——</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v>1.5800000000000002E-2</v>
      </c>
      <c r="H51" s="1003" t="str">
        <f t="shared" si="8"/>
        <v>——</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36">
      <c r="A52" s="3069" t="s">
        <v>3270</v>
      </c>
      <c r="B52" s="1262">
        <f>估价对象房地状况!C19</f>
        <v>0</v>
      </c>
      <c r="C52" s="1887"/>
      <c r="D52" s="1002">
        <f t="shared" si="7"/>
        <v>0</v>
      </c>
      <c r="E52" s="703"/>
      <c r="F52" s="1675"/>
      <c r="G52" s="1000">
        <v>8.6E-3</v>
      </c>
      <c r="H52" s="1003" t="str">
        <f t="shared" si="8"/>
        <v>——</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v>3.5999999999999999E-3</v>
      </c>
      <c r="H53" s="1003" t="str">
        <f t="shared" si="8"/>
        <v>——</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v>5.7000000000000002E-3</v>
      </c>
      <c r="H54" s="1003" t="str">
        <f t="shared" si="8"/>
        <v>——</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v>3.5999999999999999E-3</v>
      </c>
      <c r="H55" s="1003" t="str">
        <f t="shared" si="8"/>
        <v>——</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v>3.5999999999999999E-3</v>
      </c>
      <c r="H56" s="1003" t="str">
        <f t="shared" si="8"/>
        <v>——</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v>5.7000000000000002E-3</v>
      </c>
      <c r="H57" s="1003" t="str">
        <f t="shared" si="8"/>
        <v>——</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v>3.5999999999999999E-3</v>
      </c>
      <c r="H58" s="1003" t="str">
        <f t="shared" si="8"/>
        <v>——</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5">
      <c r="A59" s="1967" t="s">
        <v>2062</v>
      </c>
      <c r="B59" s="1968">
        <f>1+E61</f>
        <v>0.99490000000000001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3476</v>
      </c>
      <c r="D61" s="1002">
        <f t="shared" ref="D61:D69" si="12">SUMIF($J$60:$N$60,C61,J61:N61)</f>
        <v>-1.7999999999999999E-2</v>
      </c>
      <c r="E61" s="702">
        <f>ROUND(SUM(D61:D69),4)</f>
        <v>-5.1000000000000004E-3</v>
      </c>
      <c r="F61" s="1675">
        <f>IF(E2="办公",SUMIF(L1:L12,G2,N1:N12),"——")</f>
        <v>0.14399999999999999</v>
      </c>
      <c r="G61" s="1000">
        <v>1.7999999999999999E-2</v>
      </c>
      <c r="H61" s="1003">
        <f t="shared" ref="H61:H69" si="13">IFERROR(ROUNDDOWN($F$61*I61/2,4),"——")</f>
        <v>1.7999999999999999E-2</v>
      </c>
      <c r="I61" s="3067">
        <v>0.25</v>
      </c>
      <c r="J61" s="1001">
        <f t="shared" ref="J61:J69" si="14">K61+$G61</f>
        <v>3.5999999999999997E-2</v>
      </c>
      <c r="K61" s="1001">
        <f t="shared" ref="K61:K69" si="15">$L61+$G61</f>
        <v>1.7999999999999999E-2</v>
      </c>
      <c r="L61" s="1001">
        <v>0</v>
      </c>
      <c r="M61" s="1001">
        <f t="shared" ref="M61:N69" si="16">L61-$G61</f>
        <v>-1.7999999999999999E-2</v>
      </c>
      <c r="N61" s="1001">
        <f t="shared" si="16"/>
        <v>-3.5999999999999997E-2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3457</v>
      </c>
      <c r="D62" s="1002">
        <f t="shared" si="12"/>
        <v>0</v>
      </c>
      <c r="E62" s="703"/>
      <c r="F62" s="1675"/>
      <c r="G62" s="1000">
        <v>1.8700000000000001E-2</v>
      </c>
      <c r="H62" s="1003">
        <f t="shared" si="13"/>
        <v>1.8700000000000001E-2</v>
      </c>
      <c r="I62" s="3067">
        <v>0.26</v>
      </c>
      <c r="J62" s="1001">
        <f t="shared" si="14"/>
        <v>3.7400000000000003E-2</v>
      </c>
      <c r="K62" s="1001">
        <f t="shared" si="15"/>
        <v>1.8700000000000001E-2</v>
      </c>
      <c r="L62" s="1001">
        <v>0</v>
      </c>
      <c r="M62" s="1001">
        <f t="shared" si="16"/>
        <v>-1.8700000000000001E-2</v>
      </c>
      <c r="N62" s="1001">
        <f t="shared" si="16"/>
        <v>-3.7400000000000003E-2</v>
      </c>
      <c r="AA62" s="1057"/>
      <c r="AB62" s="1057"/>
      <c r="AC62" s="1057"/>
      <c r="AD62" s="1057"/>
      <c r="AE62" s="1057"/>
      <c r="AF62" s="1057"/>
      <c r="AG62" s="1057"/>
      <c r="AH62" s="1057"/>
      <c r="AI62" s="1057"/>
      <c r="AJ62" s="1057"/>
      <c r="AK62" s="1057"/>
    </row>
    <row r="63" spans="1:37" s="1056" customFormat="1" ht="36">
      <c r="A63" s="3069" t="s">
        <v>3270</v>
      </c>
      <c r="B63" s="1262">
        <f>估价对象房地状况!C19</f>
        <v>0</v>
      </c>
      <c r="C63" s="1887" t="s">
        <v>3457</v>
      </c>
      <c r="D63" s="1002">
        <f t="shared" si="12"/>
        <v>0</v>
      </c>
      <c r="E63" s="703"/>
      <c r="F63" s="1675"/>
      <c r="G63" s="1000">
        <v>7.9000000000000008E-3</v>
      </c>
      <c r="H63" s="1003">
        <f t="shared" si="13"/>
        <v>7.9000000000000008E-3</v>
      </c>
      <c r="I63" s="3067">
        <v>0.11</v>
      </c>
      <c r="J63" s="1001">
        <f t="shared" si="14"/>
        <v>1.5800000000000002E-2</v>
      </c>
      <c r="K63" s="1001">
        <f t="shared" si="15"/>
        <v>7.9000000000000008E-3</v>
      </c>
      <c r="L63" s="1001">
        <v>0</v>
      </c>
      <c r="M63" s="1001">
        <f t="shared" si="16"/>
        <v>-7.9000000000000008E-3</v>
      </c>
      <c r="N63" s="1001">
        <f t="shared" si="16"/>
        <v>-1.5800000000000002E-2</v>
      </c>
      <c r="AA63" s="1057"/>
      <c r="AB63" s="1057"/>
      <c r="AC63" s="1057"/>
      <c r="AD63" s="1057"/>
      <c r="AE63" s="1057"/>
      <c r="AF63" s="1057"/>
      <c r="AG63" s="1057"/>
      <c r="AH63" s="1057"/>
      <c r="AI63" s="1057"/>
      <c r="AJ63" s="1057"/>
      <c r="AK63" s="1057"/>
    </row>
    <row r="64" spans="1:37" s="1056" customFormat="1" ht="36.75">
      <c r="A64" s="1970" t="s">
        <v>2054</v>
      </c>
      <c r="B64" s="1974" t="s">
        <v>2055</v>
      </c>
      <c r="C64" s="1887" t="s">
        <v>3457</v>
      </c>
      <c r="D64" s="1002">
        <f t="shared" si="12"/>
        <v>0</v>
      </c>
      <c r="E64" s="703"/>
      <c r="F64" s="1675"/>
      <c r="G64" s="1000">
        <v>3.5999999999999999E-3</v>
      </c>
      <c r="H64" s="1003">
        <f t="shared" si="13"/>
        <v>3.5999999999999999E-3</v>
      </c>
      <c r="I64" s="3067">
        <v>0.05</v>
      </c>
      <c r="J64" s="1001">
        <f t="shared" si="14"/>
        <v>7.1999999999999998E-3</v>
      </c>
      <c r="K64" s="1001">
        <f t="shared" si="15"/>
        <v>3.5999999999999999E-3</v>
      </c>
      <c r="L64" s="1001">
        <v>0</v>
      </c>
      <c r="M64" s="1001">
        <f t="shared" si="16"/>
        <v>-3.5999999999999999E-3</v>
      </c>
      <c r="N64" s="1001">
        <f t="shared" si="16"/>
        <v>-7.1999999999999998E-3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3458</v>
      </c>
      <c r="D65" s="1002">
        <f t="shared" si="12"/>
        <v>3.5999999999999999E-3</v>
      </c>
      <c r="E65" s="703"/>
      <c r="F65" s="1675"/>
      <c r="G65" s="1000">
        <v>3.5999999999999999E-3</v>
      </c>
      <c r="H65" s="1003">
        <f t="shared" si="13"/>
        <v>3.5999999999999999E-3</v>
      </c>
      <c r="I65" s="3067">
        <v>0.05</v>
      </c>
      <c r="J65" s="1001">
        <f t="shared" si="14"/>
        <v>7.1999999999999998E-3</v>
      </c>
      <c r="K65" s="1001">
        <f t="shared" si="15"/>
        <v>3.5999999999999999E-3</v>
      </c>
      <c r="L65" s="1001">
        <v>0</v>
      </c>
      <c r="M65" s="1001">
        <f t="shared" si="16"/>
        <v>-3.5999999999999999E-3</v>
      </c>
      <c r="N65" s="1001">
        <f t="shared" si="16"/>
        <v>-7.1999999999999998E-3</v>
      </c>
      <c r="AA65" s="1057"/>
      <c r="AB65" s="1057"/>
      <c r="AC65" s="1057"/>
      <c r="AD65" s="1057"/>
      <c r="AE65" s="1057"/>
      <c r="AF65" s="1057"/>
      <c r="AG65" s="1057"/>
      <c r="AH65" s="1057"/>
      <c r="AI65" s="1057"/>
      <c r="AJ65" s="1057"/>
      <c r="AK65" s="1057"/>
    </row>
    <row r="66" spans="1:37" s="1056" customFormat="1" ht="24">
      <c r="A66" s="1970" t="s">
        <v>2057</v>
      </c>
      <c r="B66" s="1975" t="s">
        <v>2058</v>
      </c>
      <c r="C66" s="1887" t="s">
        <v>3457</v>
      </c>
      <c r="D66" s="1002">
        <f t="shared" si="12"/>
        <v>0</v>
      </c>
      <c r="E66" s="703"/>
      <c r="F66" s="1675"/>
      <c r="G66" s="1000">
        <v>4.3E-3</v>
      </c>
      <c r="H66" s="1003">
        <f t="shared" si="13"/>
        <v>4.3E-3</v>
      </c>
      <c r="I66" s="3067">
        <v>0.06</v>
      </c>
      <c r="J66" s="1001">
        <f t="shared" si="14"/>
        <v>8.6E-3</v>
      </c>
      <c r="K66" s="1001">
        <f t="shared" si="15"/>
        <v>4.3E-3</v>
      </c>
      <c r="L66" s="1001">
        <v>0</v>
      </c>
      <c r="M66" s="1001">
        <f t="shared" si="16"/>
        <v>-4.3E-3</v>
      </c>
      <c r="N66" s="1001">
        <f t="shared" si="16"/>
        <v>-8.6E-3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3458</v>
      </c>
      <c r="D67" s="1002">
        <f t="shared" si="12"/>
        <v>4.3E-3</v>
      </c>
      <c r="E67" s="703"/>
      <c r="F67" s="1675"/>
      <c r="G67" s="1000">
        <v>4.3E-3</v>
      </c>
      <c r="H67" s="1003">
        <f t="shared" si="13"/>
        <v>4.3E-3</v>
      </c>
      <c r="I67" s="3067">
        <v>0.06</v>
      </c>
      <c r="J67" s="1001">
        <f t="shared" si="14"/>
        <v>8.6E-3</v>
      </c>
      <c r="K67" s="1001">
        <f t="shared" si="15"/>
        <v>4.3E-3</v>
      </c>
      <c r="L67" s="1001">
        <v>0</v>
      </c>
      <c r="M67" s="1001">
        <f t="shared" si="16"/>
        <v>-4.3E-3</v>
      </c>
      <c r="N67" s="1001">
        <f t="shared" si="16"/>
        <v>-8.6E-3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3457</v>
      </c>
      <c r="D68" s="1002">
        <f t="shared" si="12"/>
        <v>0</v>
      </c>
      <c r="E68" s="703"/>
      <c r="F68" s="1675"/>
      <c r="G68" s="1000">
        <v>6.4000000000000003E-3</v>
      </c>
      <c r="H68" s="1003">
        <f t="shared" si="13"/>
        <v>6.4000000000000003E-3</v>
      </c>
      <c r="I68" s="3067">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3458</v>
      </c>
      <c r="D69" s="1002">
        <f t="shared" si="12"/>
        <v>5.0000000000000001E-3</v>
      </c>
      <c r="E69" s="704"/>
      <c r="F69" s="1675"/>
      <c r="G69" s="1000">
        <v>5.0000000000000001E-3</v>
      </c>
      <c r="H69" s="1003">
        <f t="shared" si="13"/>
        <v>5.0000000000000001E-3</v>
      </c>
      <c r="I69" s="3068">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3270</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3271</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5"/>
      <c r="F91" s="1675"/>
      <c r="G91" s="3073"/>
      <c r="H91" s="3074"/>
      <c r="I91" s="3075"/>
      <c r="J91" s="3076"/>
      <c r="K91" s="3076"/>
      <c r="L91" s="3076"/>
      <c r="M91" s="3076"/>
      <c r="N91" s="3076"/>
    </row>
    <row r="92" spans="1:37" ht="24.75">
      <c r="A92" s="3079" t="s">
        <v>3272</v>
      </c>
      <c r="B92" s="2309"/>
      <c r="C92" s="2309" t="s">
        <v>3281</v>
      </c>
      <c r="D92" s="2309" t="s">
        <v>3282</v>
      </c>
      <c r="E92" s="3051" t="s">
        <v>3283</v>
      </c>
      <c r="F92" s="3081" t="s">
        <v>3284</v>
      </c>
      <c r="G92" s="2309" t="s">
        <v>3285</v>
      </c>
      <c r="H92" s="3088" t="s">
        <v>3288</v>
      </c>
      <c r="I92" s="2309" t="s">
        <v>3289</v>
      </c>
      <c r="J92" s="2150" t="s">
        <v>3290</v>
      </c>
      <c r="K92" s="2150" t="s">
        <v>3291</v>
      </c>
      <c r="L92" s="2150" t="s">
        <v>3292</v>
      </c>
      <c r="M92" s="2150" t="s">
        <v>3293</v>
      </c>
      <c r="N92" s="2150" t="s">
        <v>3294</v>
      </c>
    </row>
    <row r="93" spans="1:37" ht="24">
      <c r="A93" s="3069" t="s">
        <v>3273</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38.25">
      <c r="A94" s="3079" t="s">
        <v>3274</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3270</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3275</v>
      </c>
      <c r="B96" s="3085" t="s">
        <v>3286</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3277</v>
      </c>
      <c r="B98" s="3086" t="s">
        <v>3287</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5.5">
      <c r="A99" s="3079" t="s">
        <v>3278</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3279</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25" thickBot="1">
      <c r="A101" s="3080" t="s">
        <v>3280</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370" t="s">
        <v>3295</v>
      </c>
      <c r="B103" s="3370"/>
      <c r="C103" s="3370"/>
      <c r="D103" s="3370"/>
      <c r="E103" s="3370"/>
      <c r="F103" s="3370"/>
      <c r="G103" s="3370"/>
      <c r="H103" s="3370"/>
      <c r="I103" s="3370"/>
      <c r="J103" s="3370"/>
      <c r="K103" s="1667"/>
      <c r="L103" s="1667"/>
      <c r="M103" s="1667"/>
      <c r="N103" s="1667"/>
    </row>
    <row r="104" spans="1:14">
      <c r="A104" s="3371" t="s">
        <v>3296</v>
      </c>
      <c r="B104" s="3371" t="s">
        <v>3297</v>
      </c>
      <c r="C104" s="3089" t="s">
        <v>3298</v>
      </c>
      <c r="D104" s="3090"/>
      <c r="E104" s="3090"/>
      <c r="F104" s="3090"/>
      <c r="G104" s="3090"/>
      <c r="H104" s="3090"/>
      <c r="I104" s="3090"/>
      <c r="J104" s="3091"/>
      <c r="K104" s="3092"/>
      <c r="L104" s="3092"/>
      <c r="M104" s="3092"/>
      <c r="N104" s="3092"/>
    </row>
    <row r="105" spans="1:14">
      <c r="A105" s="3371"/>
      <c r="B105" s="3371"/>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357"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58"/>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3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360" t="s">
        <v>3312</v>
      </c>
      <c r="B113" s="3360"/>
      <c r="C113" s="3360"/>
      <c r="D113" s="3360"/>
      <c r="E113" s="3360"/>
      <c r="F113" s="3360"/>
      <c r="G113" s="3360"/>
      <c r="H113" s="3360"/>
      <c r="I113" s="3360"/>
      <c r="J113" s="33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3313</v>
      </c>
      <c r="B116" s="3113">
        <f>G3</f>
        <v>1</v>
      </c>
      <c r="C116" s="3098" t="s">
        <v>3314</v>
      </c>
      <c r="D116" s="3099">
        <f>SUMPRODUCT((A118:A122=F116)*(B117:M117=H116)*B118:M122)</f>
        <v>0.81979999999999997</v>
      </c>
      <c r="E116" s="162" t="s">
        <v>3315</v>
      </c>
      <c r="F116" s="3100" t="str">
        <f>E2</f>
        <v>办公</v>
      </c>
      <c r="G116" s="162" t="s">
        <v>3316</v>
      </c>
      <c r="H116" s="3100" t="str">
        <f>G2</f>
        <v>八级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3330</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3331</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3332</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2614</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543.17100000000005</v>
      </c>
      <c r="C2" s="1729" t="s">
        <v>1651</v>
      </c>
      <c r="D2" s="1730" t="s">
        <v>1652</v>
      </c>
      <c r="E2" s="2392">
        <f>SUM(E6:E13)</f>
        <v>522.49</v>
      </c>
      <c r="F2" s="2478"/>
      <c r="G2" s="459"/>
      <c r="H2" s="459"/>
      <c r="I2" s="459"/>
      <c r="J2" s="459"/>
      <c r="K2" s="459"/>
      <c r="L2" s="459"/>
      <c r="M2" s="459"/>
      <c r="N2" s="459"/>
      <c r="O2" s="459"/>
      <c r="P2" s="459"/>
      <c r="Q2" s="459"/>
      <c r="R2" s="459"/>
      <c r="S2" s="459"/>
    </row>
    <row r="3" spans="1:22" ht="15.75">
      <c r="A3" s="1728" t="s">
        <v>686</v>
      </c>
      <c r="B3" s="2386">
        <f ca="1">ROUND(B2*10000/E2,0)</f>
        <v>10396</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376" t="s">
        <v>1654</v>
      </c>
      <c r="C5" s="3377"/>
      <c r="D5" s="2479"/>
      <c r="E5" s="1731" t="s">
        <v>1655</v>
      </c>
      <c r="F5" s="129" t="s">
        <v>1656</v>
      </c>
      <c r="G5" s="459"/>
      <c r="H5" s="459"/>
      <c r="I5" s="459"/>
      <c r="J5" s="459"/>
      <c r="K5" s="459"/>
      <c r="L5" s="459"/>
      <c r="M5" s="459"/>
      <c r="N5" s="459"/>
      <c r="O5" s="459"/>
      <c r="P5" s="459"/>
      <c r="Q5" s="459"/>
      <c r="R5" s="459"/>
      <c r="S5" s="459"/>
    </row>
    <row r="6" spans="1:22">
      <c r="A6" s="2389" t="str">
        <f>'数据-取费表'!AN6</f>
        <v>收益法 (元)1</v>
      </c>
      <c r="B6" s="2387">
        <f ca="1">IF(F6="是",'数据-取费表'!AO6,0)</f>
        <v>355.9289</v>
      </c>
      <c r="C6" s="1729" t="s">
        <v>1651</v>
      </c>
      <c r="D6" s="2478"/>
      <c r="E6" s="2391">
        <f>IF(OR(A6=0,F6="否"),0,'数据-取费表'!K6+'数据-取费表'!S6)</f>
        <v>229.5</v>
      </c>
      <c r="F6" s="1732" t="s">
        <v>1657</v>
      </c>
      <c r="G6" s="459"/>
      <c r="H6" s="459"/>
      <c r="I6" s="459"/>
      <c r="J6" s="459"/>
      <c r="K6" s="459"/>
      <c r="L6" s="459"/>
      <c r="M6" s="459"/>
      <c r="N6" s="459"/>
      <c r="O6" s="459"/>
      <c r="P6" s="459"/>
      <c r="Q6" s="459"/>
      <c r="R6" s="459"/>
      <c r="S6" s="459"/>
    </row>
    <row r="7" spans="1:22">
      <c r="A7" s="2389" t="str">
        <f>'数据-取费表'!AN7</f>
        <v>收益法 (元)2</v>
      </c>
      <c r="B7" s="2387">
        <f ca="1">IF(F7="是",'数据-取费表'!AO7,0)</f>
        <v>187.24209999999999</v>
      </c>
      <c r="C7" s="1729" t="s">
        <v>1651</v>
      </c>
      <c r="D7" s="2478"/>
      <c r="E7" s="2391">
        <f>IF(OR(A7=0,F7="否"),0,'数据-取费表'!K7+'数据-取费表'!S7)</f>
        <v>292.99</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1</v>
      </c>
      <c r="D1" s="1271" t="s">
        <v>43</v>
      </c>
      <c r="E1" s="1272" t="s">
        <v>678</v>
      </c>
      <c r="F1" s="999">
        <f ca="1">J53</f>
        <v>26.44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355.9289</v>
      </c>
      <c r="C2" s="1289" t="s">
        <v>879</v>
      </c>
      <c r="D2" s="1375">
        <f ca="1">C40+J29+L46</f>
        <v>3559289</v>
      </c>
      <c r="E2" s="1295" t="s">
        <v>880</v>
      </c>
      <c r="F2" s="1296"/>
      <c r="G2" s="2477"/>
      <c r="H2" s="2467"/>
      <c r="I2" s="2467"/>
      <c r="J2" s="2467"/>
      <c r="K2" s="2468"/>
      <c r="L2" s="2467"/>
      <c r="M2" s="2467"/>
    </row>
    <row r="3" spans="1:37" ht="18" customHeight="1" thickBot="1">
      <c r="A3" s="1297" t="s">
        <v>881</v>
      </c>
      <c r="B3" s="1298">
        <f ca="1">IF(ISERROR(D2/F43),0,ROUND(D2/F43,0))</f>
        <v>15509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264198</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263868</v>
      </c>
      <c r="D6" s="147" t="s">
        <v>2106</v>
      </c>
      <c r="E6" s="294" t="s">
        <v>696</v>
      </c>
      <c r="F6" s="295">
        <f ca="1">INDIRECT("'数据-取费表'!u"&amp;$G$1)</f>
        <v>3.5</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229.5</v>
      </c>
      <c r="G7" s="1292"/>
      <c r="H7" s="296"/>
      <c r="I7" s="3355"/>
      <c r="J7" s="298"/>
      <c r="K7" s="299"/>
      <c r="L7" s="294" t="s">
        <v>697</v>
      </c>
      <c r="M7" s="295">
        <f ca="1">F7</f>
        <v>229.5</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330</v>
      </c>
      <c r="D10" s="150" t="s">
        <v>2116</v>
      </c>
      <c r="E10" s="305" t="s">
        <v>701</v>
      </c>
      <c r="F10" s="1053" t="s">
        <v>3461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642747</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688500</v>
      </c>
      <c r="D14" s="1257" t="s">
        <v>708</v>
      </c>
      <c r="E14" s="1255"/>
      <c r="F14" s="311"/>
      <c r="G14" s="1292"/>
      <c r="H14" s="928" t="s">
        <v>398</v>
      </c>
      <c r="I14" s="294" t="s">
        <v>709</v>
      </c>
      <c r="J14" s="21">
        <f ca="1">C29</f>
        <v>988842</v>
      </c>
      <c r="K14" s="12"/>
      <c r="L14" s="759"/>
      <c r="M14" s="760"/>
    </row>
    <row r="15" spans="1:37" s="1304" customFormat="1" ht="18" customHeight="1" thickBot="1">
      <c r="A15" s="928" t="s">
        <v>399</v>
      </c>
      <c r="B15" s="294" t="s">
        <v>710</v>
      </c>
      <c r="C15" s="21">
        <f ca="1">ROUND(C14*F15,0)</f>
        <v>20655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5534</v>
      </c>
      <c r="K16" s="1024" t="s">
        <v>715</v>
      </c>
      <c r="L16" s="1025"/>
      <c r="M16" s="1009"/>
    </row>
    <row r="17" spans="1:37" s="1304" customFormat="1" ht="18" customHeight="1">
      <c r="A17" s="928" t="s">
        <v>681</v>
      </c>
      <c r="B17" s="294" t="s">
        <v>716</v>
      </c>
      <c r="C17" s="21">
        <f ca="1">ROUND(F17*(F43+INDIRECT("'数据-取费表'!S"&amp;$G$1)),0)</f>
        <v>45900</v>
      </c>
      <c r="D17" s="294" t="s">
        <v>717</v>
      </c>
      <c r="E17" s="294" t="s">
        <v>718</v>
      </c>
      <c r="F17" s="23">
        <f>'数据-取费表'!B35</f>
        <v>200</v>
      </c>
      <c r="G17" s="1303"/>
      <c r="H17" s="928" t="s">
        <v>398</v>
      </c>
      <c r="I17" s="294" t="s">
        <v>719</v>
      </c>
      <c r="J17" s="2140">
        <f ca="1">ROUND(IF(AND(项目基本情况!B11="自然人",项目基本情况!B10="北京市"),J6*M17/(1+'数据-取费表'!C42),J18+J19+J20),0)</f>
        <v>590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13770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768825</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15377</v>
      </c>
      <c r="D20" s="315" t="s">
        <v>729</v>
      </c>
      <c r="E20" s="294" t="s">
        <v>712</v>
      </c>
      <c r="F20" s="314">
        <f>'数据-取费表'!B37</f>
        <v>0.02</v>
      </c>
      <c r="G20" s="1303"/>
      <c r="H20" s="928" t="s">
        <v>680</v>
      </c>
      <c r="I20" s="147" t="s">
        <v>730</v>
      </c>
      <c r="J20" s="22">
        <f ca="1">ROUND(M20*M21,0)</f>
        <v>590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393.41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4944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12155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-5534</v>
      </c>
      <c r="K25" s="1032" t="s">
        <v>753</v>
      </c>
      <c r="L25" s="1033"/>
      <c r="M25" s="1034"/>
    </row>
    <row r="26" spans="1:37" ht="18" customHeight="1">
      <c r="A26" s="928" t="s">
        <v>397</v>
      </c>
      <c r="B26" s="294" t="s">
        <v>754</v>
      </c>
      <c r="C26" s="21">
        <f ca="1">ROUND((C19+C20)*F26,0)</f>
        <v>117630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988842</v>
      </c>
      <c r="D29" s="1029"/>
      <c r="E29" s="1027"/>
      <c r="F29" s="1030"/>
      <c r="G29" s="1303"/>
      <c r="H29" s="325" t="s">
        <v>396</v>
      </c>
      <c r="I29" s="326" t="s">
        <v>768</v>
      </c>
      <c r="J29" s="327">
        <f ca="1">ROUND(J26/(1+F40)^F41,0)</f>
        <v>0</v>
      </c>
      <c r="K29" s="328" t="s">
        <v>769</v>
      </c>
      <c r="L29" s="329"/>
      <c r="M29" s="330">
        <f ca="1">INDIRECT("'数据-取费表'!k"&amp;$G$1)</f>
        <v>229.5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53118</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44568</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13822</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30156</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590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393.41</v>
      </c>
      <c r="G35" s="1292"/>
      <c r="H35" s="2469"/>
      <c r="I35" s="1305"/>
      <c r="J35" s="1306"/>
      <c r="K35" s="2473"/>
      <c r="L35" s="2472"/>
      <c r="M35" s="2472"/>
    </row>
    <row r="36" spans="1:18" ht="18" customHeight="1">
      <c r="A36" s="1039" t="s">
        <v>402</v>
      </c>
      <c r="B36" s="294" t="s">
        <v>738</v>
      </c>
      <c r="C36" s="21">
        <f ca="1">ROUND(C29*F36,0)</f>
        <v>4944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964</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2642</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211080</v>
      </c>
      <c r="D39" s="1032" t="s">
        <v>773</v>
      </c>
      <c r="E39" s="1033"/>
      <c r="F39" s="1034"/>
      <c r="G39" s="1292"/>
      <c r="H39" s="2472"/>
      <c r="I39" s="1305"/>
      <c r="J39" s="1306"/>
      <c r="K39" s="2470"/>
      <c r="L39" s="2472"/>
      <c r="M39" s="2472"/>
    </row>
    <row r="40" spans="1:18" ht="18" customHeight="1">
      <c r="A40" s="291" t="s">
        <v>395</v>
      </c>
      <c r="B40" s="292" t="s">
        <v>774</v>
      </c>
      <c r="C40" s="293">
        <f ca="1">ROUND(C39*(1-((1+F42)/(1+F40))^F41)/(F40-F42),0)</f>
        <v>3559289</v>
      </c>
      <c r="D40" s="316" t="s">
        <v>758</v>
      </c>
      <c r="E40" s="294" t="s">
        <v>759</v>
      </c>
      <c r="F40" s="304">
        <f ca="1">INDIRECT("'数据-取费表'!I"&amp;$G$1)</f>
        <v>5.5E-2</v>
      </c>
      <c r="G40" s="1292"/>
      <c r="H40" s="1366">
        <f ca="1">C39/C5</f>
        <v>0.79894624486180821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15509</v>
      </c>
      <c r="D43" s="328" t="s">
        <v>777</v>
      </c>
      <c r="E43" s="329" t="s">
        <v>778</v>
      </c>
      <c r="F43" s="330">
        <f ca="1">INDIRECT("'数据-取费表'!k"&amp;$G$1)</f>
        <v>229.5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-364.87520000000001</v>
      </c>
      <c r="D45" s="3129" t="s">
        <v>3354</v>
      </c>
      <c r="E45" s="1307"/>
      <c r="F45" s="1307"/>
      <c r="O45" s="1310" t="s">
        <v>808</v>
      </c>
      <c r="P45" s="1366"/>
      <c r="Q45" s="1366"/>
      <c r="R45" s="1366"/>
    </row>
    <row r="46" spans="1:18" s="1292" customFormat="1" ht="13.5" thickBot="1">
      <c r="A46" s="1311" t="s">
        <v>809</v>
      </c>
      <c r="C46" s="1312">
        <f ca="1">ROUND(C45,0)</f>
        <v>-365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3462</v>
      </c>
      <c r="K47" s="1323" t="s">
        <v>816</v>
      </c>
      <c r="L47" s="1324">
        <f ca="1">INDIRECT("'数据-取费表'!d"&amp;$G$1)</f>
        <v>50</v>
      </c>
      <c r="M47" s="1288" t="str">
        <f>IF(ISNUMBER(FIND("住宅",C1)),"住宅","非住宅")</f>
        <v>非住宅</v>
      </c>
      <c r="O47" s="1325" t="s">
        <v>403</v>
      </c>
      <c r="P47" s="1326" t="s">
        <v>817</v>
      </c>
      <c r="Q47" s="1327">
        <f ca="1">C40+J29</f>
        <v>3559289</v>
      </c>
      <c r="R47" s="1327" t="s">
        <v>818</v>
      </c>
    </row>
    <row r="48" spans="1:18" s="1292" customFormat="1" ht="28.5" thickBot="1">
      <c r="A48" s="1047" t="s">
        <v>438</v>
      </c>
      <c r="B48" s="292" t="s">
        <v>692</v>
      </c>
      <c r="C48" s="1268">
        <f ca="1">C49+C53+C55</f>
        <v>0</v>
      </c>
      <c r="D48" s="1049"/>
      <c r="E48" s="1050"/>
      <c r="F48" s="908"/>
      <c r="G48" s="681"/>
      <c r="H48" s="682"/>
      <c r="I48" s="1328" t="s">
        <v>819</v>
      </c>
      <c r="J48" s="1329" t="s">
        <v>3463</v>
      </c>
      <c r="K48" s="1330" t="s">
        <v>820</v>
      </c>
      <c r="L48" s="1331">
        <f ca="1">INDIRECT("'数据-取费表'!f"&amp;$G$1)</f>
        <v>26.44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988842</v>
      </c>
      <c r="R49" s="1327" t="s">
        <v>818</v>
      </c>
    </row>
    <row r="50" spans="1:18" s="1292" customFormat="1" ht="13.5" thickBot="1">
      <c r="A50" s="922"/>
      <c r="B50" s="925"/>
      <c r="C50" s="926"/>
      <c r="D50" s="899"/>
      <c r="E50" s="993" t="s">
        <v>697</v>
      </c>
      <c r="F50" s="994">
        <f ca="1">F7</f>
        <v>229.5</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3032085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26.44</v>
      </c>
      <c r="K53" s="3352" t="s">
        <v>837</v>
      </c>
      <c r="L53" s="3353"/>
      <c r="O53" s="1325" t="s">
        <v>409</v>
      </c>
      <c r="P53" s="1326" t="s">
        <v>838</v>
      </c>
      <c r="Q53" s="1327">
        <f ca="1">Q47+Q48</f>
        <v>3559289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642747</v>
      </c>
      <c r="D56" s="1352"/>
      <c r="E56" s="1353"/>
      <c r="F56" s="1345"/>
      <c r="I56" s="1354" t="s">
        <v>842</v>
      </c>
      <c r="J56" s="1355" t="s">
        <v>3422</v>
      </c>
      <c r="K56" s="1328" t="s">
        <v>843</v>
      </c>
      <c r="L56" s="1331" t="str">
        <f ca="1">IF(L48&lt;J51,"——",L48-J51)</f>
        <v>——</v>
      </c>
      <c r="O56" s="1325" t="s">
        <v>403</v>
      </c>
      <c r="P56" s="1326" t="s">
        <v>817</v>
      </c>
      <c r="Q56" s="1327">
        <f ca="1">C40+J29</f>
        <v>3559289</v>
      </c>
      <c r="R56" s="1327" t="s">
        <v>818</v>
      </c>
    </row>
    <row r="57" spans="1:18" s="1292" customFormat="1" ht="24.75" thickBot="1">
      <c r="A57" s="1356"/>
      <c r="B57" s="896" t="s">
        <v>767</v>
      </c>
      <c r="C57" s="230">
        <f ca="1">C29</f>
        <v>988842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6498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590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590</v>
      </c>
      <c r="D62" s="911" t="s">
        <v>786</v>
      </c>
      <c r="E62" s="896" t="s">
        <v>787</v>
      </c>
      <c r="F62" s="317">
        <f t="shared" si="0"/>
        <v>1.5</v>
      </c>
      <c r="I62" s="1367" t="s">
        <v>858</v>
      </c>
      <c r="J62" s="610" t="s">
        <v>859</v>
      </c>
      <c r="K62" s="610" t="s">
        <v>860</v>
      </c>
      <c r="L62" s="610" t="s">
        <v>861</v>
      </c>
      <c r="M62" s="1368" t="s">
        <v>862</v>
      </c>
      <c r="O62" s="1325" t="s">
        <v>409</v>
      </c>
      <c r="P62" s="1326" t="s">
        <v>863</v>
      </c>
      <c r="Q62" s="1327">
        <f ca="1">Q56+Q57</f>
        <v>3559289</v>
      </c>
      <c r="R62" s="1327" t="s">
        <v>410</v>
      </c>
    </row>
    <row r="63" spans="1:18" s="1292" customFormat="1" ht="13.5" thickBot="1">
      <c r="A63" s="318"/>
      <c r="B63" s="902"/>
      <c r="C63" s="26"/>
      <c r="D63" s="912"/>
      <c r="E63" s="896" t="s">
        <v>788</v>
      </c>
      <c r="F63" s="295">
        <f t="shared" ca="1" si="0"/>
        <v>393.41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4944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964</v>
      </c>
      <c r="D65" s="910" t="s">
        <v>743</v>
      </c>
      <c r="E65" s="896" t="s">
        <v>744</v>
      </c>
      <c r="F65" s="321">
        <f t="shared" ca="1" si="0"/>
        <v>1.5E-3</v>
      </c>
      <c r="I65" s="1367" t="s">
        <v>867</v>
      </c>
      <c r="J65" s="610">
        <v>40</v>
      </c>
      <c r="K65" s="610">
        <v>30</v>
      </c>
      <c r="L65" s="610">
        <v>50</v>
      </c>
      <c r="M65" s="1369">
        <v>0.02</v>
      </c>
      <c r="O65" s="1325" t="s">
        <v>403</v>
      </c>
      <c r="P65" s="1326" t="s">
        <v>868</v>
      </c>
      <c r="Q65" s="1327">
        <f ca="1">C40+J29</f>
        <v>3559289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-6498</v>
      </c>
      <c r="D67" s="909" t="s">
        <v>753</v>
      </c>
      <c r="E67" s="914"/>
      <c r="F67" s="915"/>
      <c r="O67" s="1334" t="s">
        <v>405</v>
      </c>
      <c r="P67" s="1326" t="s">
        <v>850</v>
      </c>
      <c r="Q67" s="1370">
        <f ca="1">L51</f>
        <v>3032085</v>
      </c>
      <c r="R67" s="1327" t="s">
        <v>870</v>
      </c>
    </row>
    <row r="68" spans="1:18" s="1292" customFormat="1" ht="16.5" thickBot="1">
      <c r="A68" s="893" t="s">
        <v>395</v>
      </c>
      <c r="B68" s="894" t="s">
        <v>774</v>
      </c>
      <c r="C68" s="293">
        <f ca="1">ROUND(C67*(1-((1+F70)/(1+F68))^F69)/(F68-F70),0)</f>
        <v>-89463</v>
      </c>
      <c r="D68" s="911" t="s">
        <v>758</v>
      </c>
      <c r="E68" s="896" t="s">
        <v>759</v>
      </c>
      <c r="F68" s="304">
        <f ca="1">F40</f>
        <v>5.5E-2</v>
      </c>
      <c r="O68" s="1334" t="s">
        <v>406</v>
      </c>
      <c r="P68" s="1371" t="s">
        <v>871</v>
      </c>
      <c r="Q68" s="1327">
        <f ca="1">ROUND(Q69-Q70*Q71,0)</f>
        <v>166088</v>
      </c>
      <c r="R68" s="1327" t="s">
        <v>414</v>
      </c>
    </row>
    <row r="69" spans="1:18" s="1292" customFormat="1" ht="13.5" thickBot="1">
      <c r="A69" s="897"/>
      <c r="B69" s="898"/>
      <c r="C69" s="298"/>
      <c r="D69" s="916" t="s">
        <v>762</v>
      </c>
      <c r="E69" s="896" t="s">
        <v>763</v>
      </c>
      <c r="F69" s="324">
        <f ca="1">F41</f>
        <v>26.44</v>
      </c>
      <c r="O69" s="1334" t="s">
        <v>411</v>
      </c>
      <c r="P69" s="1371" t="s">
        <v>872</v>
      </c>
      <c r="Q69" s="1327">
        <f ca="1">C39</f>
        <v>211080</v>
      </c>
      <c r="R69" s="1327" t="s">
        <v>818</v>
      </c>
    </row>
    <row r="70" spans="1:18" s="1292" customFormat="1" ht="13.5" thickBot="1">
      <c r="A70" s="900"/>
      <c r="B70" s="901"/>
      <c r="C70" s="302"/>
      <c r="D70" s="912"/>
      <c r="E70" s="896" t="s">
        <v>766</v>
      </c>
      <c r="F70" s="991"/>
      <c r="O70" s="1334" t="s">
        <v>412</v>
      </c>
      <c r="P70" s="1371" t="s">
        <v>873</v>
      </c>
      <c r="Q70" s="1327">
        <f ca="1">C13</f>
        <v>642747</v>
      </c>
      <c r="R70" s="1327" t="s">
        <v>818</v>
      </c>
    </row>
    <row r="71" spans="1:18" s="1292" customFormat="1" ht="13.5" thickBot="1">
      <c r="A71" s="917" t="s">
        <v>396</v>
      </c>
      <c r="B71" s="918" t="s">
        <v>776</v>
      </c>
      <c r="C71" s="327">
        <f ca="1">ROUND(C68/F71,0)</f>
        <v>-390</v>
      </c>
      <c r="D71" s="919" t="s">
        <v>777</v>
      </c>
      <c r="E71" s="920" t="s">
        <v>778</v>
      </c>
      <c r="F71" s="330">
        <f ca="1">F43</f>
        <v>229.5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44992</v>
      </c>
      <c r="D75" s="1292"/>
      <c r="E75" s="1292"/>
      <c r="F75" s="1292"/>
      <c r="K75" s="1309"/>
      <c r="L75" s="1292"/>
      <c r="O75" s="1325" t="s">
        <v>409</v>
      </c>
      <c r="P75" s="1326" t="s">
        <v>838</v>
      </c>
      <c r="Q75" s="1327">
        <f ca="1">Q65+Q66</f>
        <v>3559289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0.81899999999999995</v>
      </c>
    </row>
    <row r="83" spans="2:3">
      <c r="B83" s="265" t="s">
        <v>803</v>
      </c>
      <c r="C83" s="266">
        <f ca="1">ROUND(C13/C40,3)</f>
        <v>0.18099999999999999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9ADC5-3E78-46B7-A147-70423DACC567}">
  <sheetPr>
    <tabColor rgb="FF92D050"/>
  </sheetPr>
  <dimension ref="A1:AK83"/>
  <sheetViews>
    <sheetView view="pageBreakPreview" topLeftCell="A16" zoomScale="70" zoomScaleNormal="70" zoomScaleSheetLayoutView="70" workbookViewId="0">
      <selection activeCell="G8" sqref="G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v>2</v>
      </c>
      <c r="D1" s="1271" t="s">
        <v>43</v>
      </c>
      <c r="E1" s="1272" t="s">
        <v>678</v>
      </c>
      <c r="F1" s="999">
        <f ca="1">J53</f>
        <v>26.44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187.24209999999999</v>
      </c>
      <c r="C2" s="1289" t="s">
        <v>805</v>
      </c>
      <c r="D2" s="1375">
        <f ca="1">C40+J29+L46</f>
        <v>1872421</v>
      </c>
      <c r="E2" s="1295" t="s">
        <v>880</v>
      </c>
      <c r="F2" s="1296"/>
      <c r="G2" s="2477"/>
      <c r="H2" s="2467"/>
      <c r="I2" s="2467"/>
      <c r="J2" s="2467"/>
      <c r="K2" s="2468"/>
      <c r="L2" s="2467"/>
      <c r="M2" s="2467"/>
    </row>
    <row r="3" spans="1:37" ht="18" customHeight="1" thickBot="1">
      <c r="A3" s="1297" t="s">
        <v>806</v>
      </c>
      <c r="B3" s="1298">
        <f ca="1">IF(ISERROR(D2/F43),0,ROUND(D2/F43,0))</f>
        <v>6391</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144551</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ROUND(F6*F8*F7*(1-F9),0)</f>
        <v>144371</v>
      </c>
      <c r="D6" s="147" t="s">
        <v>2106</v>
      </c>
      <c r="E6" s="294" t="s">
        <v>696</v>
      </c>
      <c r="F6" s="295">
        <f ca="1">INDIRECT("'数据-取费表'!u"&amp;$G$1)</f>
        <v>1.5</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292.99</v>
      </c>
      <c r="G7" s="1292"/>
      <c r="H7" s="296"/>
      <c r="I7" s="3355"/>
      <c r="J7" s="298"/>
      <c r="K7" s="299"/>
      <c r="L7" s="294" t="s">
        <v>697</v>
      </c>
      <c r="M7" s="295">
        <f ca="1">F7</f>
        <v>292.99</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180</v>
      </c>
      <c r="D10" s="150" t="s">
        <v>2116</v>
      </c>
      <c r="E10" s="305" t="s">
        <v>701</v>
      </c>
      <c r="F10" s="1053" t="s">
        <v>3461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808647</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878970</v>
      </c>
      <c r="D14" s="1257" t="s">
        <v>708</v>
      </c>
      <c r="E14" s="1255"/>
      <c r="F14" s="311"/>
      <c r="G14" s="1292"/>
      <c r="H14" s="928" t="s">
        <v>398</v>
      </c>
      <c r="I14" s="294" t="s">
        <v>709</v>
      </c>
      <c r="J14" s="21">
        <f ca="1">C29</f>
        <v>1206936</v>
      </c>
      <c r="K14" s="12"/>
      <c r="L14" s="759"/>
      <c r="M14" s="760"/>
    </row>
    <row r="15" spans="1:37" s="1304" customFormat="1" ht="18" customHeight="1" thickBot="1">
      <c r="A15" s="928" t="s">
        <v>399</v>
      </c>
      <c r="B15" s="294" t="s">
        <v>710</v>
      </c>
      <c r="C15" s="21">
        <f ca="1">ROUND(C14*F15,0)</f>
        <v>26369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6788</v>
      </c>
      <c r="K16" s="1024" t="s">
        <v>715</v>
      </c>
      <c r="L16" s="1025"/>
      <c r="M16" s="1009"/>
    </row>
    <row r="17" spans="1:37" s="1304" customFormat="1" ht="18" customHeight="1">
      <c r="A17" s="928" t="s">
        <v>681</v>
      </c>
      <c r="B17" s="294" t="s">
        <v>716</v>
      </c>
      <c r="C17" s="21">
        <f ca="1">ROUND(F17*(F43+INDIRECT("'数据-取费表'!S"&amp;$G$1)),0)</f>
        <v>58598</v>
      </c>
      <c r="D17" s="294" t="s">
        <v>717</v>
      </c>
      <c r="E17" s="294" t="s">
        <v>718</v>
      </c>
      <c r="F17" s="23">
        <f>'数据-取费表'!B35</f>
        <v>200</v>
      </c>
      <c r="G17" s="1303"/>
      <c r="H17" s="928" t="s">
        <v>398</v>
      </c>
      <c r="I17" s="294" t="s">
        <v>719</v>
      </c>
      <c r="J17" s="2140">
        <f ca="1">ROUND(IF(AND(项目基本情况!B11="自然人",项目基本情况!B10="北京市"),J6*M17/(1+'数据-取费表'!C42),J18+J19+J20),0)</f>
        <v>753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17579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981516</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19630</v>
      </c>
      <c r="D20" s="315" t="s">
        <v>729</v>
      </c>
      <c r="E20" s="294" t="s">
        <v>712</v>
      </c>
      <c r="F20" s="314">
        <f>'数据-取费表'!B37</f>
        <v>0.02</v>
      </c>
      <c r="G20" s="1303"/>
      <c r="H20" s="928" t="s">
        <v>680</v>
      </c>
      <c r="I20" s="147" t="s">
        <v>730</v>
      </c>
      <c r="J20" s="22">
        <f ca="1">ROUND(M20*M21,0)</f>
        <v>753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502.25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6035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15517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683</v>
      </c>
      <c r="I24" s="1027" t="s">
        <v>728</v>
      </c>
      <c r="J24" s="1028">
        <f ca="1">ROUND(J5*M24,0)</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-6788</v>
      </c>
      <c r="K25" s="1032" t="s">
        <v>753</v>
      </c>
      <c r="L25" s="1033"/>
      <c r="M25" s="1034"/>
    </row>
    <row r="26" spans="1:37" ht="18" customHeight="1">
      <c r="A26" s="928" t="s">
        <v>397</v>
      </c>
      <c r="B26" s="294" t="s">
        <v>754</v>
      </c>
      <c r="C26" s="21">
        <f ca="1">ROUND((C19+C20)*F26,0)</f>
        <v>100115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1206936</v>
      </c>
      <c r="D29" s="1029"/>
      <c r="E29" s="1027"/>
      <c r="F29" s="1030"/>
      <c r="G29" s="1303"/>
      <c r="H29" s="325" t="s">
        <v>396</v>
      </c>
      <c r="I29" s="326" t="s">
        <v>768</v>
      </c>
      <c r="J29" s="327">
        <f ca="1">ROUND(J26/(1+F40)^F41,0)</f>
        <v>0</v>
      </c>
      <c r="K29" s="328" t="s">
        <v>769</v>
      </c>
      <c r="L29" s="329"/>
      <c r="M29" s="330">
        <f ca="1">INDIRECT("'数据-取费表'!k"&amp;$G$1)</f>
        <v>292.99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33509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24815</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7562</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16500</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753</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502.25</v>
      </c>
      <c r="G35" s="1292"/>
      <c r="H35" s="2469"/>
      <c r="I35" s="1305"/>
      <c r="J35" s="1306"/>
      <c r="K35" s="2473"/>
      <c r="L35" s="2472"/>
      <c r="M35" s="2472"/>
    </row>
    <row r="36" spans="1:18" ht="18" customHeight="1">
      <c r="A36" s="1039" t="s">
        <v>402</v>
      </c>
      <c r="B36" s="294" t="s">
        <v>738</v>
      </c>
      <c r="C36" s="21">
        <f ca="1">ROUND(C29*F36,0)</f>
        <v>6035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1213</v>
      </c>
      <c r="D37" s="1256" t="s">
        <v>743</v>
      </c>
      <c r="E37" s="294" t="s">
        <v>712</v>
      </c>
      <c r="F37" s="321">
        <f ca="1">INDIRECT("'数据-取费表'!Al"&amp;$G$1)</f>
        <v>1.5E-3</v>
      </c>
      <c r="G37" s="1292"/>
      <c r="H37" s="2472"/>
      <c r="I37" s="1305"/>
      <c r="J37" s="1306"/>
      <c r="K37" s="2330"/>
      <c r="L37" s="2472"/>
      <c r="M37" s="2472"/>
    </row>
    <row r="38" spans="1:18" ht="18" customHeight="1" thickBot="1">
      <c r="A38" s="1026" t="s">
        <v>683</v>
      </c>
      <c r="B38" s="1027" t="s">
        <v>728</v>
      </c>
      <c r="C38" s="1028">
        <f ca="1">ROUND(C5*F38,0)</f>
        <v>1446</v>
      </c>
      <c r="D38" s="1029" t="s">
        <v>748</v>
      </c>
      <c r="E38" s="1027" t="s">
        <v>712</v>
      </c>
      <c r="F38" s="1023">
        <f ca="1">INDIRECT("'数据-取费表'!Am"&amp;$G$1)</f>
        <v>0.01</v>
      </c>
      <c r="G38" s="1292"/>
      <c r="H38" s="2472"/>
      <c r="I38" s="1305"/>
      <c r="J38" s="1306"/>
      <c r="K38" s="2470"/>
      <c r="L38" s="2472"/>
      <c r="M38" s="2472"/>
    </row>
    <row r="39" spans="1:18" ht="24.6" customHeight="1" thickTop="1">
      <c r="A39" s="1016" t="s">
        <v>394</v>
      </c>
      <c r="B39" s="1031" t="s">
        <v>752</v>
      </c>
      <c r="C39" s="302">
        <f ca="1">C5-C30</f>
        <v>111042</v>
      </c>
      <c r="D39" s="1032" t="s">
        <v>753</v>
      </c>
      <c r="E39" s="1033"/>
      <c r="F39" s="1034"/>
      <c r="G39" s="1292"/>
      <c r="H39" s="2472"/>
      <c r="I39" s="1305"/>
      <c r="J39" s="1306"/>
      <c r="K39" s="2470"/>
      <c r="L39" s="2472"/>
      <c r="M39" s="2472"/>
    </row>
    <row r="40" spans="1:18" ht="18" customHeight="1">
      <c r="A40" s="291" t="s">
        <v>395</v>
      </c>
      <c r="B40" s="292" t="s">
        <v>774</v>
      </c>
      <c r="C40" s="293">
        <f ca="1">ROUND(C39*(1-((1+F42)/(1+F40))^F41)/(F40-F42),0)</f>
        <v>1872421</v>
      </c>
      <c r="D40" s="316" t="s">
        <v>758</v>
      </c>
      <c r="E40" s="294" t="s">
        <v>759</v>
      </c>
      <c r="F40" s="304">
        <f ca="1">INDIRECT("'数据-取费表'!I"&amp;$G$1)</f>
        <v>5.5E-2</v>
      </c>
      <c r="G40" s="1292"/>
      <c r="H40" s="1366">
        <f ca="1">C39/C5</f>
        <v>0.7681856230672911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6391</v>
      </c>
      <c r="D43" s="328" t="s">
        <v>777</v>
      </c>
      <c r="E43" s="329" t="s">
        <v>778</v>
      </c>
      <c r="F43" s="330">
        <f ca="1">INDIRECT("'数据-取费表'!k"&amp;$G$1)</f>
        <v>292.99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-198.2577</v>
      </c>
      <c r="D45" s="3129" t="s">
        <v>3354</v>
      </c>
      <c r="E45" s="1307"/>
      <c r="F45" s="1307"/>
      <c r="O45" s="1310" t="s">
        <v>808</v>
      </c>
      <c r="P45" s="1366"/>
      <c r="Q45" s="1366"/>
      <c r="R45" s="1366"/>
    </row>
    <row r="46" spans="1:18" s="1292" customFormat="1" ht="13.5" thickBot="1">
      <c r="A46" s="1311" t="s">
        <v>809</v>
      </c>
      <c r="C46" s="1312">
        <f ca="1">ROUND(C45,0)</f>
        <v>-198</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3462</v>
      </c>
      <c r="K47" s="1323" t="s">
        <v>816</v>
      </c>
      <c r="L47" s="1324">
        <f ca="1">INDIRECT("'数据-取费表'!d"&amp;$G$1)</f>
        <v>50</v>
      </c>
      <c r="M47" s="1288" t="str">
        <f>IF(ISNUMBER(FIND("住宅",C1)),"住宅","非住宅")</f>
        <v>非住宅</v>
      </c>
      <c r="O47" s="1325" t="s">
        <v>403</v>
      </c>
      <c r="P47" s="1326" t="s">
        <v>817</v>
      </c>
      <c r="Q47" s="1327">
        <f ca="1">C40+J29</f>
        <v>1872421</v>
      </c>
      <c r="R47" s="1327" t="s">
        <v>818</v>
      </c>
    </row>
    <row r="48" spans="1:18" s="1292" customFormat="1" ht="28.5" thickBot="1">
      <c r="A48" s="1047" t="s">
        <v>438</v>
      </c>
      <c r="B48" s="292" t="s">
        <v>692</v>
      </c>
      <c r="C48" s="1268">
        <f ca="1">C49+C53+C55</f>
        <v>0</v>
      </c>
      <c r="D48" s="1049"/>
      <c r="E48" s="1050"/>
      <c r="F48" s="908"/>
      <c r="G48" s="681"/>
      <c r="H48" s="682"/>
      <c r="I48" s="1328" t="s">
        <v>819</v>
      </c>
      <c r="J48" s="1329" t="s">
        <v>3463</v>
      </c>
      <c r="K48" s="1330" t="s">
        <v>820</v>
      </c>
      <c r="L48" s="1331">
        <f ca="1">INDIRECT("'数据-取费表'!f"&amp;$G$1)</f>
        <v>26.44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1206936</v>
      </c>
      <c r="R49" s="1327" t="s">
        <v>818</v>
      </c>
    </row>
    <row r="50" spans="1:18" s="1292" customFormat="1" ht="13.5" thickBot="1">
      <c r="A50" s="922"/>
      <c r="B50" s="925"/>
      <c r="C50" s="926"/>
      <c r="D50" s="899"/>
      <c r="E50" s="993" t="s">
        <v>697</v>
      </c>
      <c r="F50" s="994">
        <f ca="1">F7</f>
        <v>292.99</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993793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26.44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26.44</v>
      </c>
      <c r="K53" s="3352" t="s">
        <v>837</v>
      </c>
      <c r="L53" s="3353"/>
      <c r="O53" s="1325" t="s">
        <v>409</v>
      </c>
      <c r="P53" s="1326" t="s">
        <v>838</v>
      </c>
      <c r="Q53" s="1327">
        <f ca="1">Q47+Q48</f>
        <v>1872421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808647</v>
      </c>
      <c r="D56" s="1352"/>
      <c r="E56" s="1353"/>
      <c r="F56" s="1345"/>
      <c r="I56" s="1354" t="s">
        <v>842</v>
      </c>
      <c r="J56" s="1355" t="s">
        <v>3422</v>
      </c>
      <c r="K56" s="1328" t="s">
        <v>843</v>
      </c>
      <c r="L56" s="1331" t="str">
        <f ca="1">IF(L48&lt;J51,"——",L48-J51)</f>
        <v>——</v>
      </c>
      <c r="O56" s="1325" t="s">
        <v>403</v>
      </c>
      <c r="P56" s="1326" t="s">
        <v>817</v>
      </c>
      <c r="Q56" s="1327">
        <f ca="1">C40+J29</f>
        <v>1872421</v>
      </c>
      <c r="R56" s="1327" t="s">
        <v>818</v>
      </c>
    </row>
    <row r="57" spans="1:18" s="1292" customFormat="1" ht="24.75" thickBot="1">
      <c r="A57" s="1356"/>
      <c r="B57" s="896" t="s">
        <v>767</v>
      </c>
      <c r="C57" s="230">
        <f ca="1">C29</f>
        <v>1206936</v>
      </c>
      <c r="D57" s="1357"/>
      <c r="E57" s="1358"/>
      <c r="F57" s="1359"/>
      <c r="I57" s="1360" t="s">
        <v>844</v>
      </c>
      <c r="J57" s="1361" t="str">
        <f ca="1">IF(OR(M47="住宅",J51&lt;L48,J56="是"),"——",J51-L48)</f>
        <v>——</v>
      </c>
      <c r="K57" s="1328" t="s">
        <v>892</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8001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753</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IF(项目基本情况!B11="自然人","——",IF(D61="按租金收入计税",ROUND(C49*F61/(1+'数据-取费表'!C42),0),IF(D61="按房产原值计税",ROUND(C57*F61*0.7,0),INDIRECT("'数据-取费表'!Aj"&amp;$G$1))))</f>
        <v>0</v>
      </c>
      <c r="D61" s="1278" t="s">
        <v>3337</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IF(项目基本情况!B11="自然人","——",ROUND(F62*F63,0))</f>
        <v>753</v>
      </c>
      <c r="D62" s="911" t="s">
        <v>731</v>
      </c>
      <c r="E62" s="896" t="s">
        <v>732</v>
      </c>
      <c r="F62" s="317">
        <f t="shared" si="0"/>
        <v>1.5</v>
      </c>
      <c r="I62" s="1367" t="s">
        <v>858</v>
      </c>
      <c r="J62" s="610" t="s">
        <v>859</v>
      </c>
      <c r="K62" s="610" t="s">
        <v>860</v>
      </c>
      <c r="L62" s="610" t="s">
        <v>861</v>
      </c>
      <c r="M62" s="1368" t="s">
        <v>862</v>
      </c>
      <c r="O62" s="1325" t="s">
        <v>409</v>
      </c>
      <c r="P62" s="1326" t="s">
        <v>838</v>
      </c>
      <c r="Q62" s="1327">
        <f ca="1">Q56+Q57</f>
        <v>1872421</v>
      </c>
      <c r="R62" s="1327" t="s">
        <v>410</v>
      </c>
    </row>
    <row r="63" spans="1:18" s="1292" customFormat="1" ht="13.5" thickBot="1">
      <c r="A63" s="318"/>
      <c r="B63" s="902"/>
      <c r="C63" s="26"/>
      <c r="D63" s="912"/>
      <c r="E63" s="896" t="s">
        <v>736</v>
      </c>
      <c r="F63" s="295">
        <f t="shared" ca="1" si="0"/>
        <v>502.25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ROUND(C57*F64,0)</f>
        <v>6035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1213</v>
      </c>
      <c r="D65" s="910" t="s">
        <v>743</v>
      </c>
      <c r="E65" s="896" t="s">
        <v>712</v>
      </c>
      <c r="F65" s="321">
        <f t="shared" ca="1" si="0"/>
        <v>1.5E-3</v>
      </c>
      <c r="I65" s="1367" t="s">
        <v>867</v>
      </c>
      <c r="J65" s="610">
        <v>40</v>
      </c>
      <c r="K65" s="610">
        <v>30</v>
      </c>
      <c r="L65" s="610">
        <v>50</v>
      </c>
      <c r="M65" s="1369">
        <v>0.02</v>
      </c>
      <c r="O65" s="1325" t="s">
        <v>403</v>
      </c>
      <c r="P65" s="1326" t="s">
        <v>817</v>
      </c>
      <c r="Q65" s="1327">
        <f ca="1">C40+J29</f>
        <v>1872421</v>
      </c>
      <c r="R65" s="1327" t="s">
        <v>818</v>
      </c>
    </row>
    <row r="66" spans="1:18" s="1292" customFormat="1" ht="16.5" thickBot="1">
      <c r="A66" s="928" t="s">
        <v>793</v>
      </c>
      <c r="B66" s="896" t="s">
        <v>728</v>
      </c>
      <c r="C66" s="21">
        <f ca="1">ROUND(C48*F66,0)</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-8001</v>
      </c>
      <c r="D67" s="909" t="s">
        <v>753</v>
      </c>
      <c r="E67" s="914"/>
      <c r="F67" s="915"/>
      <c r="O67" s="1334" t="s">
        <v>405</v>
      </c>
      <c r="P67" s="1326" t="s">
        <v>850</v>
      </c>
      <c r="Q67" s="1370">
        <f ca="1">L51</f>
        <v>993793</v>
      </c>
      <c r="R67" s="1327" t="s">
        <v>870</v>
      </c>
    </row>
    <row r="68" spans="1:18" s="1292" customFormat="1" ht="16.5" thickBot="1">
      <c r="A68" s="893" t="s">
        <v>395</v>
      </c>
      <c r="B68" s="894" t="s">
        <v>774</v>
      </c>
      <c r="C68" s="293">
        <f ca="1">ROUND(C67*(1-((1+F70)/(1+F68))^F69)/(F68-F70),0)</f>
        <v>-110156</v>
      </c>
      <c r="D68" s="911" t="s">
        <v>758</v>
      </c>
      <c r="E68" s="896" t="s">
        <v>759</v>
      </c>
      <c r="F68" s="304">
        <f ca="1">F40</f>
        <v>5.5E-2</v>
      </c>
      <c r="O68" s="1334" t="s">
        <v>406</v>
      </c>
      <c r="P68" s="1371" t="s">
        <v>871</v>
      </c>
      <c r="Q68" s="1327">
        <f ca="1">ROUND(Q69-Q70*Q71,0)</f>
        <v>54437</v>
      </c>
      <c r="R68" s="1327" t="s">
        <v>414</v>
      </c>
    </row>
    <row r="69" spans="1:18" s="1292" customFormat="1" ht="13.5" thickBot="1">
      <c r="A69" s="897"/>
      <c r="B69" s="898"/>
      <c r="C69" s="298"/>
      <c r="D69" s="916" t="s">
        <v>762</v>
      </c>
      <c r="E69" s="896" t="s">
        <v>763</v>
      </c>
      <c r="F69" s="324">
        <f ca="1">F41</f>
        <v>26.44</v>
      </c>
      <c r="O69" s="1334" t="s">
        <v>411</v>
      </c>
      <c r="P69" s="1371" t="s">
        <v>872</v>
      </c>
      <c r="Q69" s="1327">
        <f ca="1">C39</f>
        <v>111042</v>
      </c>
      <c r="R69" s="1327" t="s">
        <v>818</v>
      </c>
    </row>
    <row r="70" spans="1:18" s="1292" customFormat="1" ht="13.5" thickBot="1">
      <c r="A70" s="900"/>
      <c r="B70" s="901"/>
      <c r="C70" s="302"/>
      <c r="D70" s="912"/>
      <c r="E70" s="896" t="s">
        <v>766</v>
      </c>
      <c r="F70" s="991"/>
      <c r="O70" s="1334" t="s">
        <v>412</v>
      </c>
      <c r="P70" s="1371" t="s">
        <v>873</v>
      </c>
      <c r="Q70" s="1327">
        <f ca="1">C13</f>
        <v>808647</v>
      </c>
      <c r="R70" s="1327" t="s">
        <v>818</v>
      </c>
    </row>
    <row r="71" spans="1:18" s="1292" customFormat="1" ht="13.5" thickBot="1">
      <c r="A71" s="917" t="s">
        <v>396</v>
      </c>
      <c r="B71" s="918" t="s">
        <v>776</v>
      </c>
      <c r="C71" s="327">
        <f ca="1">ROUND(C68/F71,0)</f>
        <v>-376</v>
      </c>
      <c r="D71" s="919" t="s">
        <v>777</v>
      </c>
      <c r="E71" s="920" t="s">
        <v>778</v>
      </c>
      <c r="F71" s="330">
        <f ca="1">F43</f>
        <v>292.99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56605</v>
      </c>
      <c r="D75" s="1292"/>
      <c r="E75" s="1292"/>
      <c r="F75" s="1292"/>
      <c r="K75" s="1309"/>
      <c r="L75" s="1292"/>
      <c r="O75" s="1325" t="s">
        <v>409</v>
      </c>
      <c r="P75" s="1326" t="s">
        <v>838</v>
      </c>
      <c r="Q75" s="1327">
        <f ca="1">Q65+Q66</f>
        <v>1872421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0.49</v>
      </c>
    </row>
    <row r="80" spans="1:18">
      <c r="B80" s="331" t="s">
        <v>800</v>
      </c>
      <c r="C80" s="266">
        <f ca="1">ROUND(C75/C39,3)</f>
        <v>0.51</v>
      </c>
    </row>
    <row r="81" spans="2:3">
      <c r="B81" s="262" t="s">
        <v>801</v>
      </c>
      <c r="C81" s="230"/>
    </row>
    <row r="82" spans="2:3">
      <c r="B82" s="265" t="s">
        <v>802</v>
      </c>
      <c r="C82" s="267">
        <f ca="1">1-C83</f>
        <v>0.56800000000000006</v>
      </c>
    </row>
    <row r="83" spans="2:3">
      <c r="B83" s="265" t="s">
        <v>803</v>
      </c>
      <c r="C83" s="266">
        <f ca="1">ROUND(C13/C40,3)</f>
        <v>0.432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0FAECBE-64C7-47D0-BFDB-969995FBFF8B}">
      <formula1>"在建（套用方法）,土地（套用方法）,——"</formula1>
    </dataValidation>
    <dataValidation type="list" allowBlank="1" showInputMessage="1" showErrorMessage="1" sqref="F10 F53 M10" xr:uid="{17985AE2-5F90-45F6-923F-BCB5EA1CB75B}">
      <formula1>"押一,押二,押三,自定义"</formula1>
    </dataValidation>
    <dataValidation type="list" allowBlank="1" showInputMessage="1" showErrorMessage="1" sqref="K19" xr:uid="{B4CDFE3A-3C60-4583-AD20-BD40EA37A333}">
      <formula1>"按租金收入计税,按房产原值计税"</formula1>
    </dataValidation>
    <dataValidation type="list" allowBlank="1" showInputMessage="1" showErrorMessage="1" sqref="D33 D61" xr:uid="{39421406-D58E-453A-8EF7-7E99C48771FB}">
      <formula1>"按租金收入计税,按房产原值计税,按票据"</formula1>
    </dataValidation>
    <dataValidation type="list" allowBlank="1" showInputMessage="1" showErrorMessage="1" sqref="C1" xr:uid="{DC36F51B-EEA5-474B-B192-295E4C7C50AB}">
      <formula1>项目类型</formula1>
    </dataValidation>
    <dataValidation type="list" allowBlank="1" showInputMessage="1" showErrorMessage="1" sqref="J47" xr:uid="{450E79CA-02D1-466C-9ED0-358EE8B487C8}">
      <formula1>"钢,钢混,砖混"</formula1>
    </dataValidation>
    <dataValidation type="list" allowBlank="1" showInputMessage="1" showErrorMessage="1" sqref="J48" xr:uid="{77FB9341-0F92-47A1-A825-B84D0863BE26}">
      <formula1>"非生产用房,生产用房,受腐蚀的生产用房"</formula1>
    </dataValidation>
    <dataValidation type="list" allowBlank="1" showInputMessage="1" showErrorMessage="1" sqref="J56" xr:uid="{4CB04398-407E-472A-88CE-21B04D96E6F1}">
      <formula1>估价范围判定</formula1>
    </dataValidation>
    <dataValidation type="list" allowBlank="1" showInputMessage="1" showErrorMessage="1" sqref="L55" xr:uid="{99A0A177-2C60-4AFA-9D14-D6A735CD07F6}">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3" t="s">
        <v>2317</v>
      </c>
      <c r="B2" s="2593" t="e">
        <f>IF(D2="——",C40,C40+E2)</f>
        <v>#DIV/0!</v>
      </c>
      <c r="C2" s="2594" t="s">
        <v>2318</v>
      </c>
      <c r="D2" s="3137" t="s">
        <v>3360</v>
      </c>
      <c r="E2" s="3138"/>
      <c r="F2" s="2596"/>
      <c r="G2" s="2597"/>
      <c r="H2" s="2598"/>
      <c r="I2" s="2599"/>
      <c r="J2" s="3378" t="s">
        <v>2319</v>
      </c>
      <c r="K2" s="3379"/>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380" t="s">
        <v>2329</v>
      </c>
      <c r="K3" s="3381"/>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380" t="s">
        <v>2331</v>
      </c>
      <c r="K4" s="3381"/>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382" t="s">
        <v>2335</v>
      </c>
      <c r="B6" s="3383"/>
      <c r="C6" s="3384"/>
      <c r="D6" s="2620"/>
      <c r="E6" s="2621"/>
      <c r="F6" s="2622"/>
      <c r="G6" s="2623"/>
      <c r="H6" s="2598"/>
      <c r="I6" s="2599"/>
      <c r="J6" s="3385">
        <v>1</v>
      </c>
      <c r="K6" s="3386"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385"/>
      <c r="K7" s="3387"/>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389" t="s">
        <v>2349</v>
      </c>
      <c r="C8" s="3390"/>
      <c r="D8" s="2639" t="s">
        <v>2350</v>
      </c>
      <c r="E8" s="2640" t="s">
        <v>2351</v>
      </c>
      <c r="F8" s="2641" t="s">
        <v>2352</v>
      </c>
      <c r="G8" s="2642"/>
      <c r="H8" s="2598"/>
      <c r="I8" s="2599"/>
      <c r="J8" s="3385"/>
      <c r="K8" s="3387"/>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389" t="s">
        <v>2355</v>
      </c>
      <c r="C9" s="3390"/>
      <c r="D9" s="2639">
        <f>ROUND(D6*E9,0)</f>
        <v>0</v>
      </c>
      <c r="E9" s="2643"/>
      <c r="F9" s="2644" t="s">
        <v>2356</v>
      </c>
      <c r="G9" s="2623"/>
      <c r="H9" s="2598"/>
      <c r="I9" s="2599"/>
      <c r="J9" s="3385"/>
      <c r="K9" s="3387"/>
      <c r="L9" s="2633" t="s">
        <v>2357</v>
      </c>
      <c r="M9" s="2634"/>
      <c r="N9" s="2610"/>
      <c r="O9" s="2635"/>
      <c r="P9" s="2635"/>
      <c r="Q9" s="2636">
        <v>365</v>
      </c>
      <c r="R9" s="2637">
        <f t="shared" si="0"/>
        <v>0</v>
      </c>
      <c r="S9" s="2591"/>
      <c r="T9" s="2591"/>
      <c r="U9" s="2591"/>
      <c r="V9" s="2599"/>
    </row>
    <row r="10" spans="1:22" s="2603" customFormat="1" ht="13.15" customHeight="1">
      <c r="A10" s="2638">
        <v>2</v>
      </c>
      <c r="B10" s="3389" t="s">
        <v>2358</v>
      </c>
      <c r="C10" s="3390"/>
      <c r="D10" s="2639">
        <f>ROUND(D6*E10,0)</f>
        <v>0</v>
      </c>
      <c r="E10" s="2643"/>
      <c r="F10" s="2644" t="s">
        <v>2359</v>
      </c>
      <c r="G10" s="2623"/>
      <c r="H10" s="2598"/>
      <c r="I10" s="2599"/>
      <c r="J10" s="3385"/>
      <c r="K10" s="3387"/>
      <c r="L10" s="2633" t="s">
        <v>2360</v>
      </c>
      <c r="M10" s="2634"/>
      <c r="N10" s="2610"/>
      <c r="O10" s="2635"/>
      <c r="P10" s="2635"/>
      <c r="Q10" s="2636">
        <v>365</v>
      </c>
      <c r="R10" s="2637">
        <f t="shared" si="0"/>
        <v>0</v>
      </c>
      <c r="S10" s="2591"/>
      <c r="T10" s="2591"/>
      <c r="U10" s="2591"/>
      <c r="V10" s="2599"/>
    </row>
    <row r="11" spans="1:22" s="2603" customFormat="1" ht="13.15" customHeight="1">
      <c r="A11" s="2638">
        <v>3</v>
      </c>
      <c r="B11" s="3389" t="s">
        <v>2361</v>
      </c>
      <c r="C11" s="3390"/>
      <c r="D11" s="2639">
        <f>D12+D14+D15+D16</f>
        <v>0</v>
      </c>
      <c r="E11" s="2645" t="e">
        <f>D11/D6</f>
        <v>#DIV/0!</v>
      </c>
      <c r="F11" s="2641"/>
      <c r="G11" s="2642"/>
      <c r="H11" s="2598"/>
      <c r="I11" s="2599"/>
      <c r="J11" s="3385"/>
      <c r="K11" s="3387"/>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391" t="s">
        <v>2364</v>
      </c>
      <c r="C12" s="3392"/>
      <c r="D12" s="2647">
        <f>ROUND(D13*1.2%*(1-30%),0)</f>
        <v>0</v>
      </c>
      <c r="E12" s="2648">
        <v>1.2E-2</v>
      </c>
      <c r="F12" s="2641" t="s">
        <v>2365</v>
      </c>
      <c r="G12" s="2642"/>
      <c r="H12" s="2598"/>
      <c r="I12" s="2599"/>
      <c r="J12" s="3385"/>
      <c r="K12" s="3387"/>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385"/>
      <c r="K13" s="3387"/>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391" t="s">
        <v>2370</v>
      </c>
      <c r="C14" s="3392"/>
      <c r="D14" s="2647">
        <f>ROUND(E14*B5/10000,0)</f>
        <v>0</v>
      </c>
      <c r="E14" s="2636"/>
      <c r="F14" s="2641" t="s">
        <v>2371</v>
      </c>
      <c r="G14" s="2642"/>
      <c r="H14" s="2598"/>
      <c r="I14" s="2599"/>
      <c r="J14" s="3385"/>
      <c r="K14" s="3388"/>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391" t="s">
        <v>2374</v>
      </c>
      <c r="C15" s="3392"/>
      <c r="D15" s="2647">
        <f>ROUND(D6*E15,0)</f>
        <v>0</v>
      </c>
      <c r="E15" s="2648">
        <v>5.5E-2</v>
      </c>
      <c r="F15" s="2641" t="s">
        <v>2375</v>
      </c>
      <c r="G15" s="2623"/>
      <c r="H15" s="2598"/>
      <c r="I15" s="2599"/>
      <c r="J15" s="3385">
        <v>2</v>
      </c>
      <c r="K15" s="3386"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391" t="s">
        <v>2383</v>
      </c>
      <c r="C16" s="3392"/>
      <c r="D16" s="2658">
        <f>D6*E16</f>
        <v>0</v>
      </c>
      <c r="E16" s="2659"/>
      <c r="F16" s="2644" t="s">
        <v>2384</v>
      </c>
      <c r="G16" s="2623"/>
      <c r="H16" s="2598"/>
      <c r="I16" s="2599"/>
      <c r="J16" s="3385"/>
      <c r="K16" s="3387"/>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393" t="s">
        <v>2386</v>
      </c>
      <c r="C17" s="3394"/>
      <c r="D17" s="2661">
        <f>ROUND(D6*E17,0)</f>
        <v>0</v>
      </c>
      <c r="E17" s="2662"/>
      <c r="F17" s="2663" t="s">
        <v>2387</v>
      </c>
      <c r="G17" s="2623"/>
      <c r="H17" s="2598"/>
      <c r="I17" s="2599"/>
      <c r="J17" s="3385"/>
      <c r="K17" s="3387"/>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385"/>
      <c r="K18" s="3387"/>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385"/>
      <c r="K19" s="3388"/>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5">
        <v>3</v>
      </c>
      <c r="K20" s="3386"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385"/>
      <c r="K21" s="3387"/>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385"/>
      <c r="K22" s="3387"/>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385"/>
      <c r="K23" s="3387"/>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385"/>
      <c r="K24" s="3388"/>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395">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39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378" t="s">
        <v>2319</v>
      </c>
      <c r="K32" s="3379"/>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380" t="s">
        <v>2329</v>
      </c>
      <c r="K33" s="3381"/>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380" t="s">
        <v>2331</v>
      </c>
      <c r="K34" s="338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385">
        <v>1</v>
      </c>
      <c r="K36" s="3386"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385"/>
      <c r="K37" s="3387"/>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5"/>
      <c r="K38" s="3387"/>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385"/>
      <c r="K39" s="3387"/>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385"/>
      <c r="K40" s="3388"/>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5">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39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522.49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5" t="s">
        <v>1667</v>
      </c>
      <c r="D4" s="3416"/>
      <c r="E4" s="3417" t="s">
        <v>1668</v>
      </c>
      <c r="F4" s="3418"/>
      <c r="G4" s="3415" t="s">
        <v>1669</v>
      </c>
      <c r="H4" s="3416"/>
      <c r="I4" s="3415" t="s">
        <v>1670</v>
      </c>
      <c r="J4" s="3416"/>
      <c r="K4" s="1744" t="s">
        <v>1671</v>
      </c>
      <c r="L4" s="2485"/>
      <c r="M4" s="2486"/>
      <c r="N4" s="2486"/>
      <c r="O4" s="2486"/>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ht="15">
      <c r="A5" s="348"/>
      <c r="B5" s="349"/>
      <c r="C5" s="3408" t="s">
        <v>1673</v>
      </c>
      <c r="D5" s="3409"/>
      <c r="E5" s="3406" t="s">
        <v>1674</v>
      </c>
      <c r="F5" s="3407"/>
      <c r="G5" s="3408" t="s">
        <v>1675</v>
      </c>
      <c r="H5" s="3409"/>
      <c r="I5" s="3408" t="s">
        <v>1676</v>
      </c>
      <c r="J5" s="3409"/>
      <c r="K5" s="1745"/>
      <c r="L5" s="2485"/>
      <c r="M5" s="2486"/>
      <c r="N5" s="2486"/>
      <c r="O5" s="2486"/>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1745" t="s">
        <v>1678</v>
      </c>
      <c r="L6" s="2485"/>
      <c r="M6" s="2486"/>
      <c r="N6" s="2486"/>
      <c r="O6" s="2486"/>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4"/>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4"/>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4"/>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4"/>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41"/>
      <c r="Q16" s="1263"/>
      <c r="R16" s="667"/>
      <c r="S16" s="668"/>
      <c r="T16" s="667"/>
      <c r="U16" s="668"/>
      <c r="V16" s="667"/>
      <c r="W16" s="668"/>
      <c r="X16" s="1265"/>
      <c r="Y16" s="343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41"/>
      <c r="Q18" s="1263"/>
      <c r="R18" s="667"/>
      <c r="S18" s="668"/>
      <c r="T18" s="667"/>
      <c r="U18" s="668"/>
      <c r="V18" s="667"/>
      <c r="W18" s="668"/>
      <c r="X18" s="1265"/>
      <c r="Y18" s="343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41"/>
      <c r="Q22" s="1263"/>
      <c r="R22" s="667"/>
      <c r="S22" s="668"/>
      <c r="T22" s="667"/>
      <c r="U22" s="668"/>
      <c r="V22" s="667"/>
      <c r="W22" s="668"/>
      <c r="X22" s="1265"/>
      <c r="Y22" s="343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522.49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ht="15">
      <c r="A5" s="348"/>
      <c r="B5" s="349"/>
      <c r="C5" s="3408" t="s">
        <v>1673</v>
      </c>
      <c r="D5" s="3409"/>
      <c r="E5" s="3406" t="s">
        <v>1674</v>
      </c>
      <c r="F5" s="3407"/>
      <c r="G5" s="3408" t="s">
        <v>1675</v>
      </c>
      <c r="H5" s="3409"/>
      <c r="I5" s="3408" t="s">
        <v>1676</v>
      </c>
      <c r="J5" s="3409"/>
      <c r="K5" s="537"/>
      <c r="L5" s="2485"/>
      <c r="M5" s="2486"/>
      <c r="N5" s="2486"/>
      <c r="O5" s="2486"/>
      <c r="P5" s="3421"/>
      <c r="Q5" s="3422"/>
      <c r="R5" s="3404"/>
      <c r="S5" s="3405"/>
      <c r="T5" s="3404"/>
      <c r="U5" s="3405"/>
      <c r="V5" s="3427"/>
      <c r="W5" s="3427"/>
      <c r="X5" s="1265"/>
      <c r="Y5" s="3404"/>
      <c r="Z5" s="3405"/>
      <c r="AA5" s="3398"/>
      <c r="AB5" s="3427"/>
      <c r="AC5" s="3398"/>
    </row>
    <row r="6" spans="1:29" ht="15.75" thickBot="1">
      <c r="A6" s="350"/>
      <c r="B6" s="351"/>
      <c r="C6" s="3410" t="s">
        <v>1677</v>
      </c>
      <c r="D6" s="3411"/>
      <c r="E6" s="3412" t="s">
        <v>1677</v>
      </c>
      <c r="F6" s="3413"/>
      <c r="G6" s="3410" t="s">
        <v>1677</v>
      </c>
      <c r="H6" s="3411"/>
      <c r="I6" s="3410" t="s">
        <v>1677</v>
      </c>
      <c r="J6" s="3411"/>
      <c r="K6" s="537" t="s">
        <v>1678</v>
      </c>
      <c r="L6" s="2485"/>
      <c r="M6" s="2486"/>
      <c r="N6" s="2486"/>
      <c r="O6" s="2486"/>
      <c r="P6" s="3423"/>
      <c r="Q6" s="3424"/>
      <c r="R6" s="3404"/>
      <c r="S6" s="3405"/>
      <c r="T6" s="3425"/>
      <c r="U6" s="3426"/>
      <c r="V6" s="3427"/>
      <c r="W6" s="3427"/>
      <c r="X6" s="1265"/>
      <c r="Y6" s="3425"/>
      <c r="Z6" s="3426"/>
      <c r="AA6" s="3399"/>
      <c r="AB6" s="3427"/>
      <c r="AC6" s="3399"/>
    </row>
    <row r="7" spans="1:29" s="102" customFormat="1" ht="15.7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4"/>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41"/>
      <c r="Q18" s="1263"/>
      <c r="R18" s="667"/>
      <c r="S18" s="668"/>
      <c r="T18" s="667"/>
      <c r="U18" s="668"/>
      <c r="V18" s="667"/>
      <c r="W18" s="668"/>
      <c r="X18" s="1265"/>
      <c r="Y18" s="343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41"/>
      <c r="Q20" s="1263"/>
      <c r="R20" s="667"/>
      <c r="S20" s="668"/>
      <c r="T20" s="667"/>
      <c r="U20" s="668"/>
      <c r="V20" s="667"/>
      <c r="W20" s="668"/>
      <c r="X20" s="1265"/>
      <c r="Y20" s="343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41"/>
      <c r="Q22" s="1263"/>
      <c r="R22" s="667"/>
      <c r="S22" s="668"/>
      <c r="T22" s="667"/>
      <c r="U22" s="668"/>
      <c r="V22" s="667"/>
      <c r="W22" s="668"/>
      <c r="X22" s="1265"/>
      <c r="Y22" s="343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受贵公司委托，我公司对北京市怀柔县庆春路56号房地产抵押价值进行了预评估。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估价对象为北京市怀柔县庆春路56号房地产，为北京大星发商贸有限公司所有。根据《国有土地使用证》[]，估价对象（分摊）出让国有建设用地使用权面积为895.66平方米，建筑面积为522.49平方米。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县庆春路56号房地产,属北京大星发商贸有限公司开发建设的，该项目尚在开发建设中。根据《国有土地使用证》[]，估价对象（分摊）出让国有建设用地使用权面积为895.66平方米，规划建筑面积为522.49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怀柔县庆春路56号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综合，土地取得方式为出让，出让国有建设用地使用权剩余土地使用年限为26.44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红线内场地平整条件下，剩余土地使用年限为26.44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522.49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48" t="s">
        <v>1775</v>
      </c>
      <c r="Q4" s="3449"/>
      <c r="R4" s="3443" t="s">
        <v>1771</v>
      </c>
      <c r="S4" s="3444"/>
      <c r="T4" s="3443" t="s">
        <v>1772</v>
      </c>
      <c r="U4" s="3444"/>
      <c r="V4" s="3452" t="s">
        <v>1773</v>
      </c>
      <c r="W4" s="3452"/>
      <c r="X4" s="1809"/>
      <c r="Y4" s="3443" t="s">
        <v>1775</v>
      </c>
      <c r="Z4" s="3444"/>
      <c r="AA4" s="3442" t="s">
        <v>1771</v>
      </c>
      <c r="AB4" s="3442" t="s">
        <v>1772</v>
      </c>
      <c r="AC4" s="3445" t="s">
        <v>1773</v>
      </c>
    </row>
    <row r="5" spans="1:29" ht="15">
      <c r="A5" s="348"/>
      <c r="B5" s="349"/>
      <c r="C5" s="3408" t="s">
        <v>1673</v>
      </c>
      <c r="D5" s="3409"/>
      <c r="E5" s="3406" t="s">
        <v>1674</v>
      </c>
      <c r="F5" s="3407"/>
      <c r="G5" s="3408" t="s">
        <v>1675</v>
      </c>
      <c r="H5" s="3409"/>
      <c r="I5" s="3408" t="s">
        <v>1676</v>
      </c>
      <c r="J5" s="3409"/>
      <c r="K5" s="537"/>
      <c r="L5" s="2485"/>
      <c r="M5" s="2486"/>
      <c r="N5" s="2486"/>
      <c r="O5" s="2486"/>
      <c r="P5" s="3450"/>
      <c r="Q5" s="3422"/>
      <c r="R5" s="3404"/>
      <c r="S5" s="3405"/>
      <c r="T5" s="3404"/>
      <c r="U5" s="3405"/>
      <c r="V5" s="3427"/>
      <c r="W5" s="3427"/>
      <c r="X5" s="1265"/>
      <c r="Y5" s="3404"/>
      <c r="Z5" s="3405"/>
      <c r="AA5" s="3398"/>
      <c r="AB5" s="3398"/>
      <c r="AC5" s="3446"/>
    </row>
    <row r="6" spans="1:29" ht="15.75" thickBot="1">
      <c r="A6" s="350"/>
      <c r="B6" s="351"/>
      <c r="C6" s="3410" t="s">
        <v>1677</v>
      </c>
      <c r="D6" s="3411"/>
      <c r="E6" s="3412" t="s">
        <v>1677</v>
      </c>
      <c r="F6" s="3413"/>
      <c r="G6" s="3410" t="s">
        <v>1677</v>
      </c>
      <c r="H6" s="3411"/>
      <c r="I6" s="3410" t="s">
        <v>1677</v>
      </c>
      <c r="J6" s="3411"/>
      <c r="K6" s="537" t="s">
        <v>1678</v>
      </c>
      <c r="L6" s="2485"/>
      <c r="M6" s="2486"/>
      <c r="N6" s="2486"/>
      <c r="O6" s="2486"/>
      <c r="P6" s="3451"/>
      <c r="Q6" s="3424"/>
      <c r="R6" s="3404"/>
      <c r="S6" s="3405"/>
      <c r="T6" s="3425"/>
      <c r="U6" s="3426"/>
      <c r="V6" s="3427"/>
      <c r="W6" s="3427"/>
      <c r="X6" s="1265"/>
      <c r="Y6" s="3425"/>
      <c r="Z6" s="3426"/>
      <c r="AA6" s="3399"/>
      <c r="AB6" s="3399"/>
      <c r="AC6" s="3447"/>
    </row>
    <row r="7" spans="1:29" s="102" customFormat="1" ht="15.7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401"/>
      <c r="R8" s="664" t="s">
        <v>14</v>
      </c>
      <c r="S8" s="665">
        <f t="shared" si="0"/>
        <v>100</v>
      </c>
      <c r="T8" s="664" t="s">
        <v>14</v>
      </c>
      <c r="U8" s="665">
        <f t="shared" si="1"/>
        <v>100</v>
      </c>
      <c r="V8" s="664" t="s">
        <v>14</v>
      </c>
      <c r="W8" s="665">
        <f t="shared" si="2"/>
        <v>100</v>
      </c>
      <c r="X8" s="666"/>
      <c r="Y8" s="3400" t="s">
        <v>1683</v>
      </c>
      <c r="Z8" s="340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4"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4"/>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4"/>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41"/>
      <c r="Q16" s="1263"/>
      <c r="R16" s="667"/>
      <c r="S16" s="668"/>
      <c r="T16" s="667"/>
      <c r="U16" s="668"/>
      <c r="V16" s="667"/>
      <c r="W16" s="668"/>
      <c r="X16" s="1265"/>
      <c r="Y16" s="343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41"/>
      <c r="Q18" s="1263"/>
      <c r="R18" s="667"/>
      <c r="S18" s="668"/>
      <c r="T18" s="667"/>
      <c r="U18" s="668"/>
      <c r="V18" s="667"/>
      <c r="W18" s="668"/>
      <c r="X18" s="1265"/>
      <c r="Y18" s="343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41"/>
      <c r="Q20" s="1263"/>
      <c r="R20" s="667"/>
      <c r="S20" s="668"/>
      <c r="T20" s="667"/>
      <c r="U20" s="668"/>
      <c r="V20" s="667"/>
      <c r="W20" s="668"/>
      <c r="X20" s="1265"/>
      <c r="Y20" s="343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41"/>
      <c r="Q22" s="1263"/>
      <c r="R22" s="667"/>
      <c r="S22" s="668"/>
      <c r="T22" s="667"/>
      <c r="U22" s="668"/>
      <c r="V22" s="667"/>
      <c r="W22" s="668"/>
      <c r="X22" s="1265"/>
      <c r="Y22" s="343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41"/>
      <c r="Q24" s="1263"/>
      <c r="R24" s="667"/>
      <c r="S24" s="668"/>
      <c r="T24" s="667"/>
      <c r="U24" s="668"/>
      <c r="V24" s="667"/>
      <c r="W24" s="668"/>
      <c r="X24" s="1265"/>
      <c r="Y24" s="343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41"/>
      <c r="Q26" s="1263"/>
      <c r="R26" s="667"/>
      <c r="S26" s="668"/>
      <c r="T26" s="667"/>
      <c r="U26" s="668"/>
      <c r="V26" s="667"/>
      <c r="W26" s="668"/>
      <c r="X26" s="1265"/>
      <c r="Y26" s="343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6"/>
      <c r="Q34" s="531" t="str">
        <f t="shared" si="11"/>
        <v>项目建筑规模</v>
      </c>
      <c r="R34" s="669" t="s">
        <v>14</v>
      </c>
      <c r="S34" s="670" t="e">
        <f t="shared" si="12"/>
        <v>#N/A</v>
      </c>
      <c r="T34" s="669" t="s">
        <v>14</v>
      </c>
      <c r="U34" s="670" t="e">
        <f t="shared" si="13"/>
        <v>#N/A</v>
      </c>
      <c r="V34" s="669" t="s">
        <v>14</v>
      </c>
      <c r="W34" s="670" t="e">
        <f t="shared" si="14"/>
        <v>#N/A</v>
      </c>
      <c r="X34" s="671"/>
      <c r="Y34" s="343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14" t="str">
        <f>A48</f>
        <v>成交单价（元/平方米）</v>
      </c>
      <c r="Q48" s="3432"/>
      <c r="R48" s="3427">
        <f>E48</f>
        <v>0</v>
      </c>
      <c r="S48" s="3427"/>
      <c r="T48" s="3427">
        <f>G48</f>
        <v>0</v>
      </c>
      <c r="U48" s="3427"/>
      <c r="V48" s="3427">
        <f>I48</f>
        <v>0</v>
      </c>
      <c r="W48" s="342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14" t="str">
        <f>A49</f>
        <v>比较价值（元/平方米）</v>
      </c>
      <c r="Q49" s="3432"/>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522.49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7"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5"/>
      <c r="M5" s="2486"/>
      <c r="N5" s="2486"/>
      <c r="O5" s="2486"/>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5"/>
      <c r="M6" s="2486"/>
      <c r="N6" s="2486"/>
      <c r="O6" s="2486"/>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2"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2"/>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4"/>
      <c r="Q15" s="1263"/>
      <c r="R15" s="667"/>
      <c r="S15" s="668"/>
      <c r="T15" s="667"/>
      <c r="U15" s="668"/>
      <c r="V15" s="667"/>
      <c r="W15" s="668"/>
      <c r="X15" s="1265"/>
      <c r="Y15" s="343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4"/>
      <c r="Q17" s="1263"/>
      <c r="R17" s="667"/>
      <c r="S17" s="668"/>
      <c r="T17" s="667"/>
      <c r="U17" s="668"/>
      <c r="V17" s="667"/>
      <c r="W17" s="668"/>
      <c r="X17" s="1265"/>
      <c r="Y17" s="343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4"/>
      <c r="Q19" s="1263"/>
      <c r="R19" s="667"/>
      <c r="S19" s="668"/>
      <c r="T19" s="667"/>
      <c r="U19" s="668"/>
      <c r="V19" s="667"/>
      <c r="W19" s="668"/>
      <c r="X19" s="1265"/>
      <c r="Y19" s="343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3"/>
      <c r="M37" s="2486"/>
      <c r="N37" s="2486"/>
      <c r="O37" s="2486"/>
      <c r="P37" s="3432" t="str">
        <f>A37</f>
        <v>成交单价</v>
      </c>
      <c r="Q37" s="3432"/>
      <c r="R37" s="3427">
        <f>E37</f>
        <v>0</v>
      </c>
      <c r="S37" s="3427"/>
      <c r="T37" s="3427">
        <f>G37</f>
        <v>0</v>
      </c>
      <c r="U37" s="3427"/>
      <c r="V37" s="3427">
        <f>I37</f>
        <v>0</v>
      </c>
      <c r="W37" s="342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9" t="str">
        <f>A39</f>
        <v>估价对象XX用房的比较价值（楼面单价，元/平方米）</v>
      </c>
      <c r="Q39" s="3430"/>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5"/>
      <c r="M5" s="2486"/>
      <c r="N5" s="2486"/>
      <c r="O5" s="2486"/>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5"/>
      <c r="M6" s="2486"/>
      <c r="N6" s="2486"/>
      <c r="O6" s="2486"/>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2"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2"/>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2"/>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4"/>
      <c r="Q15" s="1263"/>
      <c r="R15" s="667"/>
      <c r="S15" s="668"/>
      <c r="T15" s="667"/>
      <c r="U15" s="668"/>
      <c r="V15" s="667"/>
      <c r="W15" s="668"/>
      <c r="X15" s="1265"/>
      <c r="Y15" s="343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4"/>
      <c r="Q17" s="1263"/>
      <c r="R17" s="667"/>
      <c r="S17" s="668"/>
      <c r="T17" s="667"/>
      <c r="U17" s="668"/>
      <c r="V17" s="667"/>
      <c r="W17" s="668"/>
      <c r="X17" s="1265"/>
      <c r="Y17" s="343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4"/>
      <c r="Q19" s="1263"/>
      <c r="R19" s="667"/>
      <c r="S19" s="668"/>
      <c r="T19" s="667"/>
      <c r="U19" s="668"/>
      <c r="V19" s="667"/>
      <c r="W19" s="668"/>
      <c r="X19" s="1265"/>
      <c r="Y19" s="343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9" t="str">
        <f>A37</f>
        <v>估价对象XX用房的比较价值（楼面单价，元/平方米）</v>
      </c>
      <c r="Q37" s="3430"/>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5"/>
      <c r="M5" s="2486"/>
      <c r="N5" s="2486"/>
      <c r="O5" s="2486"/>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5"/>
      <c r="M6" s="2486"/>
      <c r="N6" s="2486"/>
      <c r="O6" s="2486"/>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8"/>
      <c r="M10" s="2489"/>
      <c r="N10" s="2489"/>
      <c r="O10" s="2540"/>
      <c r="P10" s="3432"/>
      <c r="Q10" s="530" t="str">
        <f t="shared" si="6"/>
        <v>土地使用年限（年）</v>
      </c>
      <c r="R10" s="664" t="s">
        <v>14</v>
      </c>
      <c r="S10" s="665">
        <f t="shared" si="0"/>
        <v>126</v>
      </c>
      <c r="T10" s="664" t="s">
        <v>14</v>
      </c>
      <c r="U10" s="665">
        <f t="shared" si="1"/>
        <v>126</v>
      </c>
      <c r="V10" s="664" t="s">
        <v>14</v>
      </c>
      <c r="W10" s="665">
        <f t="shared" si="2"/>
        <v>126</v>
      </c>
      <c r="X10" s="666"/>
      <c r="Y10" s="3325"/>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2"/>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2"/>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4"/>
      <c r="Q16" s="1263"/>
      <c r="R16" s="667"/>
      <c r="S16" s="668"/>
      <c r="T16" s="667"/>
      <c r="U16" s="668"/>
      <c r="V16" s="667"/>
      <c r="W16" s="668"/>
      <c r="X16" s="1265"/>
      <c r="Y16" s="343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4"/>
      <c r="Q18" s="1263"/>
      <c r="R18" s="667"/>
      <c r="S18" s="668"/>
      <c r="T18" s="667"/>
      <c r="U18" s="668"/>
      <c r="V18" s="667"/>
      <c r="W18" s="668"/>
      <c r="X18" s="1265"/>
      <c r="Y18" s="343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4"/>
      <c r="Q20" s="1263"/>
      <c r="R20" s="667"/>
      <c r="S20" s="668"/>
      <c r="T20" s="667"/>
      <c r="U20" s="668"/>
      <c r="V20" s="667"/>
      <c r="W20" s="668"/>
      <c r="X20" s="1265"/>
      <c r="Y20" s="343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4"/>
      <c r="Q22" s="1263"/>
      <c r="R22" s="667"/>
      <c r="S22" s="668"/>
      <c r="T22" s="667"/>
      <c r="U22" s="668"/>
      <c r="V22" s="667"/>
      <c r="W22" s="668"/>
      <c r="X22" s="1265"/>
      <c r="Y22" s="343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4"/>
      <c r="Q24" s="1263"/>
      <c r="R24" s="667"/>
      <c r="S24" s="668"/>
      <c r="T24" s="667"/>
      <c r="U24" s="668"/>
      <c r="V24" s="667"/>
      <c r="W24" s="668"/>
      <c r="X24" s="1265"/>
      <c r="Y24" s="343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4"/>
      <c r="Q26" s="1263"/>
      <c r="R26" s="667"/>
      <c r="S26" s="668"/>
      <c r="T26" s="667"/>
      <c r="U26" s="668"/>
      <c r="V26" s="667"/>
      <c r="W26" s="668"/>
      <c r="X26" s="1265"/>
      <c r="Y26" s="343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4"/>
      <c r="Q28" s="530"/>
      <c r="R28" s="664"/>
      <c r="S28" s="665"/>
      <c r="T28" s="664"/>
      <c r="U28" s="665"/>
      <c r="V28" s="664"/>
      <c r="W28" s="665"/>
      <c r="X28" s="666"/>
      <c r="Y28" s="343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7"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32" t="str">
        <f>A46</f>
        <v>成交单价</v>
      </c>
      <c r="Q46" s="3432"/>
      <c r="R46" s="3427">
        <f>E46</f>
        <v>0</v>
      </c>
      <c r="S46" s="3427"/>
      <c r="T46" s="3427">
        <f>G46</f>
        <v>0</v>
      </c>
      <c r="U46" s="3427"/>
      <c r="V46" s="3427">
        <f>I46</f>
        <v>0</v>
      </c>
      <c r="W46" s="342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32" t="str">
        <f>A47</f>
        <v>比较价值（元/平方米）</v>
      </c>
      <c r="Q47" s="3432"/>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9" t="str">
        <f>A48</f>
        <v>估价对象XX用房的比较价值（楼面单价，元/平方米）</v>
      </c>
      <c r="Q48" s="3430"/>
      <c r="R48" s="3460" t="e">
        <f>ROUND(IF(D47="简单平均",AVERAGE(R47:W47),R47*F47+T47*H47+V47*J47),0)</f>
        <v>#DIV/0!</v>
      </c>
      <c r="S48" s="3460"/>
      <c r="T48" s="3460"/>
      <c r="U48" s="3460"/>
      <c r="V48" s="3460"/>
      <c r="W48" s="346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5" t="s">
        <v>1887</v>
      </c>
      <c r="H55" s="346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522.49</v>
      </c>
      <c r="F56" s="833" t="e">
        <f t="shared" ref="F56:F64" si="15">ROUND(B56*E56/10000,0)</f>
        <v>#DIV/0!</v>
      </c>
      <c r="G56" s="3414"/>
      <c r="H56" s="343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522.49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5"/>
      <c r="M4" s="2486"/>
      <c r="N4" s="2486"/>
      <c r="O4" s="2486"/>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5"/>
      <c r="M5" s="2486"/>
      <c r="N5" s="2486"/>
      <c r="O5" s="2486"/>
      <c r="P5" s="3421"/>
      <c r="Q5" s="3422"/>
      <c r="R5" s="3404"/>
      <c r="S5" s="3405"/>
      <c r="T5" s="3404"/>
      <c r="U5" s="3405"/>
      <c r="V5" s="3427"/>
      <c r="W5" s="3427"/>
      <c r="X5" s="1265"/>
      <c r="Y5" s="3404"/>
      <c r="Z5" s="3405"/>
      <c r="AA5" s="3398"/>
      <c r="AB5" s="3398"/>
      <c r="AC5" s="3398"/>
    </row>
    <row r="6" spans="1:29" ht="15.75" thickBot="1">
      <c r="A6" s="350"/>
      <c r="B6" s="351"/>
      <c r="C6" s="3462" t="s">
        <v>1919</v>
      </c>
      <c r="D6" s="3463"/>
      <c r="E6" s="3464" t="s">
        <v>1919</v>
      </c>
      <c r="F6" s="3465"/>
      <c r="G6" s="3462" t="s">
        <v>1919</v>
      </c>
      <c r="H6" s="3463"/>
      <c r="I6" s="3462" t="s">
        <v>1919</v>
      </c>
      <c r="J6" s="3463"/>
      <c r="K6" s="537" t="s">
        <v>1678</v>
      </c>
      <c r="L6" s="2485"/>
      <c r="M6" s="2486"/>
      <c r="N6" s="2486"/>
      <c r="O6" s="2486"/>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45600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2"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8"/>
      <c r="M10" s="2489"/>
      <c r="N10" s="2489"/>
      <c r="O10" s="2540"/>
      <c r="P10" s="3432"/>
      <c r="Q10" s="530" t="str">
        <f t="shared" si="6"/>
        <v>土地使用年限（年）</v>
      </c>
      <c r="R10" s="664" t="s">
        <v>14</v>
      </c>
      <c r="S10" s="665">
        <f t="shared" si="0"/>
        <v>126</v>
      </c>
      <c r="T10" s="664" t="s">
        <v>14</v>
      </c>
      <c r="U10" s="665">
        <f t="shared" si="1"/>
        <v>126</v>
      </c>
      <c r="V10" s="664" t="s">
        <v>14</v>
      </c>
      <c r="W10" s="665">
        <f t="shared" si="2"/>
        <v>126</v>
      </c>
      <c r="X10" s="666"/>
      <c r="Y10" s="3325"/>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2"/>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2"/>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2"/>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2"/>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4"/>
      <c r="Q16" s="1263"/>
      <c r="R16" s="667"/>
      <c r="S16" s="668"/>
      <c r="T16" s="667"/>
      <c r="U16" s="668"/>
      <c r="V16" s="667"/>
      <c r="W16" s="668"/>
      <c r="X16" s="1265"/>
      <c r="Y16" s="343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4"/>
      <c r="Q18" s="1263"/>
      <c r="R18" s="667"/>
      <c r="S18" s="668"/>
      <c r="T18" s="667"/>
      <c r="U18" s="668"/>
      <c r="V18" s="667"/>
      <c r="W18" s="668"/>
      <c r="X18" s="1265"/>
      <c r="Y18" s="343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4"/>
      <c r="Q20" s="1263"/>
      <c r="R20" s="667"/>
      <c r="S20" s="668"/>
      <c r="T20" s="667"/>
      <c r="U20" s="668"/>
      <c r="V20" s="667"/>
      <c r="W20" s="668"/>
      <c r="X20" s="1265"/>
      <c r="Y20" s="343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4"/>
      <c r="Q22" s="1263"/>
      <c r="R22" s="667"/>
      <c r="S22" s="668"/>
      <c r="T22" s="667"/>
      <c r="U22" s="668"/>
      <c r="V22" s="667"/>
      <c r="W22" s="668"/>
      <c r="X22" s="1265"/>
      <c r="Y22" s="343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4"/>
      <c r="Q24" s="530"/>
      <c r="R24" s="664"/>
      <c r="S24" s="665"/>
      <c r="T24" s="664"/>
      <c r="U24" s="665"/>
      <c r="V24" s="664"/>
      <c r="W24" s="665"/>
      <c r="X24" s="666"/>
      <c r="Y24" s="343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7"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32" t="str">
        <f>A41</f>
        <v>成交单价</v>
      </c>
      <c r="Q41" s="3432"/>
      <c r="R41" s="3427">
        <f>E41</f>
        <v>0</v>
      </c>
      <c r="S41" s="3427"/>
      <c r="T41" s="3427">
        <f>G41</f>
        <v>0</v>
      </c>
      <c r="U41" s="3427"/>
      <c r="V41" s="3427">
        <f>I41</f>
        <v>0</v>
      </c>
      <c r="W41" s="342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32" t="str">
        <f>A42</f>
        <v>比较价值（元/平方米）</v>
      </c>
      <c r="Q42" s="3432"/>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9" t="str">
        <f>A43</f>
        <v>估价对象XX用房的比较价值（楼面单价，元/平方米）</v>
      </c>
      <c r="Q43" s="3430"/>
      <c r="R43" s="3460" t="e">
        <f>ROUND(IF(D42="简单平均",AVERAGE(R42:W42),R42*F42+T42*H42+V42*J42),0)</f>
        <v>#DIV/0!</v>
      </c>
      <c r="S43" s="3460"/>
      <c r="T43" s="3460"/>
      <c r="U43" s="3460"/>
      <c r="V43" s="3460"/>
      <c r="W43" s="346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15" t="s">
        <v>1887</v>
      </c>
      <c r="H50" s="346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522.49</v>
      </c>
      <c r="F51" s="611" t="e">
        <f t="shared" ref="F51:F60" si="15">ROUND(B51*E51/10000,0)</f>
        <v>#DIV/0!</v>
      </c>
      <c r="G51" s="3414"/>
      <c r="H51" s="343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895.66</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9" t="s">
        <v>2084</v>
      </c>
      <c r="D1" s="3470"/>
      <c r="E1" s="3470"/>
      <c r="F1" s="3470"/>
      <c r="G1" s="3470"/>
      <c r="H1" s="3470"/>
      <c r="I1" s="3470"/>
      <c r="J1" s="3470"/>
      <c r="K1" s="3470"/>
      <c r="L1" s="3470"/>
      <c r="M1" s="3470"/>
      <c r="N1" s="3470"/>
      <c r="O1" s="3470"/>
      <c r="P1" s="3470"/>
      <c r="Q1" s="3470"/>
      <c r="R1" s="3470"/>
      <c r="S1" s="347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7">
        <f ca="1">SUMIF(B6:B13,"&lt;&gt;#ref!",B6:B13)</f>
        <v>691</v>
      </c>
      <c r="C2" s="1984" t="s">
        <v>2074</v>
      </c>
      <c r="D2" s="1984" t="s">
        <v>2075</v>
      </c>
      <c r="E2" s="2397">
        <f ca="1">SUMIF(E6:E13,"&lt;&gt;#ref!",E6:E13)</f>
        <v>895.66</v>
      </c>
      <c r="F2" s="2543"/>
      <c r="G2" s="2543"/>
      <c r="H2" s="2543"/>
      <c r="I2" s="2543"/>
      <c r="J2" s="2543"/>
      <c r="K2" s="2543"/>
      <c r="L2" s="2543"/>
      <c r="M2" s="2543"/>
      <c r="N2" s="2543"/>
      <c r="O2" s="2543"/>
      <c r="P2" s="2543"/>
    </row>
    <row r="3" spans="1:16" ht="15.75">
      <c r="A3" s="1984" t="s">
        <v>2076</v>
      </c>
      <c r="B3" s="2387">
        <f ca="1">ROUND(B2*10000/E2,0)</f>
        <v>7715</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5"/>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691</v>
      </c>
      <c r="C6" s="1984" t="s">
        <v>2074</v>
      </c>
      <c r="D6" s="2543"/>
      <c r="E6" s="2397">
        <f ca="1">SUMIF(INDIRECT("'"&amp;A6&amp;"'"&amp;"!C:C"),"建筑面积",INDIRECT("'"&amp;A6&amp;"'"&amp;"!D:D"))</f>
        <v>895.66</v>
      </c>
      <c r="F6" s="2543"/>
      <c r="G6" s="2543"/>
      <c r="H6" s="2543"/>
      <c r="I6" s="2543"/>
      <c r="J6" s="2543"/>
      <c r="K6" s="2543"/>
      <c r="L6" s="2543"/>
      <c r="M6" s="2543"/>
      <c r="N6" s="2543"/>
      <c r="O6" s="2543"/>
      <c r="P6" s="2543"/>
    </row>
    <row r="7" spans="1:16" ht="15.7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79" t="s">
        <v>2609</v>
      </c>
      <c r="B20" s="3472" t="s">
        <v>2630</v>
      </c>
      <c r="C20" s="2841" t="s">
        <v>2441</v>
      </c>
      <c r="D20" s="2842"/>
      <c r="E20" s="2843">
        <v>1</v>
      </c>
      <c r="F20" s="2844" t="s">
        <v>2442</v>
      </c>
      <c r="G20" s="2844"/>
    </row>
    <row r="21" spans="1:13" ht="19.5" customHeight="1">
      <c r="A21" s="3480"/>
      <c r="B21" s="3473"/>
      <c r="C21" s="2845" t="s">
        <v>2443</v>
      </c>
      <c r="D21" s="2846"/>
      <c r="E21" s="2847">
        <v>1</v>
      </c>
      <c r="F21" s="2844" t="s">
        <v>2444</v>
      </c>
      <c r="G21" s="2844"/>
    </row>
    <row r="22" spans="1:13" ht="19.5" customHeight="1">
      <c r="A22" s="3480"/>
      <c r="B22" s="3473"/>
      <c r="C22" s="2845" t="s">
        <v>2445</v>
      </c>
      <c r="D22" s="2846"/>
      <c r="E22" s="2847">
        <v>0.9</v>
      </c>
      <c r="F22" s="2844" t="s">
        <v>2446</v>
      </c>
      <c r="G22" s="2844"/>
    </row>
    <row r="23" spans="1:13" ht="19.5" customHeight="1">
      <c r="A23" s="3480"/>
      <c r="B23" s="3473"/>
      <c r="C23" s="2845" t="s">
        <v>2447</v>
      </c>
      <c r="D23" s="2846"/>
      <c r="E23" s="2847">
        <v>0.9</v>
      </c>
      <c r="F23" s="2844" t="s">
        <v>2448</v>
      </c>
      <c r="G23" s="2844"/>
    </row>
    <row r="24" spans="1:13" ht="19.5" customHeight="1">
      <c r="A24" s="3480"/>
      <c r="B24" s="3473"/>
      <c r="C24" s="2845" t="s">
        <v>2449</v>
      </c>
      <c r="D24" s="2846"/>
      <c r="E24" s="2847">
        <v>0.8</v>
      </c>
      <c r="F24" s="2844" t="s">
        <v>2450</v>
      </c>
      <c r="G24" s="2844"/>
    </row>
    <row r="25" spans="1:13" ht="19.5" customHeight="1" thickBot="1">
      <c r="A25" s="3481"/>
      <c r="B25" s="3474"/>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75" t="s">
        <v>2633</v>
      </c>
      <c r="B27" s="3472" t="s">
        <v>2614</v>
      </c>
      <c r="C27" s="2841" t="s">
        <v>2454</v>
      </c>
      <c r="D27" s="2842"/>
      <c r="E27" s="2843">
        <v>1</v>
      </c>
      <c r="F27" s="2844" t="s">
        <v>2455</v>
      </c>
      <c r="G27" s="2844"/>
    </row>
    <row r="28" spans="1:13" ht="19.5" customHeight="1">
      <c r="A28" s="3476"/>
      <c r="B28" s="3473"/>
      <c r="C28" s="2845" t="s">
        <v>2456</v>
      </c>
      <c r="D28" s="2846"/>
      <c r="E28" s="2847">
        <v>1</v>
      </c>
      <c r="F28" s="2844" t="s">
        <v>2457</v>
      </c>
      <c r="G28" s="2844"/>
    </row>
    <row r="29" spans="1:13" ht="19.5" customHeight="1">
      <c r="A29" s="3476"/>
      <c r="B29" s="3473"/>
      <c r="C29" s="2845" t="s">
        <v>2458</v>
      </c>
      <c r="D29" s="2846"/>
      <c r="E29" s="2847">
        <v>0.8</v>
      </c>
      <c r="F29" s="2844" t="s">
        <v>2459</v>
      </c>
      <c r="G29" s="2844"/>
    </row>
    <row r="30" spans="1:13" ht="19.5" customHeight="1">
      <c r="A30" s="3476"/>
      <c r="B30" s="3473"/>
      <c r="C30" s="2845" t="s">
        <v>2460</v>
      </c>
      <c r="D30" s="2846"/>
      <c r="E30" s="2847">
        <v>0.8</v>
      </c>
      <c r="F30" s="2844" t="s">
        <v>2461</v>
      </c>
      <c r="G30" s="2844"/>
    </row>
    <row r="31" spans="1:13" ht="19.5" customHeight="1">
      <c r="A31" s="3476"/>
      <c r="B31" s="3473"/>
      <c r="C31" s="2845" t="s">
        <v>2462</v>
      </c>
      <c r="D31" s="2846"/>
      <c r="E31" s="2847">
        <v>0.8</v>
      </c>
      <c r="F31" s="2844" t="s">
        <v>2463</v>
      </c>
      <c r="G31" s="2844"/>
    </row>
    <row r="32" spans="1:13" ht="19.5" customHeight="1">
      <c r="A32" s="3476"/>
      <c r="B32" s="3473"/>
      <c r="C32" s="2845" t="s">
        <v>2464</v>
      </c>
      <c r="D32" s="2846"/>
      <c r="E32" s="2847">
        <v>0.7</v>
      </c>
      <c r="F32" s="2844" t="s">
        <v>2465</v>
      </c>
      <c r="G32" s="2844"/>
    </row>
    <row r="33" spans="1:7" ht="19.5" customHeight="1">
      <c r="A33" s="3476"/>
      <c r="B33" s="3473"/>
      <c r="C33" s="2845" t="s">
        <v>2466</v>
      </c>
      <c r="D33" s="2846"/>
      <c r="E33" s="2847">
        <v>0.8</v>
      </c>
      <c r="F33" s="2844" t="s">
        <v>2467</v>
      </c>
      <c r="G33" s="2844"/>
    </row>
    <row r="34" spans="1:7" ht="19.5" customHeight="1">
      <c r="A34" s="3476"/>
      <c r="B34" s="3473"/>
      <c r="C34" s="2845" t="s">
        <v>2468</v>
      </c>
      <c r="D34" s="2846"/>
      <c r="E34" s="2847">
        <v>0.6</v>
      </c>
      <c r="F34" s="2844" t="s">
        <v>2469</v>
      </c>
      <c r="G34" s="2844"/>
    </row>
    <row r="35" spans="1:7" ht="19.5" customHeight="1">
      <c r="A35" s="3476"/>
      <c r="B35" s="3473"/>
      <c r="C35" s="2845" t="s">
        <v>2470</v>
      </c>
      <c r="D35" s="2846"/>
      <c r="E35" s="2847">
        <v>0.2</v>
      </c>
      <c r="F35" s="2844" t="s">
        <v>2471</v>
      </c>
      <c r="G35" s="2844"/>
    </row>
    <row r="36" spans="1:7" ht="19.5" customHeight="1">
      <c r="A36" s="3476"/>
      <c r="B36" s="3473"/>
      <c r="C36" s="2845" t="s">
        <v>2472</v>
      </c>
      <c r="D36" s="2846"/>
      <c r="E36" s="2847">
        <v>0.2</v>
      </c>
      <c r="F36" s="2844" t="s">
        <v>2473</v>
      </c>
      <c r="G36" s="2844"/>
    </row>
    <row r="37" spans="1:7" ht="19.5" customHeight="1">
      <c r="A37" s="3476"/>
      <c r="B37" s="3478" t="s">
        <v>2634</v>
      </c>
      <c r="C37" s="2845" t="s">
        <v>2474</v>
      </c>
      <c r="D37" s="2846"/>
      <c r="E37" s="2847">
        <v>0.6</v>
      </c>
      <c r="F37" s="2844" t="s">
        <v>2475</v>
      </c>
      <c r="G37" s="2844"/>
    </row>
    <row r="38" spans="1:7" ht="19.5" customHeight="1">
      <c r="A38" s="3476"/>
      <c r="B38" s="3473"/>
      <c r="C38" s="2845" t="s">
        <v>2476</v>
      </c>
      <c r="D38" s="2846"/>
      <c r="E38" s="2847">
        <v>0.6</v>
      </c>
      <c r="F38" s="2844" t="s">
        <v>2477</v>
      </c>
      <c r="G38" s="2844"/>
    </row>
    <row r="39" spans="1:7" ht="19.5" customHeight="1" thickBot="1">
      <c r="A39" s="3477"/>
      <c r="B39" s="3474"/>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79" t="s">
        <v>2612</v>
      </c>
      <c r="B41" s="3472" t="s">
        <v>2636</v>
      </c>
      <c r="C41" s="2841" t="s">
        <v>2481</v>
      </c>
      <c r="D41" s="2842"/>
      <c r="E41" s="2843">
        <v>1</v>
      </c>
      <c r="F41" s="2844" t="s">
        <v>2482</v>
      </c>
      <c r="G41" s="2844"/>
    </row>
    <row r="42" spans="1:7" ht="19.5" customHeight="1">
      <c r="A42" s="3480"/>
      <c r="B42" s="3473"/>
      <c r="C42" s="2845" t="s">
        <v>2483</v>
      </c>
      <c r="D42" s="2846"/>
      <c r="E42" s="2847">
        <v>1</v>
      </c>
      <c r="F42" s="2844" t="s">
        <v>2484</v>
      </c>
      <c r="G42" s="2844"/>
    </row>
    <row r="43" spans="1:7" ht="19.5" customHeight="1">
      <c r="A43" s="3480"/>
      <c r="B43" s="3482"/>
      <c r="C43" s="2845" t="s">
        <v>2485</v>
      </c>
      <c r="D43" s="2846"/>
      <c r="E43" s="2847">
        <v>1.5</v>
      </c>
      <c r="F43" s="2844" t="s">
        <v>2486</v>
      </c>
      <c r="G43" s="2844"/>
    </row>
    <row r="44" spans="1:7" ht="19.5" customHeight="1">
      <c r="A44" s="3480"/>
      <c r="B44" s="2856" t="s">
        <v>2637</v>
      </c>
      <c r="C44" s="2845" t="s">
        <v>2638</v>
      </c>
      <c r="D44" s="2846"/>
      <c r="E44" s="2847">
        <v>2</v>
      </c>
      <c r="F44" s="2844" t="s">
        <v>2487</v>
      </c>
      <c r="G44" s="2844"/>
    </row>
    <row r="45" spans="1:7" ht="19.5" customHeight="1">
      <c r="A45" s="3480"/>
      <c r="B45" s="3478" t="s">
        <v>2639</v>
      </c>
      <c r="C45" s="2845" t="s">
        <v>2488</v>
      </c>
      <c r="D45" s="2846"/>
      <c r="E45" s="2847">
        <v>1</v>
      </c>
      <c r="F45" s="2844" t="s">
        <v>2489</v>
      </c>
      <c r="G45" s="2844"/>
    </row>
    <row r="46" spans="1:7" ht="19.5" customHeight="1">
      <c r="A46" s="3480"/>
      <c r="B46" s="3473"/>
      <c r="C46" s="2845" t="s">
        <v>2490</v>
      </c>
      <c r="D46" s="2846"/>
      <c r="E46" s="2847">
        <v>1</v>
      </c>
      <c r="F46" s="2844" t="s">
        <v>2491</v>
      </c>
      <c r="G46" s="2844"/>
    </row>
    <row r="47" spans="1:7" ht="19.5" customHeight="1">
      <c r="A47" s="3480"/>
      <c r="B47" s="3473"/>
      <c r="C47" s="2845" t="s">
        <v>2492</v>
      </c>
      <c r="D47" s="2846"/>
      <c r="E47" s="2847">
        <v>1</v>
      </c>
      <c r="F47" s="2844" t="s">
        <v>2493</v>
      </c>
      <c r="G47" s="2844"/>
    </row>
    <row r="48" spans="1:7" ht="19.5" customHeight="1">
      <c r="A48" s="3480"/>
      <c r="B48" s="3473"/>
      <c r="C48" s="2845" t="s">
        <v>2494</v>
      </c>
      <c r="D48" s="2846"/>
      <c r="E48" s="2847">
        <v>1</v>
      </c>
      <c r="F48" s="2844" t="s">
        <v>2495</v>
      </c>
      <c r="G48" s="2844"/>
    </row>
    <row r="49" spans="1:7" ht="19.5" customHeight="1">
      <c r="A49" s="3480"/>
      <c r="B49" s="3473"/>
      <c r="C49" s="2845" t="s">
        <v>2496</v>
      </c>
      <c r="D49" s="2846"/>
      <c r="E49" s="2847">
        <v>1</v>
      </c>
      <c r="F49" s="2844" t="s">
        <v>2497</v>
      </c>
      <c r="G49" s="2844"/>
    </row>
    <row r="50" spans="1:7" ht="19.5" customHeight="1">
      <c r="A50" s="3480"/>
      <c r="B50" s="3473"/>
      <c r="C50" s="2845" t="s">
        <v>2498</v>
      </c>
      <c r="D50" s="2846"/>
      <c r="E50" s="2847">
        <v>1</v>
      </c>
      <c r="F50" s="2844" t="s">
        <v>2499</v>
      </c>
      <c r="G50" s="2844"/>
    </row>
    <row r="51" spans="1:7" ht="19.5" customHeight="1" thickBot="1">
      <c r="A51" s="3481"/>
      <c r="B51" s="3474"/>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78" t="s">
        <v>2653</v>
      </c>
      <c r="C73" s="2830" t="s">
        <v>2654</v>
      </c>
      <c r="D73" s="2830" t="s">
        <v>2655</v>
      </c>
      <c r="E73" s="2856">
        <v>0.2</v>
      </c>
      <c r="F73" s="2856">
        <v>25</v>
      </c>
    </row>
    <row r="74" spans="1:7" ht="24">
      <c r="A74" s="2856">
        <v>2</v>
      </c>
      <c r="B74" s="3473"/>
      <c r="C74" s="2830" t="s">
        <v>2656</v>
      </c>
      <c r="D74" s="2830" t="s">
        <v>2657</v>
      </c>
      <c r="E74" s="2856">
        <v>0.2</v>
      </c>
      <c r="F74" s="2856">
        <v>25</v>
      </c>
    </row>
    <row r="75" spans="1:7" ht="24">
      <c r="A75" s="2856">
        <v>3</v>
      </c>
      <c r="B75" s="3473"/>
      <c r="C75" s="2830" t="s">
        <v>2658</v>
      </c>
      <c r="D75" s="2830" t="s">
        <v>2659</v>
      </c>
      <c r="E75" s="2856">
        <v>0.2</v>
      </c>
      <c r="F75" s="2856">
        <v>25</v>
      </c>
    </row>
    <row r="76" spans="1:7" ht="13.5">
      <c r="A76" s="2856">
        <v>4</v>
      </c>
      <c r="B76" s="3473"/>
      <c r="C76" s="2830" t="s">
        <v>2660</v>
      </c>
      <c r="D76" s="2830" t="s">
        <v>2661</v>
      </c>
      <c r="E76" s="2856">
        <v>0.15</v>
      </c>
      <c r="F76" s="2856">
        <v>20</v>
      </c>
    </row>
    <row r="77" spans="1:7" ht="24">
      <c r="A77" s="2856">
        <v>5</v>
      </c>
      <c r="B77" s="3473"/>
      <c r="C77" s="2830" t="s">
        <v>2662</v>
      </c>
      <c r="D77" s="2830" t="s">
        <v>2663</v>
      </c>
      <c r="E77" s="2856">
        <v>0.15</v>
      </c>
      <c r="F77" s="2856">
        <v>20</v>
      </c>
    </row>
    <row r="78" spans="1:7" ht="24">
      <c r="A78" s="2856">
        <v>6</v>
      </c>
      <c r="B78" s="3473"/>
      <c r="C78" s="2830" t="s">
        <v>2664</v>
      </c>
      <c r="D78" s="2830" t="s">
        <v>2665</v>
      </c>
      <c r="E78" s="2856">
        <v>0.15</v>
      </c>
      <c r="F78" s="2856">
        <v>20</v>
      </c>
    </row>
    <row r="79" spans="1:7" ht="24">
      <c r="A79" s="2856">
        <v>7</v>
      </c>
      <c r="B79" s="3473"/>
      <c r="C79" s="2830" t="s">
        <v>2666</v>
      </c>
      <c r="D79" s="2830" t="s">
        <v>2667</v>
      </c>
      <c r="E79" s="2856">
        <v>0.15</v>
      </c>
      <c r="F79" s="2856">
        <v>20</v>
      </c>
    </row>
    <row r="80" spans="1:7" ht="24">
      <c r="A80" s="2856">
        <v>8</v>
      </c>
      <c r="B80" s="3473"/>
      <c r="C80" s="2830" t="s">
        <v>2668</v>
      </c>
      <c r="D80" s="2830" t="s">
        <v>2669</v>
      </c>
      <c r="E80" s="2856">
        <v>0.1</v>
      </c>
      <c r="F80" s="2856">
        <v>15</v>
      </c>
    </row>
    <row r="81" spans="1:6" ht="24">
      <c r="A81" s="2856">
        <v>9</v>
      </c>
      <c r="B81" s="3473"/>
      <c r="C81" s="2830" t="s">
        <v>2670</v>
      </c>
      <c r="D81" s="2830" t="s">
        <v>2671</v>
      </c>
      <c r="E81" s="2856">
        <v>0.1</v>
      </c>
      <c r="F81" s="2856">
        <v>15</v>
      </c>
    </row>
    <row r="82" spans="1:6" ht="24">
      <c r="A82" s="2856">
        <v>10</v>
      </c>
      <c r="B82" s="3473"/>
      <c r="C82" s="2830" t="s">
        <v>2672</v>
      </c>
      <c r="D82" s="2830" t="s">
        <v>2673</v>
      </c>
      <c r="E82" s="2856">
        <v>0.1</v>
      </c>
      <c r="F82" s="2856">
        <v>15</v>
      </c>
    </row>
    <row r="83" spans="1:6" ht="24">
      <c r="A83" s="2856">
        <v>11</v>
      </c>
      <c r="B83" s="3473"/>
      <c r="C83" s="2830" t="s">
        <v>2674</v>
      </c>
      <c r="D83" s="2830" t="s">
        <v>2675</v>
      </c>
      <c r="E83" s="2856">
        <v>0.1</v>
      </c>
      <c r="F83" s="2856">
        <v>15</v>
      </c>
    </row>
    <row r="84" spans="1:6" ht="24">
      <c r="A84" s="2856">
        <v>12</v>
      </c>
      <c r="B84" s="3473"/>
      <c r="C84" s="2830" t="s">
        <v>2676</v>
      </c>
      <c r="D84" s="2830" t="s">
        <v>2677</v>
      </c>
      <c r="E84" s="2856">
        <v>0.1</v>
      </c>
      <c r="F84" s="2856">
        <v>15</v>
      </c>
    </row>
    <row r="85" spans="1:6" ht="13.5">
      <c r="A85" s="2856">
        <v>13</v>
      </c>
      <c r="B85" s="3473"/>
      <c r="C85" s="2830" t="s">
        <v>2678</v>
      </c>
      <c r="D85" s="2830" t="s">
        <v>2679</v>
      </c>
      <c r="E85" s="2856">
        <v>0.1</v>
      </c>
      <c r="F85" s="2856">
        <v>15</v>
      </c>
    </row>
    <row r="86" spans="1:6" ht="13.5">
      <c r="A86" s="2856">
        <v>14</v>
      </c>
      <c r="B86" s="3473"/>
      <c r="C86" s="2830" t="s">
        <v>2680</v>
      </c>
      <c r="D86" s="2830" t="s">
        <v>2681</v>
      </c>
      <c r="E86" s="2856">
        <v>0.1</v>
      </c>
      <c r="F86" s="2856">
        <v>15</v>
      </c>
    </row>
    <row r="87" spans="1:6" ht="13.5">
      <c r="A87" s="2856">
        <v>15</v>
      </c>
      <c r="B87" s="3473"/>
      <c r="C87" s="2830" t="s">
        <v>2682</v>
      </c>
      <c r="D87" s="2830" t="s">
        <v>2683</v>
      </c>
      <c r="E87" s="2856">
        <v>0.1</v>
      </c>
      <c r="F87" s="2856">
        <v>15</v>
      </c>
    </row>
    <row r="88" spans="1:6" ht="24">
      <c r="A88" s="2856">
        <v>16</v>
      </c>
      <c r="B88" s="3473"/>
      <c r="C88" s="2830" t="s">
        <v>2684</v>
      </c>
      <c r="D88" s="2830" t="s">
        <v>2685</v>
      </c>
      <c r="E88" s="2856">
        <v>0.1</v>
      </c>
      <c r="F88" s="2856">
        <v>15</v>
      </c>
    </row>
    <row r="89" spans="1:6" ht="24">
      <c r="A89" s="2856">
        <v>17</v>
      </c>
      <c r="B89" s="3482"/>
      <c r="C89" s="2830" t="s">
        <v>2686</v>
      </c>
      <c r="D89" s="2830" t="s">
        <v>2687</v>
      </c>
      <c r="E89" s="2856">
        <v>0.1</v>
      </c>
      <c r="F89" s="2856">
        <v>15</v>
      </c>
    </row>
    <row r="90" spans="1:6" ht="13.5">
      <c r="A90" s="2856">
        <v>18</v>
      </c>
      <c r="B90" s="3478" t="s">
        <v>2688</v>
      </c>
      <c r="C90" s="2830" t="s">
        <v>2689</v>
      </c>
      <c r="D90" s="2830" t="s">
        <v>2690</v>
      </c>
      <c r="E90" s="2856">
        <v>0.2</v>
      </c>
      <c r="F90" s="2856">
        <v>25</v>
      </c>
    </row>
    <row r="91" spans="1:6" ht="24">
      <c r="A91" s="2856">
        <v>19</v>
      </c>
      <c r="B91" s="3473"/>
      <c r="C91" s="2830" t="s">
        <v>2691</v>
      </c>
      <c r="D91" s="2830" t="s">
        <v>2692</v>
      </c>
      <c r="E91" s="2856">
        <v>0.2</v>
      </c>
      <c r="F91" s="2856">
        <v>25</v>
      </c>
    </row>
    <row r="92" spans="1:6" ht="13.5">
      <c r="A92" s="2856">
        <v>20</v>
      </c>
      <c r="B92" s="3473"/>
      <c r="C92" s="2830" t="s">
        <v>2693</v>
      </c>
      <c r="D92" s="2830" t="s">
        <v>2694</v>
      </c>
      <c r="E92" s="2856">
        <v>0.15</v>
      </c>
      <c r="F92" s="2856">
        <v>20</v>
      </c>
    </row>
    <row r="93" spans="1:6" ht="13.5">
      <c r="A93" s="2856">
        <v>21</v>
      </c>
      <c r="B93" s="3473"/>
      <c r="C93" s="2830" t="s">
        <v>2695</v>
      </c>
      <c r="D93" s="2830" t="s">
        <v>2696</v>
      </c>
      <c r="E93" s="2856">
        <v>0.15</v>
      </c>
      <c r="F93" s="2856">
        <v>20</v>
      </c>
    </row>
    <row r="94" spans="1:6" ht="13.5">
      <c r="A94" s="2856">
        <v>22</v>
      </c>
      <c r="B94" s="3473"/>
      <c r="C94" s="2830" t="s">
        <v>2697</v>
      </c>
      <c r="D94" s="2830" t="s">
        <v>2698</v>
      </c>
      <c r="E94" s="2856">
        <v>0.15</v>
      </c>
      <c r="F94" s="2856">
        <v>20</v>
      </c>
    </row>
    <row r="95" spans="1:6" ht="36">
      <c r="A95" s="2856">
        <v>23</v>
      </c>
      <c r="B95" s="3473"/>
      <c r="C95" s="2830" t="s">
        <v>2699</v>
      </c>
      <c r="D95" s="2830" t="s">
        <v>2700</v>
      </c>
      <c r="E95" s="2856">
        <v>0.15</v>
      </c>
      <c r="F95" s="2856">
        <v>20</v>
      </c>
    </row>
    <row r="96" spans="1:6" ht="13.5">
      <c r="A96" s="2856">
        <v>24</v>
      </c>
      <c r="B96" s="3473"/>
      <c r="C96" s="2830" t="s">
        <v>2701</v>
      </c>
      <c r="D96" s="2830" t="s">
        <v>2702</v>
      </c>
      <c r="E96" s="2856">
        <v>0.1</v>
      </c>
      <c r="F96" s="2856">
        <v>15</v>
      </c>
    </row>
    <row r="97" spans="1:6" ht="13.5">
      <c r="A97" s="2856">
        <v>25</v>
      </c>
      <c r="B97" s="3473"/>
      <c r="C97" s="2830" t="s">
        <v>2703</v>
      </c>
      <c r="D97" s="2830" t="s">
        <v>2704</v>
      </c>
      <c r="E97" s="2856">
        <v>0.1</v>
      </c>
      <c r="F97" s="2856">
        <v>15</v>
      </c>
    </row>
    <row r="98" spans="1:6" ht="24">
      <c r="A98" s="2856">
        <v>26</v>
      </c>
      <c r="B98" s="3473"/>
      <c r="C98" s="2830" t="s">
        <v>2705</v>
      </c>
      <c r="D98" s="2830" t="s">
        <v>2706</v>
      </c>
      <c r="E98" s="2856">
        <v>0.1</v>
      </c>
      <c r="F98" s="2856">
        <v>15</v>
      </c>
    </row>
    <row r="99" spans="1:6" ht="24">
      <c r="A99" s="2856">
        <v>27</v>
      </c>
      <c r="B99" s="3473"/>
      <c r="C99" s="2830" t="s">
        <v>2707</v>
      </c>
      <c r="D99" s="2830" t="s">
        <v>2708</v>
      </c>
      <c r="E99" s="2856">
        <v>0.1</v>
      </c>
      <c r="F99" s="2856">
        <v>15</v>
      </c>
    </row>
    <row r="100" spans="1:6" ht="13.5">
      <c r="A100" s="2856">
        <v>28</v>
      </c>
      <c r="B100" s="3473"/>
      <c r="C100" s="2830" t="s">
        <v>2709</v>
      </c>
      <c r="D100" s="2830" t="s">
        <v>2710</v>
      </c>
      <c r="E100" s="2856">
        <v>0.1</v>
      </c>
      <c r="F100" s="2856">
        <v>15</v>
      </c>
    </row>
    <row r="101" spans="1:6" ht="13.5">
      <c r="A101" s="2856">
        <v>29</v>
      </c>
      <c r="B101" s="3473"/>
      <c r="C101" s="2830" t="s">
        <v>2711</v>
      </c>
      <c r="D101" s="2830" t="s">
        <v>2712</v>
      </c>
      <c r="E101" s="2856">
        <v>0.1</v>
      </c>
      <c r="F101" s="2856">
        <v>15</v>
      </c>
    </row>
    <row r="102" spans="1:6" ht="13.5">
      <c r="A102" s="2856">
        <v>30</v>
      </c>
      <c r="B102" s="3473"/>
      <c r="C102" s="2830" t="s">
        <v>2713</v>
      </c>
      <c r="D102" s="2830" t="s">
        <v>2714</v>
      </c>
      <c r="E102" s="2856">
        <v>0.1</v>
      </c>
      <c r="F102" s="2856">
        <v>15</v>
      </c>
    </row>
    <row r="103" spans="1:6" ht="24">
      <c r="A103" s="2856">
        <v>31</v>
      </c>
      <c r="B103" s="3473"/>
      <c r="C103" s="2830" t="s">
        <v>2715</v>
      </c>
      <c r="D103" s="2830" t="s">
        <v>2716</v>
      </c>
      <c r="E103" s="2856">
        <v>0.1</v>
      </c>
      <c r="F103" s="2856">
        <v>15</v>
      </c>
    </row>
    <row r="104" spans="1:6" ht="24">
      <c r="A104" s="2856">
        <v>32</v>
      </c>
      <c r="B104" s="3473"/>
      <c r="C104" s="2830" t="s">
        <v>2717</v>
      </c>
      <c r="D104" s="2830" t="s">
        <v>2718</v>
      </c>
      <c r="E104" s="2856">
        <v>0.1</v>
      </c>
      <c r="F104" s="2856">
        <v>15</v>
      </c>
    </row>
    <row r="105" spans="1:6" ht="24">
      <c r="A105" s="2856">
        <v>33</v>
      </c>
      <c r="B105" s="3473"/>
      <c r="C105" s="2830" t="s">
        <v>2719</v>
      </c>
      <c r="D105" s="2830" t="s">
        <v>2720</v>
      </c>
      <c r="E105" s="2856">
        <v>0.1</v>
      </c>
      <c r="F105" s="2856">
        <v>15</v>
      </c>
    </row>
    <row r="106" spans="1:6" ht="24">
      <c r="A106" s="2856">
        <v>34</v>
      </c>
      <c r="B106" s="3482"/>
      <c r="C106" s="2830" t="s">
        <v>2721</v>
      </c>
      <c r="D106" s="2830" t="s">
        <v>2722</v>
      </c>
      <c r="E106" s="2856">
        <v>0.1</v>
      </c>
      <c r="F106" s="2856">
        <v>15</v>
      </c>
    </row>
    <row r="107" spans="1:6" ht="24">
      <c r="A107" s="2856">
        <v>35</v>
      </c>
      <c r="B107" s="3478" t="s">
        <v>2723</v>
      </c>
      <c r="C107" s="2856" t="s">
        <v>2724</v>
      </c>
      <c r="D107" s="2830" t="s">
        <v>2725</v>
      </c>
      <c r="E107" s="2856">
        <v>0.15</v>
      </c>
      <c r="F107" s="2856">
        <v>20</v>
      </c>
    </row>
    <row r="108" spans="1:6" ht="13.5">
      <c r="A108" s="2856">
        <v>36</v>
      </c>
      <c r="B108" s="3473"/>
      <c r="C108" s="2856" t="s">
        <v>2726</v>
      </c>
      <c r="D108" s="2830" t="s">
        <v>2727</v>
      </c>
      <c r="E108" s="2856">
        <v>0.15</v>
      </c>
      <c r="F108" s="2856">
        <v>20</v>
      </c>
    </row>
    <row r="109" spans="1:6" ht="13.5">
      <c r="A109" s="2856">
        <v>37</v>
      </c>
      <c r="B109" s="3473"/>
      <c r="C109" s="2856" t="s">
        <v>2728</v>
      </c>
      <c r="D109" s="2830" t="s">
        <v>2729</v>
      </c>
      <c r="E109" s="2856">
        <v>0.15</v>
      </c>
      <c r="F109" s="2856">
        <v>20</v>
      </c>
    </row>
    <row r="110" spans="1:6" ht="13.5">
      <c r="A110" s="2856">
        <v>38</v>
      </c>
      <c r="B110" s="3473"/>
      <c r="C110" s="2856" t="s">
        <v>2730</v>
      </c>
      <c r="D110" s="2830" t="s">
        <v>2731</v>
      </c>
      <c r="E110" s="2856">
        <v>0.1</v>
      </c>
      <c r="F110" s="2856">
        <v>15</v>
      </c>
    </row>
    <row r="111" spans="1:6" ht="24">
      <c r="A111" s="2856">
        <v>39</v>
      </c>
      <c r="B111" s="3473"/>
      <c r="C111" s="2856" t="s">
        <v>2732</v>
      </c>
      <c r="D111" s="2830" t="s">
        <v>2733</v>
      </c>
      <c r="E111" s="2856">
        <v>0.1</v>
      </c>
      <c r="F111" s="2856">
        <v>15</v>
      </c>
    </row>
    <row r="112" spans="1:6" ht="24">
      <c r="A112" s="2856">
        <v>40</v>
      </c>
      <c r="B112" s="3482"/>
      <c r="C112" s="2856" t="s">
        <v>2734</v>
      </c>
      <c r="D112" s="2830" t="s">
        <v>2735</v>
      </c>
      <c r="E112" s="2856">
        <v>0.1</v>
      </c>
      <c r="F112" s="2856">
        <v>15</v>
      </c>
    </row>
    <row r="113" spans="1:6" ht="13.5">
      <c r="A113" s="2856">
        <v>41</v>
      </c>
      <c r="B113" s="3483" t="s">
        <v>2736</v>
      </c>
      <c r="C113" s="2856" t="s">
        <v>2737</v>
      </c>
      <c r="D113" s="2830" t="s">
        <v>2738</v>
      </c>
      <c r="E113" s="2856">
        <v>0.1</v>
      </c>
      <c r="F113" s="2856">
        <v>15</v>
      </c>
    </row>
    <row r="114" spans="1:6" ht="13.5">
      <c r="A114" s="2856">
        <v>42</v>
      </c>
      <c r="B114" s="3483"/>
      <c r="C114" s="2856" t="s">
        <v>2739</v>
      </c>
      <c r="D114" s="2830" t="s">
        <v>2740</v>
      </c>
      <c r="E114" s="2856">
        <v>0.1</v>
      </c>
      <c r="F114" s="2856">
        <v>15</v>
      </c>
    </row>
    <row r="115" spans="1:6" ht="24">
      <c r="A115" s="2856">
        <v>43</v>
      </c>
      <c r="B115" s="3483"/>
      <c r="C115" s="2856" t="s">
        <v>2741</v>
      </c>
      <c r="D115" s="2830" t="s">
        <v>2742</v>
      </c>
      <c r="E115" s="2856">
        <v>0.1</v>
      </c>
      <c r="F115" s="2856">
        <v>15</v>
      </c>
    </row>
    <row r="116" spans="1:6" ht="13.5">
      <c r="A116" s="2856">
        <v>44</v>
      </c>
      <c r="B116" s="3478" t="s">
        <v>2743</v>
      </c>
      <c r="C116" s="2856" t="s">
        <v>2744</v>
      </c>
      <c r="D116" s="2830" t="s">
        <v>2745</v>
      </c>
      <c r="E116" s="2856">
        <v>0.1</v>
      </c>
      <c r="F116" s="2856">
        <v>15</v>
      </c>
    </row>
    <row r="117" spans="1:6" ht="24">
      <c r="A117" s="2856">
        <v>45</v>
      </c>
      <c r="B117" s="3482"/>
      <c r="C117" s="2830" t="s">
        <v>2746</v>
      </c>
      <c r="D117" s="2830" t="s">
        <v>2747</v>
      </c>
      <c r="E117" s="2856">
        <v>0.1</v>
      </c>
      <c r="F117" s="2856">
        <v>15</v>
      </c>
    </row>
    <row r="118" spans="1:6" ht="24">
      <c r="A118" s="2856">
        <v>46</v>
      </c>
      <c r="B118" s="3478" t="s">
        <v>2748</v>
      </c>
      <c r="C118" s="2856" t="s">
        <v>2749</v>
      </c>
      <c r="D118" s="2830" t="s">
        <v>2750</v>
      </c>
      <c r="E118" s="2856">
        <v>0.1</v>
      </c>
      <c r="F118" s="2856">
        <v>15</v>
      </c>
    </row>
    <row r="119" spans="1:6" ht="24">
      <c r="A119" s="2856">
        <v>47</v>
      </c>
      <c r="B119" s="3482"/>
      <c r="C119" s="2856" t="s">
        <v>2751</v>
      </c>
      <c r="D119" s="2830" t="s">
        <v>2752</v>
      </c>
      <c r="E119" s="2856">
        <v>0.1</v>
      </c>
      <c r="F119" s="2856">
        <v>15</v>
      </c>
    </row>
    <row r="120" spans="1:6" ht="13.5">
      <c r="A120" s="2856">
        <v>48</v>
      </c>
      <c r="B120" s="3478" t="s">
        <v>2753</v>
      </c>
      <c r="C120" s="2856" t="s">
        <v>2754</v>
      </c>
      <c r="D120" s="2830" t="s">
        <v>2755</v>
      </c>
      <c r="E120" s="2856">
        <v>0.1</v>
      </c>
      <c r="F120" s="2856">
        <v>15</v>
      </c>
    </row>
    <row r="121" spans="1:6" ht="13.5">
      <c r="A121" s="2856">
        <v>49</v>
      </c>
      <c r="B121" s="3482"/>
      <c r="C121" s="2856" t="s">
        <v>2756</v>
      </c>
      <c r="D121" s="2830" t="s">
        <v>2757</v>
      </c>
      <c r="E121" s="2856">
        <v>0.1</v>
      </c>
      <c r="F121" s="2856">
        <v>15</v>
      </c>
    </row>
    <row r="122" spans="1:6" ht="24">
      <c r="A122" s="2856">
        <v>50</v>
      </c>
      <c r="B122" s="3483" t="s">
        <v>2758</v>
      </c>
      <c r="C122" s="2856" t="s">
        <v>2759</v>
      </c>
      <c r="D122" s="2830" t="s">
        <v>2760</v>
      </c>
      <c r="E122" s="2856">
        <v>0.1</v>
      </c>
      <c r="F122" s="2856">
        <v>15</v>
      </c>
    </row>
    <row r="123" spans="1:6" ht="24">
      <c r="A123" s="2856">
        <v>51</v>
      </c>
      <c r="B123" s="3483"/>
      <c r="C123" s="2856" t="s">
        <v>2761</v>
      </c>
      <c r="D123" s="2830" t="s">
        <v>2762</v>
      </c>
      <c r="E123" s="2856">
        <v>0.1</v>
      </c>
      <c r="F123" s="2856">
        <v>15</v>
      </c>
    </row>
    <row r="124" spans="1:6" ht="24">
      <c r="A124" s="2856">
        <v>52</v>
      </c>
      <c r="B124" s="3483" t="s">
        <v>2763</v>
      </c>
      <c r="C124" s="2856" t="s">
        <v>2764</v>
      </c>
      <c r="D124" s="2830" t="s">
        <v>2765</v>
      </c>
      <c r="E124" s="2856">
        <v>0.1</v>
      </c>
      <c r="F124" s="2856">
        <v>15</v>
      </c>
    </row>
    <row r="125" spans="1:6" ht="24">
      <c r="A125" s="2856">
        <v>53</v>
      </c>
      <c r="B125" s="3483"/>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83" t="s">
        <v>2771</v>
      </c>
      <c r="C127" s="2856" t="s">
        <v>2772</v>
      </c>
      <c r="D127" s="2830" t="s">
        <v>2773</v>
      </c>
      <c r="E127" s="2856">
        <v>0.1</v>
      </c>
      <c r="F127" s="2856">
        <v>15</v>
      </c>
    </row>
    <row r="128" spans="1:6" ht="13.5">
      <c r="A128" s="2856">
        <v>56</v>
      </c>
      <c r="B128" s="3483"/>
      <c r="C128" s="2856" t="s">
        <v>2774</v>
      </c>
      <c r="D128" s="2830" t="s">
        <v>2775</v>
      </c>
      <c r="E128" s="2856">
        <v>0.1</v>
      </c>
      <c r="F128" s="2856">
        <v>15</v>
      </c>
    </row>
    <row r="129" spans="1:6" ht="24">
      <c r="A129" s="2856">
        <v>57</v>
      </c>
      <c r="B129" s="3483"/>
      <c r="C129" s="2856" t="s">
        <v>2776</v>
      </c>
      <c r="D129" s="2830" t="s">
        <v>2777</v>
      </c>
      <c r="E129" s="2856">
        <v>0.1</v>
      </c>
      <c r="F129" s="2856">
        <v>15</v>
      </c>
    </row>
    <row r="130" spans="1:6" ht="24">
      <c r="A130" s="2856">
        <v>58</v>
      </c>
      <c r="B130" s="3483" t="s">
        <v>2778</v>
      </c>
      <c r="C130" s="2856" t="s">
        <v>2779</v>
      </c>
      <c r="D130" s="2830" t="s">
        <v>2780</v>
      </c>
      <c r="E130" s="2856">
        <v>0.1</v>
      </c>
      <c r="F130" s="2856">
        <v>15</v>
      </c>
    </row>
    <row r="131" spans="1:6" ht="13.5">
      <c r="A131" s="2856">
        <v>59</v>
      </c>
      <c r="B131" s="3483"/>
      <c r="C131" s="2856" t="s">
        <v>2781</v>
      </c>
      <c r="D131" s="2830" t="s">
        <v>2782</v>
      </c>
      <c r="E131" s="2856">
        <v>0.1</v>
      </c>
      <c r="F131" s="2856">
        <v>15</v>
      </c>
    </row>
    <row r="132" spans="1:6" ht="13.5">
      <c r="A132" s="2856">
        <v>60</v>
      </c>
      <c r="B132" s="3478" t="s">
        <v>2783</v>
      </c>
      <c r="C132" s="2856" t="s">
        <v>2784</v>
      </c>
      <c r="D132" s="2830" t="s">
        <v>2785</v>
      </c>
      <c r="E132" s="2856">
        <v>0.1</v>
      </c>
      <c r="F132" s="2856">
        <v>15</v>
      </c>
    </row>
    <row r="133" spans="1:6" ht="13.5">
      <c r="A133" s="2856">
        <v>61</v>
      </c>
      <c r="B133" s="3482"/>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83" t="s">
        <v>2791</v>
      </c>
      <c r="C135" s="2856" t="s">
        <v>2792</v>
      </c>
      <c r="D135" s="2830" t="s">
        <v>2793</v>
      </c>
      <c r="E135" s="2856">
        <v>0.1</v>
      </c>
      <c r="F135" s="2856">
        <v>15</v>
      </c>
    </row>
    <row r="136" spans="1:6" ht="13.5">
      <c r="A136" s="2856">
        <v>64</v>
      </c>
      <c r="B136" s="3483"/>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1.2302</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1.1198999999999999</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853</v>
      </c>
    </row>
    <row r="6" spans="1:5" ht="15.75">
      <c r="B6" s="3165"/>
      <c r="C6" s="1392" t="s">
        <v>911</v>
      </c>
      <c r="D6" s="797" t="str">
        <f ca="1">NUMBERSTRING(INT(D5*10000),2)&amp;"元整"</f>
        <v>捌佰伍拾叁万元整</v>
      </c>
    </row>
    <row r="7" spans="1:5" ht="15.75">
      <c r="B7" s="3170"/>
      <c r="C7" s="1393" t="s">
        <v>912</v>
      </c>
      <c r="D7" s="798">
        <f ca="1">结果表!H102</f>
        <v>16323</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853</v>
      </c>
    </row>
    <row r="14" spans="1:5" ht="15.75">
      <c r="B14" s="3165"/>
      <c r="C14" s="1392" t="s">
        <v>911</v>
      </c>
      <c r="D14" s="797" t="str">
        <f ca="1">NUMBERSTRING(INT(D13*10000),2)&amp;"元整"</f>
        <v>捌佰伍拾叁万元整</v>
      </c>
    </row>
    <row r="15" spans="1:5" ht="15">
      <c r="B15" s="3170"/>
      <c r="C15" s="1393" t="s">
        <v>921</v>
      </c>
      <c r="D15" s="806">
        <f ca="1">结果表!H108</f>
        <v>16323</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26311</v>
      </c>
      <c r="C2" s="2" t="s">
        <v>106</v>
      </c>
      <c r="D2" s="191"/>
      <c r="E2" s="191"/>
      <c r="F2" s="191"/>
      <c r="G2" s="191"/>
    </row>
    <row r="3" spans="1:7" s="192" customFormat="1" ht="18" customHeight="1" thickBot="1">
      <c r="A3" s="195" t="s">
        <v>58</v>
      </c>
      <c r="B3" s="196">
        <f ca="1">ROUND(B2*10000/'数据-汇总表'!E3,0)</f>
        <v>503569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8</v>
      </c>
      <c r="D10" s="795">
        <f>'数据-汇总表'!E6</f>
        <v>522.49</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522.49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2524</v>
      </c>
      <c r="D27" s="227">
        <f>C29</f>
        <v>2.3999999999999998E-3</v>
      </c>
      <c r="E27" s="228" t="s">
        <v>99</v>
      </c>
      <c r="F27" s="238">
        <f>'数据-取费表'!Q16</f>
        <v>0.12</v>
      </c>
      <c r="G27" s="239" t="s">
        <v>431</v>
      </c>
    </row>
    <row r="28" spans="1:7" s="206" customFormat="1" ht="13.5" customHeight="1">
      <c r="A28" s="734" t="s">
        <v>349</v>
      </c>
      <c r="B28" s="240" t="s">
        <v>424</v>
      </c>
      <c r="C28" s="241">
        <f>ROUND((C5+C19+C20)*F27*'数据-取费表'!B21/'数据-取费表'!B20,0)</f>
        <v>2524</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26166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522.49</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21</v>
      </c>
      <c r="D45" s="227">
        <f>C47</f>
        <v>2.3999999999999998E-3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219</v>
      </c>
      <c r="D49" s="224"/>
      <c r="E49" s="224"/>
      <c r="F49" s="256"/>
      <c r="G49" s="226" t="s">
        <v>435</v>
      </c>
    </row>
    <row r="50" spans="1:7" s="250" customFormat="1" ht="24">
      <c r="A50" s="731" t="s">
        <v>344</v>
      </c>
      <c r="B50" s="202" t="s">
        <v>97</v>
      </c>
      <c r="C50" s="224"/>
      <c r="D50" s="224"/>
      <c r="E50" s="224"/>
      <c r="F50" s="256">
        <f>IF('数据-取费表'!B24=0,'数据-取费表'!N16,1)</f>
        <v>0.66100000000000003</v>
      </c>
      <c r="G50" s="239" t="s">
        <v>98</v>
      </c>
    </row>
    <row r="51" spans="1:7" ht="16.5" customHeight="1">
      <c r="A51" s="731" t="s">
        <v>345</v>
      </c>
      <c r="B51" s="202" t="s">
        <v>105</v>
      </c>
      <c r="C51" s="224">
        <f ca="1">ROUND(C49*F50,0)</f>
        <v>145</v>
      </c>
      <c r="D51" s="224"/>
      <c r="E51" s="224"/>
      <c r="F51" s="256"/>
      <c r="G51" s="226" t="s">
        <v>37</v>
      </c>
    </row>
    <row r="52" spans="1:7" s="200" customFormat="1" ht="16.5" thickBot="1">
      <c r="A52" s="257" t="s">
        <v>38</v>
      </c>
      <c r="B52" s="258"/>
      <c r="C52" s="259">
        <f ca="1">C31+C51</f>
        <v>26311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AE7F1-E52D-4EF9-B44E-15D98E96E184}">
  <sheetPr>
    <tabColor rgb="FFFFFF00"/>
  </sheetPr>
  <dimension ref="A1:K20"/>
  <sheetViews>
    <sheetView workbookViewId="0">
      <selection activeCell="G14" sqref="G14"/>
    </sheetView>
  </sheetViews>
  <sheetFormatPr defaultRowHeight="13.5"/>
  <cols>
    <col min="1" max="1" width="34.625" customWidth="1"/>
    <col min="2" max="2" width="24.5" customWidth="1"/>
    <col min="3" max="3" width="26.5" customWidth="1"/>
    <col min="5" max="5" width="14.375" customWidth="1"/>
    <col min="6" max="6" width="11.25" customWidth="1"/>
    <col min="7" max="7" width="12.125" customWidth="1"/>
  </cols>
  <sheetData>
    <row r="1" spans="1:11">
      <c r="A1" s="3145" t="s">
        <v>3395</v>
      </c>
      <c r="B1" s="3145" t="s">
        <v>3396</v>
      </c>
      <c r="C1" s="3145" t="s">
        <v>3397</v>
      </c>
      <c r="D1" s="3145" t="s">
        <v>3398</v>
      </c>
      <c r="E1" s="3145" t="s">
        <v>3399</v>
      </c>
      <c r="F1" s="3145" t="s">
        <v>3400</v>
      </c>
      <c r="G1" s="3145" t="s">
        <v>3401</v>
      </c>
      <c r="H1" s="3145" t="s">
        <v>3402</v>
      </c>
      <c r="I1" s="3145" t="s">
        <v>3403</v>
      </c>
      <c r="J1" s="3145" t="s">
        <v>3404</v>
      </c>
      <c r="K1" s="3145" t="s">
        <v>3409</v>
      </c>
    </row>
    <row r="2" spans="1:11">
      <c r="A2" s="3145" t="s">
        <v>3418</v>
      </c>
      <c r="B2" s="3145" t="s">
        <v>3405</v>
      </c>
      <c r="C2" s="3145" t="s">
        <v>3406</v>
      </c>
      <c r="D2" s="3145" t="s">
        <v>3407</v>
      </c>
      <c r="E2" s="3146">
        <v>1</v>
      </c>
      <c r="F2" s="3146"/>
      <c r="G2" s="3145" t="s">
        <v>3408</v>
      </c>
      <c r="H2" s="3146">
        <v>1</v>
      </c>
      <c r="I2" s="3146">
        <v>1</v>
      </c>
      <c r="J2" s="3146">
        <v>229.5</v>
      </c>
      <c r="K2" s="3146">
        <v>1988</v>
      </c>
    </row>
    <row r="3" spans="1:11">
      <c r="A3" s="3146"/>
      <c r="B3" s="3146"/>
      <c r="C3" s="3146"/>
      <c r="D3" s="3146"/>
      <c r="E3" s="3146">
        <v>2</v>
      </c>
      <c r="F3" s="3146"/>
      <c r="G3" s="3145" t="s">
        <v>3408</v>
      </c>
      <c r="H3" s="3146">
        <v>1</v>
      </c>
      <c r="I3" s="3146">
        <v>1</v>
      </c>
      <c r="J3" s="3146">
        <v>292.99</v>
      </c>
      <c r="K3" s="3146">
        <v>1991</v>
      </c>
    </row>
    <row r="4" spans="1:11">
      <c r="A4" s="3146"/>
      <c r="B4" s="3146"/>
      <c r="C4" s="3146"/>
      <c r="D4" s="3146"/>
      <c r="E4" s="3146"/>
      <c r="F4" s="3146"/>
      <c r="G4" s="3146"/>
      <c r="H4" s="3146"/>
      <c r="I4" s="3145" t="s">
        <v>2594</v>
      </c>
      <c r="J4" s="3146">
        <f>SUM(J2:J3)</f>
        <v>522.49</v>
      </c>
      <c r="K4" s="3146"/>
    </row>
    <row r="5" spans="1:11">
      <c r="I5" s="1405"/>
    </row>
    <row r="6" spans="1:11">
      <c r="A6" s="3145" t="s">
        <v>3410</v>
      </c>
      <c r="B6" s="3145" t="s">
        <v>3415</v>
      </c>
      <c r="C6" s="3145" t="s">
        <v>3397</v>
      </c>
      <c r="D6" s="3145" t="s">
        <v>2545</v>
      </c>
      <c r="E6" s="3145" t="s">
        <v>3413</v>
      </c>
      <c r="F6" s="3145" t="s">
        <v>3417</v>
      </c>
      <c r="G6" s="3145" t="s">
        <v>3416</v>
      </c>
    </row>
    <row r="7" spans="1:11">
      <c r="A7" s="3145" t="s">
        <v>3411</v>
      </c>
      <c r="B7" s="3145" t="s">
        <v>3405</v>
      </c>
      <c r="C7" s="3145" t="s">
        <v>3419</v>
      </c>
      <c r="D7" s="3145" t="s">
        <v>3412</v>
      </c>
      <c r="E7" s="3145" t="s">
        <v>3414</v>
      </c>
      <c r="F7" s="3146">
        <v>895.66</v>
      </c>
      <c r="G7" s="3147">
        <v>55252</v>
      </c>
    </row>
    <row r="11" spans="1:11">
      <c r="A11" s="1405" t="s">
        <v>3439</v>
      </c>
    </row>
    <row r="12" spans="1:11">
      <c r="A12" s="3145" t="s">
        <v>3397</v>
      </c>
      <c r="B12" s="3145" t="s">
        <v>2545</v>
      </c>
      <c r="C12" s="3145" t="s">
        <v>3441</v>
      </c>
      <c r="D12" s="3145" t="s">
        <v>3447</v>
      </c>
      <c r="E12" s="3145" t="s">
        <v>3404</v>
      </c>
      <c r="F12" s="3145" t="s">
        <v>654</v>
      </c>
      <c r="G12" s="3159" t="s">
        <v>3452</v>
      </c>
      <c r="H12" s="1405" t="s">
        <v>3451</v>
      </c>
    </row>
    <row r="13" spans="1:11">
      <c r="A13" s="3145" t="s">
        <v>3443</v>
      </c>
      <c r="B13" s="3145" t="s">
        <v>3440</v>
      </c>
      <c r="C13" s="3145" t="s">
        <v>3442</v>
      </c>
      <c r="D13" s="3145">
        <v>3</v>
      </c>
      <c r="E13" s="3146">
        <v>111.2</v>
      </c>
      <c r="F13" s="3146">
        <v>423936.1</v>
      </c>
      <c r="G13">
        <f>ROUND(F13/E13/365/D13,2)</f>
        <v>3.48</v>
      </c>
      <c r="H13">
        <f>ROUND((365*3-57)/365,2)</f>
        <v>2.84</v>
      </c>
    </row>
    <row r="14" spans="1:11">
      <c r="A14" s="3145" t="s">
        <v>3444</v>
      </c>
      <c r="B14" s="3145" t="s">
        <v>3445</v>
      </c>
      <c r="C14" s="3145" t="s">
        <v>3446</v>
      </c>
      <c r="D14" s="3145">
        <v>1</v>
      </c>
      <c r="E14" s="3146">
        <v>92.6</v>
      </c>
      <c r="F14" s="3146">
        <v>135196</v>
      </c>
      <c r="G14">
        <f>ROUND(F14/E14/365/D14,2)</f>
        <v>4</v>
      </c>
      <c r="H14">
        <f>ROUND((25+29)/365,2)</f>
        <v>0.15</v>
      </c>
    </row>
    <row r="15" spans="1:11">
      <c r="A15" s="3145" t="s">
        <v>3448</v>
      </c>
      <c r="B15" s="3145" t="s">
        <v>3449</v>
      </c>
      <c r="C15" s="3145" t="s">
        <v>3450</v>
      </c>
      <c r="D15" s="3146">
        <v>2</v>
      </c>
      <c r="E15" s="3146">
        <v>51.27</v>
      </c>
      <c r="F15" s="3146">
        <v>120000</v>
      </c>
      <c r="G15">
        <f>ROUND(F15/E15/365/D15,2)</f>
        <v>3.21</v>
      </c>
      <c r="H15">
        <f>ROUND((365*2-57)/365,2)</f>
        <v>1.84</v>
      </c>
    </row>
    <row r="16" spans="1:11">
      <c r="E16">
        <f>SUM(E13:E15)</f>
        <v>255.07000000000002</v>
      </c>
      <c r="F16" s="1405" t="s">
        <v>3453</v>
      </c>
      <c r="G16">
        <f>ROUND((G13*E13+G14*E14+G15*E15)/E16,2)</f>
        <v>3.61</v>
      </c>
    </row>
    <row r="18" spans="1:5">
      <c r="A18" s="1405" t="s">
        <v>3466</v>
      </c>
      <c r="B18" s="1405" t="s">
        <v>3465</v>
      </c>
      <c r="C18">
        <v>2.8</v>
      </c>
    </row>
    <row r="19" spans="1:5">
      <c r="B19" s="1405" t="s">
        <v>2814</v>
      </c>
      <c r="C19" s="1405" t="s">
        <v>3481</v>
      </c>
      <c r="D19" s="1405" t="s">
        <v>3482</v>
      </c>
      <c r="E19" s="1405" t="s">
        <v>3485</v>
      </c>
    </row>
    <row r="20" spans="1:5">
      <c r="C20" s="1405" t="s">
        <v>3483</v>
      </c>
      <c r="D20" s="1405" t="s">
        <v>3484</v>
      </c>
      <c r="E20" s="1405" t="s">
        <v>3485</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53F1-476B-4FA5-9AA5-79272677A2E7}">
  <dimension ref="A1"/>
  <sheetViews>
    <sheetView topLeftCell="A22" workbookViewId="0">
      <selection activeCell="P40" sqref="P40"/>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6" t="s">
        <v>2841</v>
      </c>
      <c r="B1" s="3486"/>
      <c r="C1" s="3486"/>
      <c r="D1" s="3486"/>
      <c r="E1" s="3486"/>
      <c r="F1" s="3486"/>
      <c r="G1" s="3487"/>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84"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85"/>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8" t="s">
        <v>3183</v>
      </c>
      <c r="B1" s="3488"/>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89" t="s">
        <v>3234</v>
      </c>
      <c r="B1" s="3489"/>
      <c r="C1" s="3489"/>
      <c r="D1" s="3489"/>
      <c r="E1" s="3489"/>
      <c r="F1" s="3490"/>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45600</v>
      </c>
      <c r="B1" s="2928" t="s">
        <v>3383</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10" customFormat="1" ht="14.2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2.75">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3379</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2.75">
      <c r="A6" s="2906" t="s">
        <v>3388</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4" t="s">
        <v>3380</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4" t="s">
        <v>3376</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2.75">
      <c r="A10" s="2904" t="s">
        <v>3372</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2.75">
      <c r="A11" s="2904" t="s">
        <v>3371</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2.75">
      <c r="A12" s="2904" t="s">
        <v>3369</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2.75">
      <c r="A13" s="2904" t="s">
        <v>3368</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2.75">
      <c r="A14" s="2904" t="s">
        <v>3367</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4" t="s">
        <v>3365</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4" t="s">
        <v>3356</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3386</v>
      </c>
    </row>
    <row r="24" spans="1:30">
      <c r="I24" s="1405" t="s">
        <v>2827</v>
      </c>
    </row>
    <row r="26" spans="1:30" s="2009" customFormat="1" ht="12.75">
      <c r="B26" s="2928" t="s">
        <v>3384</v>
      </c>
      <c r="C26" s="2929"/>
      <c r="D26" s="2929"/>
      <c r="E26" s="2929"/>
      <c r="F26" s="2929"/>
      <c r="G26" s="2929"/>
      <c r="H26" s="2929"/>
      <c r="I26" s="2929"/>
      <c r="J26" s="2895"/>
      <c r="K26" s="2929" t="s">
        <v>2828</v>
      </c>
      <c r="L26" s="2929"/>
      <c r="M26" s="2929"/>
      <c r="N26" s="2929"/>
      <c r="O26" s="2929"/>
      <c r="P26" s="2929"/>
      <c r="Q26" s="2895"/>
      <c r="R26" s="3491" t="s">
        <v>2829</v>
      </c>
      <c r="S26" s="3492"/>
      <c r="T26" s="3492"/>
      <c r="U26" s="3492"/>
      <c r="V26" s="3492"/>
      <c r="W26" s="3492"/>
      <c r="X26" s="2895"/>
      <c r="Y26" s="3491" t="s">
        <v>2830</v>
      </c>
      <c r="Z26" s="3492"/>
      <c r="AA26" s="3492"/>
      <c r="AB26" s="3492"/>
      <c r="AC26" s="3492"/>
      <c r="AD26" s="3492"/>
    </row>
    <row r="27" spans="1:30" s="2010" customFormat="1" ht="14.2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2.75">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2.75">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2.75">
      <c r="A30" s="2040" t="s">
        <v>3379</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2.75">
      <c r="A31" s="2906" t="s">
        <v>3381</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2.75">
      <c r="A33" s="2904" t="s">
        <v>3382</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2.75">
      <c r="A34" s="2904" t="s">
        <v>3375</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2.75">
      <c r="A35" s="2904" t="s">
        <v>3373</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2.75">
      <c r="A36" s="2904" t="s">
        <v>3371</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2.75">
      <c r="A37" s="2904" t="s">
        <v>3370</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2.75">
      <c r="A38" s="2904" t="s">
        <v>3368</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2.75">
      <c r="A39" s="2904" t="s">
        <v>3367</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2.75">
      <c r="A40" s="2904" t="s">
        <v>3366</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2.75">
      <c r="A41" s="2904" t="s">
        <v>3356</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2.75">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2.75">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2.75">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2.75">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30">
      <c r="A4" s="1403" t="str">
        <f>项目基本情况!S2</f>
        <v>北京市怀柔县庆春路56号房地产</v>
      </c>
      <c r="B4" s="801">
        <f>项目基本情况!C17</f>
        <v>522.49</v>
      </c>
      <c r="C4" s="801">
        <f>项目基本情况!C18</f>
        <v>895.66</v>
      </c>
      <c r="D4" s="801">
        <f>结果表!D118</f>
        <v>0</v>
      </c>
      <c r="E4" s="801">
        <f>结果表!E118</f>
        <v>0</v>
      </c>
      <c r="F4" s="801">
        <f>结果表!F118</f>
        <v>0</v>
      </c>
      <c r="G4" s="801">
        <f>结果表!G118</f>
        <v>0</v>
      </c>
      <c r="H4" s="801">
        <f ca="1">结果表!H118</f>
        <v>853</v>
      </c>
      <c r="I4" s="801">
        <f ca="1">结果表!I118</f>
        <v>16323</v>
      </c>
    </row>
    <row r="5" spans="1:9" ht="30" customHeight="1">
      <c r="A5" s="3176" t="s">
        <v>927</v>
      </c>
      <c r="B5" s="3176"/>
      <c r="C5" s="3176"/>
      <c r="D5" s="3176" t="str">
        <f>结果表!D119</f>
        <v>零元整</v>
      </c>
      <c r="E5" s="3176"/>
      <c r="F5" s="3176" t="str">
        <f>结果表!F119</f>
        <v>零元整</v>
      </c>
      <c r="G5" s="3176"/>
      <c r="H5" s="3176" t="str">
        <f ca="1">结果表!H119</f>
        <v>捌佰伍拾叁万元整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853</v>
      </c>
      <c r="E8" s="3177"/>
      <c r="F8" s="3177"/>
      <c r="G8" s="3177"/>
      <c r="H8" s="3177"/>
      <c r="I8" s="3177"/>
    </row>
    <row r="9" spans="1:9" ht="15">
      <c r="A9" s="3176" t="s">
        <v>927</v>
      </c>
      <c r="B9" s="3176"/>
      <c r="C9" s="3176"/>
      <c r="D9" s="3176" t="str">
        <f ca="1">结果表!D123</f>
        <v>捌佰伍拾叁万元整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收益法（汇总）</vt:lpstr>
      <vt:lpstr>收益法 (元)1</vt:lpstr>
      <vt:lpstr>收益法 (元)2</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信息表</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(元)1'!Print_Area</vt:lpstr>
      <vt:lpstr>'收益法 (元)2'!Print_Area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2024-11-04T03:06:09Z</dcterms:modified>
</cp:coreProperties>
</file>