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370" windowHeight="7005" tabRatio="895" firstSheet="10"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典型户型修正" sheetId="31"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F4" i="73"/>
  <c r="I1" i="73"/>
  <c r="B39" i="1"/>
  <c r="F11" i="15"/>
  <c r="C10" i="15"/>
  <c r="C5" i="15"/>
  <c r="C32" i="15"/>
  <c r="C14" i="15"/>
  <c r="C15" i="15"/>
  <c r="F16" i="15"/>
  <c r="C16" i="15"/>
  <c r="F43" i="15"/>
  <c r="C17" i="15"/>
  <c r="C18" i="15"/>
  <c r="C19" i="15"/>
  <c r="C20" i="15"/>
  <c r="D5" i="73"/>
  <c r="G1" i="73"/>
  <c r="B40" i="1"/>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H118" i="9"/>
  <c r="I21" i="77"/>
  <c r="R40" i="31"/>
  <c r="S40" i="31"/>
  <c r="S22" i="31"/>
  <c r="B20" i="31"/>
  <c r="K116" i="9"/>
  <c r="G21" i="77"/>
  <c r="C11" i="4"/>
  <c r="B7" i="4"/>
  <c r="D14" i="9"/>
  <c r="D3" i="31"/>
  <c r="E3" i="31"/>
  <c r="F3" i="31"/>
  <c r="G3" i="31"/>
  <c r="C3" i="31"/>
  <c r="B25" i="31"/>
  <c r="B26" i="31"/>
  <c r="B27" i="31"/>
  <c r="B28" i="31"/>
  <c r="B29" i="31"/>
  <c r="B30" i="31"/>
  <c r="B31" i="31"/>
  <c r="B32" i="31"/>
  <c r="B33" i="31"/>
  <c r="B34" i="31"/>
  <c r="B35" i="31"/>
  <c r="B36" i="31"/>
  <c r="B37" i="31"/>
  <c r="B38" i="31"/>
  <c r="B39" i="31"/>
  <c r="A25" i="31"/>
  <c r="A26" i="31"/>
  <c r="A27" i="31"/>
  <c r="A28" i="31"/>
  <c r="A29" i="31"/>
  <c r="A30" i="31"/>
  <c r="A31" i="31"/>
  <c r="A32" i="31"/>
  <c r="A33" i="31"/>
  <c r="A34" i="31"/>
  <c r="A35" i="31"/>
  <c r="A36" i="31"/>
  <c r="A37" i="31"/>
  <c r="A38" i="31"/>
  <c r="A39" i="31"/>
  <c r="B24" i="31"/>
  <c r="A24" i="31"/>
  <c r="C34" i="34"/>
  <c r="Y6" i="1"/>
  <c r="C37" i="34"/>
  <c r="H6" i="1"/>
  <c r="I5" i="71"/>
  <c r="I4" i="71"/>
  <c r="N4" i="71"/>
  <c r="L5" i="71"/>
  <c r="K5" i="71"/>
  <c r="J5" i="71"/>
  <c r="N5" i="71"/>
  <c r="O5" i="71"/>
  <c r="J4" i="71"/>
  <c r="O4" i="71"/>
  <c r="Q5" i="71"/>
  <c r="L4" i="71"/>
  <c r="Q4" i="71"/>
  <c r="P5" i="71"/>
  <c r="K4" i="71"/>
  <c r="P4"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6" i="71"/>
  <c r="P6" i="71"/>
  <c r="O6" i="71"/>
  <c r="N6" i="71"/>
  <c r="D5" i="43"/>
  <c r="A15" i="51"/>
  <c r="E9" i="76"/>
  <c r="E8" i="76"/>
  <c r="B9" i="76"/>
  <c r="E11" i="76"/>
  <c r="B8" i="76"/>
  <c r="B11" i="76"/>
  <c r="E12" i="76"/>
  <c r="B12" i="76"/>
  <c r="E7" i="76"/>
  <c r="E13" i="76"/>
  <c r="B7" i="76"/>
  <c r="B10" i="76"/>
  <c r="B13" i="76"/>
  <c r="E10"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7" i="71"/>
  <c r="P7" i="71"/>
  <c r="Q7" i="71"/>
  <c r="N7" i="71"/>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C1" i="73"/>
  <c r="L1" i="73"/>
  <c r="F7" i="73"/>
  <c r="J1" i="73"/>
  <c r="B74" i="72"/>
  <c r="F6" i="73"/>
  <c r="F5" i="73"/>
  <c r="F3" i="73"/>
  <c r="D3" i="73"/>
  <c r="D7" i="73"/>
  <c r="D6"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O33" i="71"/>
  <c r="C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F22" i="71"/>
  <c r="F23" i="71"/>
  <c r="F24" i="71"/>
  <c r="V24" i="71"/>
  <c r="Q21" i="71"/>
  <c r="P21" i="71"/>
  <c r="E22" i="71"/>
  <c r="E23" i="71"/>
  <c r="E24" i="71"/>
  <c r="U24" i="71"/>
  <c r="O21" i="71"/>
  <c r="C22" i="71"/>
  <c r="N21" i="71"/>
  <c r="B22" i="71"/>
  <c r="B23" i="71"/>
  <c r="B24" i="71"/>
  <c r="S24" i="71"/>
  <c r="D21" i="71"/>
  <c r="Q20" i="71"/>
  <c r="P20" i="71"/>
  <c r="O20" i="71"/>
  <c r="N20" i="71"/>
  <c r="AB19" i="71"/>
  <c r="Q19" i="71"/>
  <c r="P19" i="71"/>
  <c r="AA19" i="71"/>
  <c r="O19" i="71"/>
  <c r="Y19" i="71"/>
  <c r="Z19" i="71"/>
  <c r="N19" i="71"/>
  <c r="X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F10" i="71"/>
  <c r="F11" i="71"/>
  <c r="F12" i="71"/>
  <c r="V12" i="71"/>
  <c r="Q9" i="71"/>
  <c r="P9" i="71"/>
  <c r="O9" i="71"/>
  <c r="N9" i="71"/>
  <c r="D9" i="71"/>
  <c r="O8" i="71"/>
  <c r="N8"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C8" i="71"/>
  <c r="Y3" i="71"/>
  <c r="Z3" i="71"/>
  <c r="Y5" i="71"/>
  <c r="Z5" i="71"/>
  <c r="Y6" i="71"/>
  <c r="Z6" i="71"/>
  <c r="Y7" i="71"/>
  <c r="Z7" i="71"/>
  <c r="Y8" i="71"/>
  <c r="Z8" i="71"/>
  <c r="B8" i="71"/>
  <c r="B7" i="71"/>
  <c r="B6" i="71"/>
  <c r="B5" i="71"/>
  <c r="B4" i="71"/>
  <c r="X5" i="71"/>
  <c r="X6" i="71"/>
  <c r="X7" i="71"/>
  <c r="X3" i="71"/>
  <c r="X8" i="71"/>
  <c r="C11" i="71"/>
  <c r="D10" i="71"/>
  <c r="D14" i="71"/>
  <c r="C19" i="71"/>
  <c r="D18" i="71"/>
  <c r="C23" i="71"/>
  <c r="D22" i="71"/>
  <c r="C27" i="71"/>
  <c r="D27" i="71"/>
  <c r="D26" i="71"/>
  <c r="C31" i="71"/>
  <c r="D30" i="71"/>
  <c r="P8" i="71"/>
  <c r="E35" i="71"/>
  <c r="E36" i="71"/>
  <c r="U36" i="71"/>
  <c r="E39" i="71"/>
  <c r="E40" i="71"/>
  <c r="U40" i="71"/>
  <c r="E43" i="71"/>
  <c r="E44" i="71"/>
  <c r="U44" i="71"/>
  <c r="Q45" i="71"/>
  <c r="U48" i="71"/>
  <c r="E47" i="71"/>
  <c r="Q8"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C7" i="71"/>
  <c r="S8" i="71"/>
  <c r="F8" i="71"/>
  <c r="F7" i="71"/>
  <c r="F6" i="71"/>
  <c r="F5" i="71"/>
  <c r="F4" i="71"/>
  <c r="AB3" i="71"/>
  <c r="AB5" i="71"/>
  <c r="AB6" i="71"/>
  <c r="AB7" i="71"/>
  <c r="AB8" i="71"/>
  <c r="E8" i="71"/>
  <c r="E7" i="71"/>
  <c r="E6" i="71"/>
  <c r="E5" i="71"/>
  <c r="E4"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C6" i="71"/>
  <c r="D7" i="71"/>
  <c r="V8" i="71"/>
  <c r="P45" i="71"/>
  <c r="P46" i="71"/>
  <c r="O46" i="71"/>
  <c r="D46" i="71"/>
  <c r="O45" i="71"/>
  <c r="T12" i="71"/>
  <c r="D12" i="71"/>
  <c r="T16" i="71"/>
  <c r="D16" i="71"/>
  <c r="T20" i="71"/>
  <c r="D20" i="71"/>
  <c r="T24" i="71"/>
  <c r="D24" i="71"/>
  <c r="T32" i="71"/>
  <c r="D32" i="71"/>
  <c r="T36" i="71"/>
  <c r="D36" i="71"/>
  <c r="T40" i="71"/>
  <c r="D40" i="71"/>
  <c r="T44" i="71"/>
  <c r="D44" i="71"/>
  <c r="D6" i="71"/>
  <c r="C5" i="71"/>
  <c r="O27" i="6"/>
  <c r="N27" i="6"/>
  <c r="P20" i="6"/>
  <c r="P21" i="6"/>
  <c r="P22" i="6"/>
  <c r="P23" i="6"/>
  <c r="P24" i="6"/>
  <c r="P25" i="6"/>
  <c r="P26" i="6"/>
  <c r="P19" i="6"/>
  <c r="AP8" i="1"/>
  <c r="AP9" i="1"/>
  <c r="AP10" i="1"/>
  <c r="AP11" i="1"/>
  <c r="AP12" i="1"/>
  <c r="AP13" i="1"/>
  <c r="L21" i="6"/>
  <c r="L22" i="6"/>
  <c r="L23" i="6"/>
  <c r="L24" i="6"/>
  <c r="L25" i="6"/>
  <c r="L26" i="6"/>
  <c r="D5" i="71"/>
  <c r="C4" i="71"/>
  <c r="D4" i="71"/>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Z18" i="35"/>
  <c r="Q18" i="35"/>
  <c r="D68" i="35"/>
  <c r="E68" i="35"/>
  <c r="F18" i="35"/>
  <c r="AA18" i="35"/>
  <c r="C18" i="35"/>
  <c r="Q21" i="37"/>
  <c r="Z21" i="37"/>
  <c r="D77" i="37"/>
  <c r="E77" i="37"/>
  <c r="C21" i="37"/>
  <c r="Q21" i="34"/>
  <c r="Z21" i="34"/>
  <c r="D84" i="34"/>
  <c r="E84" i="34"/>
  <c r="F21" i="34"/>
  <c r="AA21" i="34"/>
  <c r="C21" i="34"/>
  <c r="Z21" i="33"/>
  <c r="Q21" i="33"/>
  <c r="D83" i="33"/>
  <c r="E83" i="33"/>
  <c r="C21" i="33"/>
  <c r="C21" i="21"/>
  <c r="Q21" i="21"/>
  <c r="Z21" i="21"/>
  <c r="H19" i="21"/>
  <c r="D83" i="21"/>
  <c r="F21" i="21"/>
  <c r="AA21" i="21"/>
  <c r="D81" i="21"/>
  <c r="G20" i="20"/>
  <c r="B86" i="43"/>
  <c r="C22" i="20"/>
  <c r="AO10" i="1"/>
  <c r="AO11" i="1"/>
  <c r="AO9" i="1"/>
  <c r="AO13"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A12" i="1"/>
  <c r="A13" i="1"/>
  <c r="B13" i="1"/>
  <c r="E13" i="1"/>
  <c r="A6" i="1"/>
  <c r="B11" i="1"/>
  <c r="E11" i="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R125" i="31"/>
  <c r="R126" i="31"/>
  <c r="R127" i="31"/>
  <c r="R128" i="31"/>
  <c r="R129" i="31"/>
  <c r="R130" i="31"/>
  <c r="R131" i="31"/>
  <c r="R132" i="31"/>
  <c r="R133" i="31"/>
  <c r="R134" i="31"/>
  <c r="R135" i="31"/>
  <c r="R136" i="31"/>
  <c r="R137" i="31"/>
  <c r="R138" i="31"/>
  <c r="R139" i="31"/>
  <c r="R140" i="31"/>
  <c r="R141" i="31"/>
  <c r="R142" i="31"/>
  <c r="R143" i="31"/>
  <c r="R144" i="31"/>
  <c r="S144" i="31"/>
  <c r="R145" i="31"/>
  <c r="S145" i="31"/>
  <c r="R146" i="31"/>
  <c r="S146" i="31"/>
  <c r="R147" i="31"/>
  <c r="R148" i="31"/>
  <c r="S148" i="31"/>
  <c r="R149" i="31"/>
  <c r="S149" i="31"/>
  <c r="R150" i="31"/>
  <c r="S150" i="31"/>
  <c r="R151" i="31"/>
  <c r="R152" i="31"/>
  <c r="S152" i="31"/>
  <c r="R153" i="31"/>
  <c r="S153" i="31"/>
  <c r="R154" i="31"/>
  <c r="S154" i="31"/>
  <c r="R155" i="31"/>
  <c r="R156" i="31"/>
  <c r="S156" i="31"/>
  <c r="R157" i="31"/>
  <c r="S157" i="31"/>
  <c r="R158" i="31"/>
  <c r="S158" i="31"/>
  <c r="R159" i="31"/>
  <c r="R160" i="31"/>
  <c r="S160" i="31"/>
  <c r="R161" i="31"/>
  <c r="S161" i="31"/>
  <c r="R162" i="31"/>
  <c r="S162" i="31"/>
  <c r="R163" i="31"/>
  <c r="R164" i="31"/>
  <c r="S164" i="31"/>
  <c r="R165" i="31"/>
  <c r="S165" i="31"/>
  <c r="R166" i="31"/>
  <c r="S166" i="31"/>
  <c r="R167" i="31"/>
  <c r="R168" i="31"/>
  <c r="S168" i="31"/>
  <c r="R169" i="31"/>
  <c r="S169" i="31"/>
  <c r="R170" i="31"/>
  <c r="S170" i="31"/>
  <c r="R171" i="31"/>
  <c r="R172" i="31"/>
  <c r="S172" i="31"/>
  <c r="R173" i="31"/>
  <c r="S173" i="31"/>
  <c r="R174" i="31"/>
  <c r="S174" i="31"/>
  <c r="R175" i="31"/>
  <c r="R176" i="31"/>
  <c r="S176" i="31"/>
  <c r="R177" i="31"/>
  <c r="S177" i="31"/>
  <c r="R178" i="31"/>
  <c r="S178" i="31"/>
  <c r="R179" i="31"/>
  <c r="R180" i="31"/>
  <c r="S180" i="31"/>
  <c r="R181" i="31"/>
  <c r="S181" i="31"/>
  <c r="R182" i="31"/>
  <c r="S182" i="31"/>
  <c r="R183" i="31"/>
  <c r="R184" i="31"/>
  <c r="S184" i="31"/>
  <c r="R185" i="31"/>
  <c r="S185" i="31"/>
  <c r="R186" i="31"/>
  <c r="S186" i="31"/>
  <c r="R187" i="31"/>
  <c r="R188" i="31"/>
  <c r="S188" i="31"/>
  <c r="R189" i="31"/>
  <c r="S189" i="31"/>
  <c r="R190" i="31"/>
  <c r="S190" i="31"/>
  <c r="R191" i="31"/>
  <c r="S191" i="31"/>
  <c r="R192" i="31"/>
  <c r="S192" i="31"/>
  <c r="R193" i="31"/>
  <c r="S193" i="31"/>
  <c r="R194" i="31"/>
  <c r="S194" i="31"/>
  <c r="R195" i="31"/>
  <c r="R196" i="31"/>
  <c r="S196" i="31"/>
  <c r="R197" i="31"/>
  <c r="S197" i="31"/>
  <c r="R198" i="31"/>
  <c r="S198" i="31"/>
  <c r="R199" i="31"/>
  <c r="S199" i="31"/>
  <c r="R200" i="31"/>
  <c r="S200" i="31"/>
  <c r="R201" i="31"/>
  <c r="S201" i="31"/>
  <c r="R202" i="31"/>
  <c r="S202" i="31"/>
  <c r="R203" i="31"/>
  <c r="R204" i="31"/>
  <c r="S204" i="31"/>
  <c r="R205" i="31"/>
  <c r="S205" i="31"/>
  <c r="R206" i="31"/>
  <c r="S206" i="31"/>
  <c r="R207" i="31"/>
  <c r="S207" i="31"/>
  <c r="R208" i="31"/>
  <c r="S208" i="31"/>
  <c r="R209" i="31"/>
  <c r="S209" i="31"/>
  <c r="R210" i="31"/>
  <c r="S210" i="31"/>
  <c r="R211" i="31"/>
  <c r="R212" i="31"/>
  <c r="S212" i="31"/>
  <c r="R213" i="31"/>
  <c r="S213" i="31"/>
  <c r="R214" i="31"/>
  <c r="S214" i="31"/>
  <c r="R215" i="31"/>
  <c r="S215" i="31"/>
  <c r="R216" i="31"/>
  <c r="S216" i="31"/>
  <c r="R217" i="31"/>
  <c r="S217" i="31"/>
  <c r="R218" i="31"/>
  <c r="S218" i="31"/>
  <c r="R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R254" i="31"/>
  <c r="S254" i="31"/>
  <c r="R255" i="31"/>
  <c r="S255" i="31"/>
  <c r="R256" i="31"/>
  <c r="S256" i="31"/>
  <c r="R257" i="31"/>
  <c r="S257" i="31"/>
  <c r="R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R417" i="31"/>
  <c r="S417" i="31"/>
  <c r="R418" i="31"/>
  <c r="S418" i="31"/>
  <c r="R419" i="31"/>
  <c r="S419" i="31"/>
  <c r="R420" i="31"/>
  <c r="S420" i="31"/>
  <c r="R421" i="31"/>
  <c r="S421" i="31"/>
  <c r="R422" i="31"/>
  <c r="S422" i="31"/>
  <c r="R423" i="31"/>
  <c r="S423" i="31"/>
  <c r="R424" i="31"/>
  <c r="R425" i="31"/>
  <c r="S425" i="31"/>
  <c r="R426" i="31"/>
  <c r="S426" i="31"/>
  <c r="R427" i="31"/>
  <c r="S427" i="31"/>
  <c r="R428" i="31"/>
  <c r="S428" i="31"/>
  <c r="R429" i="31"/>
  <c r="R430" i="31"/>
  <c r="R431" i="31"/>
  <c r="S431" i="31"/>
  <c r="R432" i="31"/>
  <c r="S432" i="31"/>
  <c r="R433" i="31"/>
  <c r="S433" i="31"/>
  <c r="R434" i="31"/>
  <c r="R435" i="31"/>
  <c r="S435" i="31"/>
  <c r="R436" i="31"/>
  <c r="S436" i="31"/>
  <c r="R437" i="31"/>
  <c r="S437" i="31"/>
  <c r="R438" i="31"/>
  <c r="R439" i="31"/>
  <c r="S439" i="31"/>
  <c r="R440" i="31"/>
  <c r="S440" i="31"/>
  <c r="R441" i="31"/>
  <c r="S441" i="31"/>
  <c r="R442" i="31"/>
  <c r="R443" i="31"/>
  <c r="S443" i="31"/>
  <c r="R444" i="31"/>
  <c r="S444" i="31"/>
  <c r="R445" i="31"/>
  <c r="S445" i="31"/>
  <c r="R446" i="31"/>
  <c r="R447" i="31"/>
  <c r="S447" i="31"/>
  <c r="R448" i="31"/>
  <c r="S448" i="31"/>
  <c r="R449" i="31"/>
  <c r="S449" i="31"/>
  <c r="R450" i="31"/>
  <c r="S450" i="31"/>
  <c r="R451" i="31"/>
  <c r="S451" i="31"/>
  <c r="R452" i="31"/>
  <c r="R453" i="31"/>
  <c r="S453" i="31"/>
  <c r="R454" i="31"/>
  <c r="S454" i="31"/>
  <c r="R455" i="31"/>
  <c r="S455" i="31"/>
  <c r="R456" i="31"/>
  <c r="R457" i="31"/>
  <c r="S457" i="31"/>
  <c r="R458" i="31"/>
  <c r="S458" i="31"/>
  <c r="R459" i="31"/>
  <c r="S459" i="31"/>
  <c r="R460" i="31"/>
  <c r="R461" i="31"/>
  <c r="S461" i="31"/>
  <c r="R462" i="31"/>
  <c r="S462" i="31"/>
  <c r="R463" i="31"/>
  <c r="S463" i="31"/>
  <c r="R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R499" i="31"/>
  <c r="R500" i="31"/>
  <c r="S500" i="31"/>
  <c r="R501" i="31"/>
  <c r="R502" i="31"/>
  <c r="S502" i="31"/>
  <c r="R503" i="31"/>
  <c r="R504" i="31"/>
  <c r="S504" i="31"/>
  <c r="R505" i="31"/>
  <c r="R506" i="31"/>
  <c r="R507" i="31"/>
  <c r="S507" i="31"/>
  <c r="R508" i="31"/>
  <c r="S508" i="31"/>
  <c r="R509" i="31"/>
  <c r="S509" i="31"/>
  <c r="R510" i="31"/>
  <c r="S510" i="31"/>
  <c r="R511" i="31"/>
  <c r="S511" i="31"/>
  <c r="R512" i="31"/>
  <c r="S512" i="31"/>
  <c r="R513" i="31"/>
  <c r="S513" i="31"/>
  <c r="R514" i="31"/>
  <c r="S514" i="31"/>
  <c r="R515" i="31"/>
  <c r="S515" i="31"/>
  <c r="R516" i="31"/>
  <c r="S516" i="31"/>
  <c r="R517" i="31"/>
  <c r="R518" i="31"/>
  <c r="S518" i="31"/>
  <c r="R519" i="31"/>
  <c r="S519" i="31"/>
  <c r="R520" i="31"/>
  <c r="S520" i="31"/>
  <c r="R521" i="31"/>
  <c r="S521" i="31"/>
  <c r="R522" i="31"/>
  <c r="S522" i="31"/>
  <c r="R523" i="31"/>
  <c r="S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I5" i="3"/>
  <c r="F19" i="6"/>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C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4" i="31"/>
  <c r="S368" i="31"/>
  <c r="S352" i="31"/>
  <c r="S336" i="31"/>
  <c r="S424" i="31"/>
  <c r="S306" i="31"/>
  <c r="S290" i="31"/>
  <c r="S274" i="31"/>
  <c r="S258" i="31"/>
  <c r="S253" i="31"/>
  <c r="S237" i="31"/>
  <c r="S429" i="31"/>
  <c r="S219" i="31"/>
  <c r="S211" i="31"/>
  <c r="S203" i="31"/>
  <c r="S195" i="31"/>
  <c r="S187" i="31"/>
  <c r="S183" i="31"/>
  <c r="S179" i="31"/>
  <c r="S175" i="31"/>
  <c r="S171" i="31"/>
  <c r="S167" i="31"/>
  <c r="S163" i="31"/>
  <c r="S159" i="31"/>
  <c r="S155" i="31"/>
  <c r="S151" i="31"/>
  <c r="S147" i="31"/>
  <c r="S143" i="31"/>
  <c r="S142" i="31"/>
  <c r="S141" i="31"/>
  <c r="S140" i="31"/>
  <c r="S139" i="31"/>
  <c r="S138" i="31"/>
  <c r="S137" i="31"/>
  <c r="S136" i="31"/>
  <c r="S135" i="31"/>
  <c r="S134" i="31"/>
  <c r="S133" i="31"/>
  <c r="S132" i="31"/>
  <c r="S131" i="31"/>
  <c r="S130" i="31"/>
  <c r="S129" i="31"/>
  <c r="S128" i="31"/>
  <c r="S127" i="31"/>
  <c r="S126" i="31"/>
  <c r="S125" i="31"/>
  <c r="S124" i="31"/>
  <c r="S123" i="31"/>
  <c r="S483" i="31"/>
  <c r="S442" i="31"/>
  <c r="S438" i="31"/>
  <c r="S434" i="31"/>
  <c r="S430" i="31"/>
  <c r="S121" i="31"/>
  <c r="S119" i="31"/>
  <c r="S117" i="31"/>
  <c r="S115" i="31"/>
  <c r="S113" i="31"/>
  <c r="S506" i="31"/>
  <c r="S498" i="31"/>
  <c r="S464" i="31"/>
  <c r="S460" i="31"/>
  <c r="S456" i="31"/>
  <c r="S452" i="31"/>
  <c r="S53" i="31"/>
  <c r="S51" i="31"/>
  <c r="S49" i="31"/>
  <c r="S47" i="31"/>
  <c r="S45" i="31"/>
  <c r="S43" i="31"/>
  <c r="S41"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c r="H30" i="36"/>
  <c r="F30" i="36"/>
  <c r="AA30" i="36"/>
  <c r="C26" i="35"/>
  <c r="C79" i="35"/>
  <c r="J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7"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J13" i="40"/>
  <c r="W13" i="40"/>
  <c r="B77" i="40"/>
  <c r="J12" i="40"/>
  <c r="W12" i="40"/>
  <c r="M74" i="40"/>
  <c r="L74" i="40"/>
  <c r="K74" i="40"/>
  <c r="J74" i="40"/>
  <c r="I74" i="40"/>
  <c r="H74" i="40"/>
  <c r="G74" i="40"/>
  <c r="F74" i="40"/>
  <c r="E74" i="40"/>
  <c r="D74" i="40"/>
  <c r="C74" i="40"/>
  <c r="P43" i="40"/>
  <c r="P42" i="40"/>
  <c r="V41" i="40"/>
  <c r="T41" i="40"/>
  <c r="R41" i="40"/>
  <c r="P41" i="40"/>
  <c r="Q40" i="40"/>
  <c r="Z40" i="40"/>
  <c r="H40" i="40"/>
  <c r="Q39" i="40"/>
  <c r="Z39" i="40"/>
  <c r="H39" i="40"/>
  <c r="U39" i="40"/>
  <c r="Q38" i="40"/>
  <c r="Z38" i="40"/>
  <c r="J38" i="40"/>
  <c r="AC38" i="40"/>
  <c r="Q37" i="40"/>
  <c r="Z37" i="40"/>
  <c r="Q36" i="40"/>
  <c r="Z36" i="40"/>
  <c r="Q35" i="40"/>
  <c r="Z35" i="40"/>
  <c r="Q34" i="40"/>
  <c r="Z34" i="40"/>
  <c r="J34" i="40"/>
  <c r="AC34" i="40"/>
  <c r="H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J8" i="40"/>
  <c r="AC8" i="40"/>
  <c r="H8" i="40"/>
  <c r="AB8" i="40"/>
  <c r="F8" i="40"/>
  <c r="AA8" i="40"/>
  <c r="J38" i="39"/>
  <c r="W38" i="39"/>
  <c r="H38" i="39"/>
  <c r="AB38" i="39"/>
  <c r="F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F8" i="39"/>
  <c r="AA8" i="39"/>
  <c r="C20" i="36"/>
  <c r="C20" i="35"/>
  <c r="C16" i="36"/>
  <c r="C16" i="35"/>
  <c r="C14" i="36"/>
  <c r="C14" i="35"/>
  <c r="B80"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B95" i="36"/>
  <c r="H34" i="36"/>
  <c r="D83" i="36"/>
  <c r="E83" i="36"/>
  <c r="F83" i="36"/>
  <c r="G83" i="36"/>
  <c r="H83" i="36"/>
  <c r="I83" i="36"/>
  <c r="J83" i="36"/>
  <c r="K83" i="36"/>
  <c r="L83" i="36"/>
  <c r="M83" i="36"/>
  <c r="D78" i="36"/>
  <c r="E78" i="36"/>
  <c r="F78" i="36"/>
  <c r="G78" i="36"/>
  <c r="H78" i="36"/>
  <c r="I78" i="36"/>
  <c r="J78" i="36"/>
  <c r="K78" i="36"/>
  <c r="L78" i="36"/>
  <c r="M78" i="36"/>
  <c r="B75" i="36"/>
  <c r="F25" i="36"/>
  <c r="S2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F9" i="36"/>
  <c r="AA9" i="36"/>
  <c r="J8" i="36"/>
  <c r="H8" i="36"/>
  <c r="U8" i="36"/>
  <c r="F8" i="36"/>
  <c r="D89" i="35"/>
  <c r="M90" i="35"/>
  <c r="L90" i="35"/>
  <c r="K90" i="35"/>
  <c r="J90" i="35"/>
  <c r="I90" i="35"/>
  <c r="H90" i="35"/>
  <c r="G90" i="35"/>
  <c r="F90" i="35"/>
  <c r="E90" i="35"/>
  <c r="D90" i="35"/>
  <c r="C90" i="35"/>
  <c r="F85" i="35"/>
  <c r="E85" i="35"/>
  <c r="D85" i="35"/>
  <c r="C85" i="35"/>
  <c r="J27" i="35"/>
  <c r="W27" i="35"/>
  <c r="H27" i="35"/>
  <c r="U27" i="35"/>
  <c r="F27" i="35"/>
  <c r="AA27" i="35"/>
  <c r="J22" i="35"/>
  <c r="B101" i="35"/>
  <c r="H36" i="35"/>
  <c r="AB36" i="35"/>
  <c r="B99" i="35"/>
  <c r="B97" i="35"/>
  <c r="B77" i="35"/>
  <c r="F25" i="35"/>
  <c r="S25" i="35"/>
  <c r="B75" i="35"/>
  <c r="J24" i="35"/>
  <c r="AC24" i="35"/>
  <c r="B73" i="35"/>
  <c r="H23" i="35"/>
  <c r="U23" i="35"/>
  <c r="B57" i="35"/>
  <c r="B61" i="35"/>
  <c r="B59" i="35"/>
  <c r="B131" i="34"/>
  <c r="F47" i="34"/>
  <c r="S47" i="34"/>
  <c r="B129" i="34"/>
  <c r="B127" i="34"/>
  <c r="B99" i="34"/>
  <c r="B97" i="34"/>
  <c r="H31" i="34"/>
  <c r="B95" i="34"/>
  <c r="B93" i="34"/>
  <c r="B75" i="34"/>
  <c r="B73" i="34"/>
  <c r="J13" i="34"/>
  <c r="W13" i="34"/>
  <c r="B71" i="34"/>
  <c r="B130" i="33"/>
  <c r="B128" i="33"/>
  <c r="B126" i="33"/>
  <c r="J44" i="33"/>
  <c r="AC44" i="33"/>
  <c r="B98" i="33"/>
  <c r="B96" i="33"/>
  <c r="B94" i="33"/>
  <c r="B74" i="33"/>
  <c r="F1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F34" i="35"/>
  <c r="AA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C15" i="34"/>
  <c r="F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J28" i="34"/>
  <c r="W28" i="34"/>
  <c r="B89" i="34"/>
  <c r="D88" i="34"/>
  <c r="E88" i="34"/>
  <c r="F88" i="34"/>
  <c r="G88" i="34"/>
  <c r="H88" i="34"/>
  <c r="I88" i="34"/>
  <c r="J88" i="34"/>
  <c r="K88" i="34"/>
  <c r="L88" i="34"/>
  <c r="M88" i="34"/>
  <c r="D86" i="34"/>
  <c r="E86" i="34"/>
  <c r="F86" i="34"/>
  <c r="G86" i="34"/>
  <c r="D82" i="34"/>
  <c r="D80" i="34"/>
  <c r="E80" i="34"/>
  <c r="F80" i="34"/>
  <c r="G80" i="34"/>
  <c r="D78" i="34"/>
  <c r="E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H40" i="33"/>
  <c r="AB40" i="33"/>
  <c r="AA40" i="33"/>
  <c r="Q39" i="33"/>
  <c r="Z39" i="33"/>
  <c r="J39" i="33"/>
  <c r="Q38" i="33"/>
  <c r="Z38" i="33"/>
  <c r="J38" i="33"/>
  <c r="AC38" i="33"/>
  <c r="H38" i="33"/>
  <c r="AB38" i="33"/>
  <c r="F38" i="33"/>
  <c r="Q37" i="33"/>
  <c r="Z37" i="33"/>
  <c r="Q36" i="33"/>
  <c r="Z36" i="33"/>
  <c r="Q35" i="33"/>
  <c r="Z35" i="33"/>
  <c r="H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E119" i="21"/>
  <c r="F119" i="21"/>
  <c r="G119" i="21"/>
  <c r="H119" i="21"/>
  <c r="I119" i="21"/>
  <c r="J119" i="21"/>
  <c r="K119" i="21"/>
  <c r="L119" i="21"/>
  <c r="M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B96" i="21"/>
  <c r="B94" i="21"/>
  <c r="B92" i="21"/>
  <c r="B90"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J44" i="39"/>
  <c r="AC44" i="39"/>
  <c r="F36" i="39"/>
  <c r="S36" i="39"/>
  <c r="H36" i="39"/>
  <c r="AB36" i="39"/>
  <c r="J35" i="39"/>
  <c r="AC35" i="39"/>
  <c r="J36" i="39"/>
  <c r="AC36" i="39"/>
  <c r="U9" i="39"/>
  <c r="W40" i="39"/>
  <c r="U30" i="37"/>
  <c r="W31" i="37"/>
  <c r="E103" i="37"/>
  <c r="F103" i="37"/>
  <c r="G103" i="37"/>
  <c r="H103" i="37"/>
  <c r="I103" i="37"/>
  <c r="J103" i="37"/>
  <c r="K103" i="37"/>
  <c r="L103" i="37"/>
  <c r="M103" i="37"/>
  <c r="U14" i="37"/>
  <c r="F29" i="36"/>
  <c r="AA29" i="36"/>
  <c r="F16" i="36"/>
  <c r="AA16" i="36"/>
  <c r="S30" i="36"/>
  <c r="U31" i="36"/>
  <c r="J33" i="36"/>
  <c r="W33" i="36"/>
  <c r="H22" i="35"/>
  <c r="AB22" i="35"/>
  <c r="AC27" i="35"/>
  <c r="W28" i="35"/>
  <c r="U31" i="35"/>
  <c r="S34" i="35"/>
  <c r="W34" i="35"/>
  <c r="S31" i="35"/>
  <c r="F36" i="34"/>
  <c r="J35" i="34"/>
  <c r="H39" i="33"/>
  <c r="AB39" i="33"/>
  <c r="F26" i="33"/>
  <c r="S9" i="33"/>
  <c r="S40" i="33"/>
  <c r="W33" i="33"/>
  <c r="S27" i="35"/>
  <c r="F11" i="40"/>
  <c r="AA11" i="40"/>
  <c r="H11" i="40"/>
  <c r="AB11" i="40"/>
  <c r="W8" i="40"/>
  <c r="AB39" i="40"/>
  <c r="U9" i="40"/>
  <c r="S34" i="40"/>
  <c r="W31" i="40"/>
  <c r="F42" i="39"/>
  <c r="AA42" i="39"/>
  <c r="F41" i="39"/>
  <c r="S41" i="39"/>
  <c r="H40" i="39"/>
  <c r="AB40" i="39"/>
  <c r="H39" i="39"/>
  <c r="U39" i="39"/>
  <c r="H34" i="39"/>
  <c r="U34" i="39"/>
  <c r="E109" i="39"/>
  <c r="H31" i="39"/>
  <c r="AB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S10" i="36"/>
  <c r="AB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B34" i="37"/>
  <c r="J33" i="37"/>
  <c r="AC33" i="37"/>
  <c r="U42" i="34"/>
  <c r="H40" i="34"/>
  <c r="U40" i="34"/>
  <c r="E114" i="34"/>
  <c r="H36" i="34"/>
  <c r="U36" i="34"/>
  <c r="F37" i="34"/>
  <c r="AA37" i="34"/>
  <c r="F28" i="34"/>
  <c r="F25" i="34"/>
  <c r="S25" i="34"/>
  <c r="H23" i="34"/>
  <c r="U23" i="34"/>
  <c r="J23" i="34"/>
  <c r="H17" i="34"/>
  <c r="U17" i="34"/>
  <c r="J15" i="34"/>
  <c r="AC15" i="34"/>
  <c r="W8" i="34"/>
  <c r="F41" i="33"/>
  <c r="AA41" i="33"/>
  <c r="E113" i="33"/>
  <c r="F113" i="33"/>
  <c r="G113" i="33"/>
  <c r="H113" i="33"/>
  <c r="I113" i="33"/>
  <c r="J113" i="33"/>
  <c r="K113" i="33"/>
  <c r="L113" i="33"/>
  <c r="M113" i="33"/>
  <c r="F32" i="33"/>
  <c r="AA32" i="33"/>
  <c r="J19" i="33"/>
  <c r="AC19" i="33"/>
  <c r="J15" i="33"/>
  <c r="AC15" i="33"/>
  <c r="F11" i="33"/>
  <c r="AA11" i="33"/>
  <c r="U40" i="33"/>
  <c r="U8" i="33"/>
  <c r="F37" i="40"/>
  <c r="AA37" i="40"/>
  <c r="F36" i="40"/>
  <c r="AA36" i="40"/>
  <c r="H28" i="40"/>
  <c r="U28" i="40"/>
  <c r="F23" i="40"/>
  <c r="AA23" i="40"/>
  <c r="F17" i="40"/>
  <c r="AA17" i="40"/>
  <c r="J17" i="40"/>
  <c r="W17" i="40"/>
  <c r="F15" i="40"/>
  <c r="S15" i="40"/>
  <c r="H15" i="40"/>
  <c r="AB15" i="40"/>
  <c r="AC11" i="40"/>
  <c r="AB30"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F17" i="34"/>
  <c r="AA17" i="34"/>
  <c r="J17" i="34"/>
  <c r="W17" i="34"/>
  <c r="S41" i="33"/>
  <c r="H37" i="33"/>
  <c r="AB37" i="33"/>
  <c r="H15" i="33"/>
  <c r="AB15" i="33"/>
  <c r="H11" i="33"/>
  <c r="AB11" i="33"/>
  <c r="F28" i="40"/>
  <c r="AA28" i="40"/>
  <c r="AA29" i="35"/>
  <c r="AA42" i="34"/>
  <c r="S42" i="34"/>
  <c r="AC38" i="34"/>
  <c r="AA38" i="34"/>
  <c r="J37" i="34"/>
  <c r="AC37" i="34"/>
  <c r="J11" i="33"/>
  <c r="W11" i="33"/>
  <c r="U23" i="40"/>
  <c r="J42" i="21"/>
  <c r="AC42" i="21"/>
  <c r="H42" i="21"/>
  <c r="U42" i="21"/>
  <c r="J44" i="34"/>
  <c r="W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H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F27" i="21"/>
  <c r="AA27" i="21"/>
  <c r="J31" i="21"/>
  <c r="AC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J11" i="35"/>
  <c r="AC11" i="35"/>
  <c r="F11" i="35"/>
  <c r="S11" i="35"/>
  <c r="J26" i="36"/>
  <c r="W26" i="36"/>
  <c r="H28" i="36"/>
  <c r="U28" i="36"/>
  <c r="J32" i="36"/>
  <c r="W32" i="36"/>
  <c r="J11" i="36"/>
  <c r="AC11" i="36"/>
  <c r="H11" i="36"/>
  <c r="U11" i="36"/>
  <c r="F11" i="36"/>
  <c r="J13" i="36"/>
  <c r="AC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H14" i="33"/>
  <c r="U14" i="33"/>
  <c r="J14" i="33"/>
  <c r="F30" i="33"/>
  <c r="H44" i="33"/>
  <c r="F44" i="33"/>
  <c r="F46" i="33"/>
  <c r="AA46" i="33"/>
  <c r="H13" i="34"/>
  <c r="U13" i="34"/>
  <c r="F13" i="34"/>
  <c r="AA13" i="34"/>
  <c r="F29" i="34"/>
  <c r="S29" i="34"/>
  <c r="J31" i="34"/>
  <c r="AC31" i="34"/>
  <c r="F31" i="34"/>
  <c r="S31" i="34"/>
  <c r="J45" i="34"/>
  <c r="W45" i="34"/>
  <c r="H47" i="34"/>
  <c r="U47" i="34"/>
  <c r="J47" i="34"/>
  <c r="AC47" i="34"/>
  <c r="J13" i="35"/>
  <c r="AC13" i="35"/>
  <c r="J25" i="35"/>
  <c r="W25" i="35"/>
  <c r="H25" i="35"/>
  <c r="AB25" i="35"/>
  <c r="F35" i="35"/>
  <c r="AA35" i="35"/>
  <c r="J25" i="36"/>
  <c r="W25" i="36"/>
  <c r="H25" i="36"/>
  <c r="AB25" i="36"/>
  <c r="F13" i="37"/>
  <c r="S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F13" i="40"/>
  <c r="AA13" i="40"/>
  <c r="F14" i="37"/>
  <c r="S14" i="37"/>
  <c r="F27" i="37"/>
  <c r="AA27" i="37"/>
  <c r="F13" i="39"/>
  <c r="J13" i="39"/>
  <c r="W13" i="39"/>
  <c r="H13" i="39"/>
  <c r="H14" i="40"/>
  <c r="AB14" i="40"/>
  <c r="J14" i="40"/>
  <c r="W14" i="40"/>
  <c r="F14" i="40"/>
  <c r="AA14" i="40"/>
  <c r="J14" i="37"/>
  <c r="AC14" i="37"/>
  <c r="J27" i="37"/>
  <c r="AC27" i="37"/>
  <c r="J36" i="37"/>
  <c r="AC36" i="37"/>
  <c r="AB11" i="36"/>
  <c r="J10" i="36"/>
  <c r="AC10" i="36"/>
  <c r="AB30" i="21"/>
  <c r="AA14" i="37"/>
  <c r="W31" i="34"/>
  <c r="W13" i="36"/>
  <c r="W11" i="36"/>
  <c r="W11" i="35"/>
  <c r="AB46" i="34"/>
  <c r="AC30" i="34"/>
  <c r="AA14" i="34"/>
  <c r="S45" i="33"/>
  <c r="AB45" i="33"/>
  <c r="AB31" i="33"/>
  <c r="U31" i="33"/>
  <c r="W29" i="33"/>
  <c r="U13" i="33"/>
  <c r="AC28" i="21"/>
  <c r="BA586" i="3"/>
  <c r="F17" i="21"/>
  <c r="AA17" i="21"/>
  <c r="H17" i="21"/>
  <c r="AB17" i="21"/>
  <c r="F15" i="21"/>
  <c r="S15" i="21"/>
  <c r="AB11" i="21"/>
  <c r="J41" i="39"/>
  <c r="W41" i="39"/>
  <c r="W44" i="39"/>
  <c r="W36" i="39"/>
  <c r="W35" i="39"/>
  <c r="U36" i="39"/>
  <c r="G544" i="3"/>
  <c r="G540" i="3"/>
  <c r="G536" i="3"/>
  <c r="G535" i="3"/>
  <c r="G532" i="3"/>
  <c r="G531" i="3"/>
  <c r="G528" i="3"/>
  <c r="G527" i="3"/>
  <c r="G523" i="3"/>
  <c r="G518" i="3"/>
  <c r="G514" i="3"/>
  <c r="G510" i="3"/>
  <c r="G508" i="3"/>
  <c r="G504" i="3"/>
  <c r="G500" i="3"/>
  <c r="G496" i="3"/>
  <c r="G584" i="3"/>
  <c r="G580" i="3"/>
  <c r="G572" i="3"/>
  <c r="G564" i="3"/>
  <c r="G560" i="3"/>
  <c r="G554" i="3"/>
  <c r="G550" i="3"/>
  <c r="BL584" i="3"/>
  <c r="BL580" i="3"/>
  <c r="BL576" i="3"/>
  <c r="BL568" i="3"/>
  <c r="BL560" i="3"/>
  <c r="BL554" i="3"/>
  <c r="BL546" i="3"/>
  <c r="BL542" i="3"/>
  <c r="BL538" i="3"/>
  <c r="BL534" i="3"/>
  <c r="BL530" i="3"/>
  <c r="BL526" i="3"/>
  <c r="BL522" i="3"/>
  <c r="BL516" i="3"/>
  <c r="BL512" i="3"/>
  <c r="BL506" i="3"/>
  <c r="BL502" i="3"/>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60" i="3"/>
  <c r="BA558" i="3"/>
  <c r="AZ558" i="3"/>
  <c r="BA556" i="3"/>
  <c r="AZ556" i="3"/>
  <c r="BA554" i="3"/>
  <c r="AZ554" i="3"/>
  <c r="BA552" i="3"/>
  <c r="BA548" i="3"/>
  <c r="BA546" i="3"/>
  <c r="BA544" i="3"/>
  <c r="AZ544" i="3"/>
  <c r="BA542" i="3"/>
  <c r="AZ542" i="3"/>
  <c r="BA540" i="3"/>
  <c r="AZ540" i="3"/>
  <c r="BA538" i="3"/>
  <c r="BA536" i="3"/>
  <c r="AZ536" i="3"/>
  <c r="BA534" i="3"/>
  <c r="AZ534" i="3"/>
  <c r="BA532" i="3"/>
  <c r="AZ532" i="3"/>
  <c r="BA530" i="3"/>
  <c r="BA528" i="3"/>
  <c r="AZ528" i="3"/>
  <c r="BA526" i="3"/>
  <c r="AZ526" i="3"/>
  <c r="BA524" i="3"/>
  <c r="AZ524" i="3"/>
  <c r="BA522" i="3"/>
  <c r="BA520" i="3"/>
  <c r="BA518" i="3"/>
  <c r="BA516" i="3"/>
  <c r="AZ516" i="3"/>
  <c r="BA514" i="3"/>
  <c r="BA512" i="3"/>
  <c r="AZ512" i="3"/>
  <c r="BA510" i="3"/>
  <c r="AZ510" i="3"/>
  <c r="BA508" i="3"/>
  <c r="AZ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BQ511" i="3"/>
  <c r="BL511" i="3"/>
  <c r="AZ511" i="3"/>
  <c r="BA509" i="3"/>
  <c r="AC509" i="3"/>
  <c r="BQ509" i="3"/>
  <c r="BL509" i="3"/>
  <c r="AZ509" i="3"/>
  <c r="BL508" i="3"/>
  <c r="G507" i="3"/>
  <c r="G505" i="3"/>
  <c r="G503" i="3"/>
  <c r="G501" i="3"/>
  <c r="G499" i="3"/>
  <c r="G497" i="3"/>
  <c r="G495" i="3"/>
  <c r="BQ507" i="3"/>
  <c r="BL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43" i="33"/>
  <c r="U14" i="40"/>
  <c r="AC32" i="36"/>
  <c r="AC33" i="36"/>
  <c r="AA12" i="35"/>
  <c r="W23" i="35"/>
  <c r="W14" i="37"/>
  <c r="AB28" i="37"/>
  <c r="U33" i="37"/>
  <c r="W26" i="37"/>
  <c r="AC8" i="37"/>
  <c r="U26" i="37"/>
  <c r="W47" i="34"/>
  <c r="AB13" i="34"/>
  <c r="AB37" i="34"/>
  <c r="AA13"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32" i="3"/>
  <c r="AZ497" i="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AZ324" i="3"/>
  <c r="BA325" i="3"/>
  <c r="AZ325" i="3"/>
  <c r="BL325" i="3"/>
  <c r="G326" i="3"/>
  <c r="BA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AZ376" i="3"/>
  <c r="G377" i="3"/>
  <c r="BA378" i="3"/>
  <c r="AZ378" i="3"/>
  <c r="BL378" i="3"/>
  <c r="G379" i="3"/>
  <c r="BA380" i="3"/>
  <c r="G388" i="3"/>
  <c r="BL389" i="3"/>
  <c r="G390" i="3"/>
  <c r="BL391" i="3"/>
  <c r="BA393" i="3"/>
  <c r="AZ393" i="3"/>
  <c r="BA394" i="3"/>
  <c r="AZ394" i="3"/>
  <c r="BL394" i="3"/>
  <c r="G113" i="3"/>
  <c r="BA115" i="3"/>
  <c r="AZ115" i="3"/>
  <c r="BL116" i="3"/>
  <c r="AZ116" i="3"/>
  <c r="G117" i="3"/>
  <c r="BA119" i="3"/>
  <c r="BL120" i="3"/>
  <c r="G121" i="3"/>
  <c r="BA123" i="3"/>
  <c r="AZ123" i="3"/>
  <c r="BL124" i="3"/>
  <c r="AZ124" i="3"/>
  <c r="G125" i="3"/>
  <c r="BA127" i="3"/>
  <c r="AZ127" i="3"/>
  <c r="BL128" i="3"/>
  <c r="AZ128" i="3"/>
  <c r="G129" i="3"/>
  <c r="BA131" i="3"/>
  <c r="AZ131" i="3"/>
  <c r="BL132" i="3"/>
  <c r="AZ132" i="3"/>
  <c r="G133" i="3"/>
  <c r="BA135" i="3"/>
  <c r="BL136" i="3"/>
  <c r="G137" i="3"/>
  <c r="BA139" i="3"/>
  <c r="BL140" i="3"/>
  <c r="AZ140" i="3"/>
  <c r="G141" i="3"/>
  <c r="BA143" i="3"/>
  <c r="BL144" i="3"/>
  <c r="G145" i="3"/>
  <c r="BA147" i="3"/>
  <c r="AZ147" i="3"/>
  <c r="BL148" i="3"/>
  <c r="G149" i="3"/>
  <c r="BA151" i="3"/>
  <c r="AZ151" i="3"/>
  <c r="BL152" i="3"/>
  <c r="G153" i="3"/>
  <c r="BA155" i="3"/>
  <c r="AZ155" i="3"/>
  <c r="BL156" i="3"/>
  <c r="G157" i="3"/>
  <c r="BA159" i="3"/>
  <c r="AZ159" i="3"/>
  <c r="BL160" i="3"/>
  <c r="AZ160" i="3"/>
  <c r="G161" i="3"/>
  <c r="BA163" i="3"/>
  <c r="AZ163" i="3"/>
  <c r="BL164" i="3"/>
  <c r="G165" i="3"/>
  <c r="BA167" i="3"/>
  <c r="AZ167" i="3"/>
  <c r="BL168" i="3"/>
  <c r="G169" i="3"/>
  <c r="BA171" i="3"/>
  <c r="AZ171" i="3"/>
  <c r="BL172" i="3"/>
  <c r="G173" i="3"/>
  <c r="BA175" i="3"/>
  <c r="AZ175" i="3"/>
  <c r="BL176" i="3"/>
  <c r="G177" i="3"/>
  <c r="BA179" i="3"/>
  <c r="AZ179" i="3"/>
  <c r="BL180" i="3"/>
  <c r="G181" i="3"/>
  <c r="BA183" i="3"/>
  <c r="AZ183" i="3"/>
  <c r="BL184" i="3"/>
  <c r="G185" i="3"/>
  <c r="BA187" i="3"/>
  <c r="AZ187" i="3"/>
  <c r="BL188" i="3"/>
  <c r="G189" i="3"/>
  <c r="BA191" i="3"/>
  <c r="AZ191" i="3"/>
  <c r="BL192" i="3"/>
  <c r="AZ192" i="3"/>
  <c r="G193" i="3"/>
  <c r="BA195" i="3"/>
  <c r="AZ195" i="3"/>
  <c r="BL196" i="3"/>
  <c r="G197" i="3"/>
  <c r="BA199" i="3"/>
  <c r="AZ199" i="3"/>
  <c r="BL200" i="3"/>
  <c r="G201" i="3"/>
  <c r="BA203" i="3"/>
  <c r="AZ203" i="3"/>
  <c r="BL204" i="3"/>
  <c r="AZ39" i="3"/>
  <c r="AZ51" i="3"/>
  <c r="AZ55" i="3"/>
  <c r="AZ67" i="3"/>
  <c r="AZ71" i="3"/>
  <c r="AZ79" i="3"/>
  <c r="AZ83" i="3"/>
  <c r="AZ136" i="3"/>
  <c r="AZ144" i="3"/>
  <c r="AZ152" i="3"/>
  <c r="AZ168" i="3"/>
  <c r="AZ176" i="3"/>
  <c r="AZ184" i="3"/>
  <c r="AZ200" i="3"/>
  <c r="AZ85" i="3"/>
  <c r="AZ89" i="3"/>
  <c r="AZ97" i="3"/>
  <c r="AZ105" i="3"/>
  <c r="AZ120"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BA346" i="3"/>
  <c r="AZ346" i="3"/>
  <c r="BA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BL372" i="3"/>
  <c r="G373" i="3"/>
  <c r="G376" i="3"/>
  <c r="BL377" i="3"/>
  <c r="BL379" i="3"/>
  <c r="BA381" i="3"/>
  <c r="AZ381" i="3"/>
  <c r="BA382" i="3"/>
  <c r="BL382" i="3"/>
  <c r="AZ382" i="3"/>
  <c r="G383" i="3"/>
  <c r="G386" i="3"/>
  <c r="BL387" i="3"/>
  <c r="BA389" i="3"/>
  <c r="AZ389" i="3"/>
  <c r="BA390" i="3"/>
  <c r="BL390" i="3"/>
  <c r="G391" i="3"/>
  <c r="G394" i="3"/>
  <c r="AZ150" i="3"/>
  <c r="AZ158" i="3"/>
  <c r="AZ166" i="3"/>
  <c r="AZ174" i="3"/>
  <c r="AZ182" i="3"/>
  <c r="AZ190" i="3"/>
  <c r="AZ198" i="3"/>
  <c r="AZ500" i="3"/>
  <c r="BA16" i="3"/>
  <c r="AZ16" i="3"/>
  <c r="BL303" i="3"/>
  <c r="G304" i="3"/>
  <c r="BA306" i="3"/>
  <c r="AZ306" i="3"/>
  <c r="BL307" i="3"/>
  <c r="AZ307" i="3"/>
  <c r="G308" i="3"/>
  <c r="BA310" i="3"/>
  <c r="AZ310" i="3"/>
  <c r="BL311" i="3"/>
  <c r="G312" i="3"/>
  <c r="BA314" i="3"/>
  <c r="AZ314" i="3"/>
  <c r="BL315" i="3"/>
  <c r="AZ315" i="3"/>
  <c r="G316" i="3"/>
  <c r="BA318" i="3"/>
  <c r="AZ318" i="3"/>
  <c r="BL319" i="3"/>
  <c r="AZ319" i="3"/>
  <c r="G320" i="3"/>
  <c r="BA322" i="3"/>
  <c r="AZ322" i="3"/>
  <c r="BL323" i="3"/>
  <c r="AZ323" i="3"/>
  <c r="G324" i="3"/>
  <c r="BA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370" i="3"/>
  <c r="BA379" i="3"/>
  <c r="AZ379" i="3"/>
  <c r="BL380" i="3"/>
  <c r="G381" i="3"/>
  <c r="BA383" i="3"/>
  <c r="AZ383" i="3"/>
  <c r="BL384" i="3"/>
  <c r="G385" i="3"/>
  <c r="BA387" i="3"/>
  <c r="AZ387" i="3"/>
  <c r="BL388" i="3"/>
  <c r="G389" i="3"/>
  <c r="BA391" i="3"/>
  <c r="AZ391" i="3"/>
  <c r="BL392" i="3"/>
  <c r="G393" i="3"/>
  <c r="AZ263" i="3"/>
  <c r="AZ279" i="3"/>
  <c r="AZ287" i="3"/>
  <c r="AZ295"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E8" i="6"/>
  <c r="F27" i="6"/>
  <c r="BR5" i="3"/>
  <c r="AZ380" i="3"/>
  <c r="AZ384" i="3"/>
  <c r="AZ388" i="3"/>
  <c r="AZ392" i="3"/>
  <c r="AZ396" i="3"/>
  <c r="AZ499" i="3"/>
  <c r="G509" i="3"/>
  <c r="BL493" i="3"/>
  <c r="AZ491" i="3"/>
  <c r="AZ390"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01" i="3"/>
  <c r="W37" i="37"/>
  <c r="AC44" i="34"/>
  <c r="S15"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80" i="3"/>
  <c r="AZ296" i="3"/>
  <c r="AZ114" i="3"/>
  <c r="AZ130" i="3"/>
  <c r="AZ37" i="3"/>
  <c r="AZ42" i="3"/>
  <c r="AZ53" i="3"/>
  <c r="AZ58" i="3"/>
  <c r="AZ69" i="3"/>
  <c r="AZ82" i="3"/>
  <c r="AZ102"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G28" i="6"/>
  <c r="AZ326" i="3"/>
  <c r="AZ311" i="3"/>
  <c r="AZ372" i="3"/>
  <c r="AZ347" i="3"/>
  <c r="AZ344" i="3"/>
  <c r="AZ337" i="3"/>
  <c r="AZ320" i="3"/>
  <c r="AZ313" i="3"/>
  <c r="AZ305" i="3"/>
  <c r="AZ362" i="3"/>
  <c r="AC31" i="33"/>
  <c r="AZ507" i="3"/>
  <c r="AZ513" i="3"/>
  <c r="AZ521" i="3"/>
  <c r="AZ553" i="3"/>
  <c r="AZ583" i="3"/>
  <c r="AZ581" i="3"/>
  <c r="AZ518" i="3"/>
  <c r="U26" i="33"/>
  <c r="AB26" i="33"/>
  <c r="AC34" i="36"/>
  <c r="AA12" i="36"/>
  <c r="AA28" i="34"/>
  <c r="S28" i="34"/>
  <c r="U33" i="33"/>
  <c r="AA26" i="33"/>
  <c r="S26" i="33"/>
  <c r="U34" i="34"/>
  <c r="W36" i="35"/>
  <c r="AZ557" i="3"/>
  <c r="S44" i="33"/>
  <c r="AA44" i="33"/>
  <c r="AA11" i="36"/>
  <c r="S11" i="36"/>
  <c r="U11" i="35"/>
  <c r="AB11" i="35"/>
  <c r="W45" i="39"/>
  <c r="AC45" i="39"/>
  <c r="BL587" i="3"/>
  <c r="AZ587" i="3"/>
  <c r="BA585" i="3"/>
  <c r="J27" i="21"/>
  <c r="W27" i="21"/>
  <c r="H27" i="21"/>
  <c r="AB27" i="21"/>
  <c r="J29" i="21"/>
  <c r="AC29" i="21"/>
  <c r="H29" i="21"/>
  <c r="U29" i="21"/>
  <c r="H31" i="21"/>
  <c r="F31" i="21"/>
  <c r="S31" i="21"/>
  <c r="B71" i="43"/>
  <c r="C21" i="39"/>
  <c r="AA8" i="33"/>
  <c r="S8" i="33"/>
  <c r="AB35" i="33"/>
  <c r="U35" i="33"/>
  <c r="AA38" i="33"/>
  <c r="S38" i="33"/>
  <c r="AC39" i="33"/>
  <c r="W39" i="33"/>
  <c r="AC40" i="33"/>
  <c r="W40" i="33"/>
  <c r="S12" i="34"/>
  <c r="AA12" i="34"/>
  <c r="W12" i="34"/>
  <c r="AC12" i="34"/>
  <c r="F78" i="34"/>
  <c r="G78" i="34"/>
  <c r="F15" i="34"/>
  <c r="AA15" i="34"/>
  <c r="H15" i="34"/>
  <c r="AB15" i="34"/>
  <c r="E82" i="34"/>
  <c r="F82" i="34"/>
  <c r="G82" i="34"/>
  <c r="F19" i="34"/>
  <c r="J19" i="34"/>
  <c r="AC19" i="34"/>
  <c r="G67" i="34"/>
  <c r="F10" i="34"/>
  <c r="AA10" i="34"/>
  <c r="E90" i="34"/>
  <c r="F27" i="34"/>
  <c r="AA27" i="34"/>
  <c r="AB34" i="35"/>
  <c r="U34" i="35"/>
  <c r="J12" i="33"/>
  <c r="H12" i="33"/>
  <c r="S14" i="33"/>
  <c r="AA14" i="33"/>
  <c r="H30" i="33"/>
  <c r="AB30" i="33"/>
  <c r="J30" i="33"/>
  <c r="J46" i="33"/>
  <c r="AC46" i="33"/>
  <c r="H46" i="33"/>
  <c r="J29" i="34"/>
  <c r="H29" i="34"/>
  <c r="AB29" i="34"/>
  <c r="AB31" i="34"/>
  <c r="U31" i="34"/>
  <c r="H45" i="34"/>
  <c r="U45" i="34"/>
  <c r="F45" i="34"/>
  <c r="S45" i="34"/>
  <c r="F13" i="35"/>
  <c r="H13" i="35"/>
  <c r="U13" i="35"/>
  <c r="J35" i="35"/>
  <c r="AC35" i="35"/>
  <c r="H35" i="35"/>
  <c r="AC22" i="35"/>
  <c r="W22" i="35"/>
  <c r="AA8" i="36"/>
  <c r="S8" i="36"/>
  <c r="AC8" i="36"/>
  <c r="W8" i="36"/>
  <c r="AB9" i="36"/>
  <c r="U9" i="36"/>
  <c r="H13" i="36"/>
  <c r="AB13" i="36"/>
  <c r="F13" i="36"/>
  <c r="S13" i="36"/>
  <c r="F32" i="36"/>
  <c r="H32" i="36"/>
  <c r="AB32" i="36"/>
  <c r="S31" i="36"/>
  <c r="AA31" i="36"/>
  <c r="W31" i="36"/>
  <c r="AC31" i="36"/>
  <c r="H13" i="37"/>
  <c r="J13" i="37"/>
  <c r="W13" i="37"/>
  <c r="J39" i="37"/>
  <c r="AC39" i="37"/>
  <c r="F39" i="37"/>
  <c r="H39" i="37"/>
  <c r="AA34" i="39"/>
  <c r="S34" i="39"/>
  <c r="AA38" i="39"/>
  <c r="S38" i="39"/>
  <c r="S9" i="40"/>
  <c r="AA9" i="40"/>
  <c r="W9" i="40"/>
  <c r="AC9" i="40"/>
  <c r="AB34" i="40"/>
  <c r="U34" i="40"/>
  <c r="AC32" i="40"/>
  <c r="W32" i="40"/>
  <c r="BA576" i="3"/>
  <c r="AZ576" i="3"/>
  <c r="BL574" i="3"/>
  <c r="BA574" i="3"/>
  <c r="AZ574" i="3"/>
  <c r="BL572" i="3"/>
  <c r="BA572" i="3"/>
  <c r="AZ572" i="3"/>
  <c r="BA570" i="3"/>
  <c r="AZ570" i="3"/>
  <c r="BA568" i="3"/>
  <c r="AZ568" i="3"/>
  <c r="BL566" i="3"/>
  <c r="BA566" i="3"/>
  <c r="AZ566" i="3"/>
  <c r="BL564" i="3"/>
  <c r="BA564" i="3"/>
  <c r="AZ564" i="3"/>
  <c r="BA562" i="3"/>
  <c r="AZ562" i="3"/>
  <c r="AZ538" i="3"/>
  <c r="AZ552" i="3"/>
  <c r="U12" i="35"/>
  <c r="AB12" i="35"/>
  <c r="AC28" i="36"/>
  <c r="W28" i="36"/>
  <c r="H25" i="37"/>
  <c r="J25" i="37"/>
  <c r="U8" i="39"/>
  <c r="AB8" i="39"/>
  <c r="F31" i="39"/>
  <c r="J31" i="39"/>
  <c r="AB40" i="40"/>
  <c r="U40" i="40"/>
  <c r="F38" i="40"/>
  <c r="H38" i="40"/>
  <c r="J40" i="40"/>
  <c r="F40" i="40"/>
  <c r="W31" i="35"/>
  <c r="AC31" i="35"/>
  <c r="H35" i="39"/>
  <c r="AB35" i="39"/>
  <c r="F35" i="39"/>
  <c r="BL586" i="3"/>
  <c r="BL585" i="3"/>
  <c r="AZ585" i="3"/>
  <c r="J27" i="34"/>
  <c r="G582" i="3"/>
  <c r="G566" i="3"/>
  <c r="G552" i="3"/>
  <c r="BA551" i="3"/>
  <c r="G551" i="3"/>
  <c r="BL550" i="3"/>
  <c r="BA550" i="3"/>
  <c r="BL548" i="3"/>
  <c r="AZ548" i="3"/>
  <c r="G526" i="3"/>
  <c r="BL258" i="3"/>
  <c r="AZ258" i="3"/>
  <c r="G261" i="3"/>
  <c r="G262" i="3"/>
  <c r="BL262" i="3"/>
  <c r="AZ262" i="3"/>
  <c r="G265" i="3"/>
  <c r="G266" i="3"/>
  <c r="BL266" i="3"/>
  <c r="BA267" i="3"/>
  <c r="AZ267" i="3"/>
  <c r="BA268" i="3"/>
  <c r="AZ268" i="3"/>
  <c r="BA269" i="3"/>
  <c r="AZ269" i="3"/>
  <c r="BL271" i="3"/>
  <c r="AZ271" i="3"/>
  <c r="BA272" i="3"/>
  <c r="AZ272" i="3"/>
  <c r="BA273" i="3"/>
  <c r="AZ273" i="3"/>
  <c r="BL275" i="3"/>
  <c r="AZ275" i="3"/>
  <c r="BA276" i="3"/>
  <c r="AZ276" i="3"/>
  <c r="G279" i="3"/>
  <c r="G280" i="3"/>
  <c r="G281" i="3"/>
  <c r="BL281" i="3"/>
  <c r="BA282" i="3"/>
  <c r="AZ282" i="3"/>
  <c r="BA283" i="3"/>
  <c r="AZ283" i="3"/>
  <c r="G286" i="3"/>
  <c r="BL286" i="3"/>
  <c r="BL288" i="3"/>
  <c r="AZ288" i="3"/>
  <c r="BA289" i="3"/>
  <c r="AZ289" i="3"/>
  <c r="BL291" i="3"/>
  <c r="AZ291" i="3"/>
  <c r="BA292" i="3"/>
  <c r="AZ292" i="3"/>
  <c r="G295" i="3"/>
  <c r="G296" i="3"/>
  <c r="G297" i="3"/>
  <c r="BL297" i="3"/>
  <c r="BA298" i="3"/>
  <c r="AZ298" i="3"/>
  <c r="BA299" i="3"/>
  <c r="AZ299" i="3"/>
  <c r="G302" i="3"/>
  <c r="G114" i="3"/>
  <c r="G115" i="3"/>
  <c r="BL117" i="3"/>
  <c r="AZ117" i="3"/>
  <c r="BA118" i="3"/>
  <c r="AZ118" i="3"/>
  <c r="BL119" i="3"/>
  <c r="AZ119" i="3"/>
  <c r="BA121" i="3"/>
  <c r="AZ121" i="3"/>
  <c r="G124" i="3"/>
  <c r="G127" i="3"/>
  <c r="G130" i="3"/>
  <c r="G131" i="3"/>
  <c r="BL133" i="3"/>
  <c r="AZ133" i="3"/>
  <c r="BA134" i="3"/>
  <c r="AZ134" i="3"/>
  <c r="BL135" i="3"/>
  <c r="AZ135" i="3"/>
  <c r="BA137" i="3"/>
  <c r="AZ137" i="3"/>
  <c r="BA138" i="3"/>
  <c r="AZ138" i="3"/>
  <c r="BL139" i="3"/>
  <c r="AZ139" i="3"/>
  <c r="BA141" i="3"/>
  <c r="AZ141" i="3"/>
  <c r="BA142" i="3"/>
  <c r="AZ142" i="3"/>
  <c r="BL143" i="3"/>
  <c r="AZ143" i="3"/>
  <c r="BA145" i="3"/>
  <c r="AZ145" i="3"/>
  <c r="BA146" i="3"/>
  <c r="AZ146" i="3"/>
  <c r="BA148" i="3"/>
  <c r="AZ148" i="3"/>
  <c r="BL149" i="3"/>
  <c r="G152" i="3"/>
  <c r="BL154" i="3"/>
  <c r="AZ154" i="3"/>
  <c r="BA156" i="3"/>
  <c r="AZ156" i="3"/>
  <c r="BL157" i="3"/>
  <c r="G160" i="3"/>
  <c r="BL162" i="3"/>
  <c r="AZ162" i="3"/>
  <c r="BA164" i="3"/>
  <c r="AZ164" i="3"/>
  <c r="BL165" i="3"/>
  <c r="G168" i="3"/>
  <c r="BL170" i="3"/>
  <c r="AZ170" i="3"/>
  <c r="BA172" i="3"/>
  <c r="AZ172" i="3"/>
  <c r="BL173" i="3"/>
  <c r="G176" i="3"/>
  <c r="BL178" i="3"/>
  <c r="AZ178" i="3"/>
  <c r="BA180" i="3"/>
  <c r="AZ180" i="3"/>
  <c r="BL181" i="3"/>
  <c r="G184" i="3"/>
  <c r="BL186" i="3"/>
  <c r="AZ186" i="3"/>
  <c r="BA188" i="3"/>
  <c r="AZ188" i="3"/>
  <c r="BL189" i="3"/>
  <c r="G192" i="3"/>
  <c r="BL194" i="3"/>
  <c r="AZ194" i="3"/>
  <c r="BA196" i="3"/>
  <c r="AZ196" i="3"/>
  <c r="BL197" i="3"/>
  <c r="G200" i="3"/>
  <c r="AZ38" i="3"/>
  <c r="BL202" i="3"/>
  <c r="AZ202" i="3"/>
  <c r="BA204" i="3"/>
  <c r="AZ204" i="3"/>
  <c r="BA205" i="3"/>
  <c r="AZ205" i="3"/>
  <c r="BA206" i="3"/>
  <c r="AZ206" i="3"/>
  <c r="BL18" i="3"/>
  <c r="G19" i="3"/>
  <c r="G21" i="3"/>
  <c r="BA22" i="3"/>
  <c r="AZ22" i="3"/>
  <c r="BA23" i="3"/>
  <c r="BA24" i="3"/>
  <c r="AZ24" i="3"/>
  <c r="BL24" i="3"/>
  <c r="BA25" i="3"/>
  <c r="AZ25" i="3"/>
  <c r="BL27" i="3"/>
  <c r="G28" i="3"/>
  <c r="BL29" i="3"/>
  <c r="G30" i="3"/>
  <c r="BL31" i="3"/>
  <c r="AZ31" i="3"/>
  <c r="BL33" i="3"/>
  <c r="AZ33" i="3"/>
  <c r="G35" i="3"/>
  <c r="BL35" i="3"/>
  <c r="G37" i="3"/>
  <c r="G38" i="3"/>
  <c r="BL38" i="3"/>
  <c r="G41" i="3"/>
  <c r="BL41" i="3"/>
  <c r="BL43" i="3"/>
  <c r="AZ43" i="3"/>
  <c r="BA44" i="3"/>
  <c r="AZ44" i="3"/>
  <c r="BA45" i="3"/>
  <c r="AZ45" i="3"/>
  <c r="BL47" i="3"/>
  <c r="AZ47" i="3"/>
  <c r="BA48" i="3"/>
  <c r="AZ48" i="3"/>
  <c r="BL50" i="3"/>
  <c r="AZ50" i="3"/>
  <c r="G53" i="3"/>
  <c r="G54" i="3"/>
  <c r="BL54" i="3"/>
  <c r="AZ54" i="3"/>
  <c r="G57" i="3"/>
  <c r="BL57" i="3"/>
  <c r="AZ57" i="3"/>
  <c r="BL59" i="3"/>
  <c r="AZ59" i="3"/>
  <c r="BA60" i="3"/>
  <c r="AZ60" i="3"/>
  <c r="BA61" i="3"/>
  <c r="AZ61" i="3"/>
  <c r="BL63" i="3"/>
  <c r="AZ63" i="3"/>
  <c r="BA64" i="3"/>
  <c r="AZ64" i="3"/>
  <c r="BL66" i="3"/>
  <c r="AZ66" i="3"/>
  <c r="G69" i="3"/>
  <c r="G70" i="3"/>
  <c r="BL70" i="3"/>
  <c r="AZ70" i="3"/>
  <c r="BL72" i="3"/>
  <c r="AZ72" i="3"/>
  <c r="BA73" i="3"/>
  <c r="AZ73" i="3"/>
  <c r="BA74" i="3"/>
  <c r="AZ74" i="3"/>
  <c r="BA75" i="3"/>
  <c r="AZ75" i="3"/>
  <c r="BL77" i="3"/>
  <c r="AZ77" i="3"/>
  <c r="G79" i="3"/>
  <c r="G80" i="3"/>
  <c r="BL80" i="3"/>
  <c r="G82" i="3"/>
  <c r="G83" i="3"/>
  <c r="G84" i="3"/>
  <c r="BL84" i="3"/>
  <c r="BL86" i="3"/>
  <c r="AZ86" i="3"/>
  <c r="G88" i="3"/>
  <c r="BL88" i="3"/>
  <c r="G91" i="3"/>
  <c r="BL91" i="3"/>
  <c r="AZ91" i="3"/>
  <c r="BA92" i="3"/>
  <c r="AZ92" i="3"/>
  <c r="BA93" i="3"/>
  <c r="AZ93" i="3"/>
  <c r="BA94" i="3"/>
  <c r="AZ94" i="3"/>
  <c r="G97" i="3"/>
  <c r="G98" i="3"/>
  <c r="BL98" i="3"/>
  <c r="AZ98" i="3"/>
  <c r="BA99" i="3"/>
  <c r="AZ99" i="3"/>
  <c r="BL101" i="3"/>
  <c r="AZ101" i="3"/>
  <c r="G104" i="3"/>
  <c r="BL104" i="3"/>
  <c r="AZ104" i="3"/>
  <c r="BA106" i="3"/>
  <c r="AZ106" i="3"/>
  <c r="BA108" i="3"/>
  <c r="AZ108" i="3"/>
  <c r="BA109" i="3"/>
  <c r="AZ109" i="3"/>
  <c r="BA110" i="3"/>
  <c r="AZ110" i="3"/>
  <c r="BA112" i="3"/>
  <c r="AZ112" i="3"/>
  <c r="F3" i="35"/>
  <c r="G11" i="1"/>
  <c r="J51" i="15"/>
  <c r="M100" i="43"/>
  <c r="I100" i="43"/>
  <c r="E100" i="43"/>
  <c r="I20" i="66"/>
  <c r="C25" i="39"/>
  <c r="A15" i="62"/>
  <c r="B61" i="72"/>
  <c r="S44" i="34"/>
  <c r="W37" i="34"/>
  <c r="S35" i="34"/>
  <c r="AA41" i="34"/>
  <c r="AC36" i="34"/>
  <c r="S34" i="34"/>
  <c r="AB23" i="34"/>
  <c r="AC17" i="34"/>
  <c r="AB17" i="34"/>
  <c r="S15" i="34"/>
  <c r="W9" i="34"/>
  <c r="S9" i="34"/>
  <c r="G13" i="1"/>
  <c r="BA18" i="3"/>
  <c r="AZ18" i="3"/>
  <c r="BL20" i="3"/>
  <c r="AZ20" i="3"/>
  <c r="BL23" i="3"/>
  <c r="BL26" i="3"/>
  <c r="BA27" i="3"/>
  <c r="AZ27" i="3"/>
  <c r="BA28" i="3"/>
  <c r="AZ28" i="3"/>
  <c r="BA29" i="3"/>
  <c r="AZ29" i="3"/>
  <c r="BL15" i="3"/>
  <c r="AZ15" i="3"/>
  <c r="AZ23" i="3"/>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E10" i="6"/>
  <c r="BA5" i="3"/>
  <c r="E27" i="6"/>
  <c r="E11" i="6"/>
  <c r="E61" i="39"/>
  <c r="BL17" i="3"/>
  <c r="AZ17" i="3"/>
  <c r="BL13"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2" i="67"/>
  <c r="F42" i="67"/>
  <c r="M26" i="67"/>
  <c r="C76" i="67"/>
  <c r="F43" i="67"/>
  <c r="F13" i="67"/>
  <c r="F38" i="67"/>
  <c r="F6" i="67"/>
  <c r="F16" i="67"/>
  <c r="F40" i="67"/>
  <c r="M28" i="67"/>
  <c r="J15" i="15"/>
  <c r="C76" i="15"/>
  <c r="M28" i="15"/>
  <c r="M23" i="67"/>
  <c r="L48" i="67"/>
  <c r="F7" i="67"/>
  <c r="M6" i="67"/>
  <c r="M22" i="15"/>
  <c r="F36" i="67"/>
  <c r="M29" i="15"/>
  <c r="F9" i="67"/>
  <c r="M23" i="15"/>
  <c r="M24" i="15"/>
  <c r="F37" i="67"/>
  <c r="M26" i="15"/>
  <c r="M24" i="67"/>
  <c r="L47" i="15"/>
  <c r="M29" i="67"/>
  <c r="F8" i="67"/>
  <c r="L47" i="67"/>
  <c r="M8" i="67"/>
  <c r="J15" i="67"/>
  <c r="F26" i="67"/>
  <c r="M9" i="67"/>
  <c r="AA35" i="39"/>
  <c r="S35" i="39"/>
  <c r="AA40" i="40"/>
  <c r="S40" i="40"/>
  <c r="AB38" i="40"/>
  <c r="U38" i="40"/>
  <c r="AC25" i="37"/>
  <c r="W25" i="37"/>
  <c r="AB39" i="37"/>
  <c r="U39" i="37"/>
  <c r="AB13" i="37"/>
  <c r="U13" i="37"/>
  <c r="S13" i="35"/>
  <c r="AA13" i="35"/>
  <c r="F90" i="34"/>
  <c r="G90" i="34"/>
  <c r="H90" i="34"/>
  <c r="I90" i="34"/>
  <c r="J90" i="34"/>
  <c r="K90" i="34"/>
  <c r="L90" i="34"/>
  <c r="M90" i="34"/>
  <c r="H27" i="34"/>
  <c r="W40" i="40"/>
  <c r="AC40" i="40"/>
  <c r="AA38" i="40"/>
  <c r="S38" i="40"/>
  <c r="AA31" i="39"/>
  <c r="S31" i="39"/>
  <c r="U25" i="37"/>
  <c r="AB25" i="37"/>
  <c r="S39" i="37"/>
  <c r="AA39" i="37"/>
  <c r="AB35" i="35"/>
  <c r="U35" i="35"/>
  <c r="AB46" i="33"/>
  <c r="U46" i="33"/>
  <c r="U12" i="33"/>
  <c r="AB12" i="33"/>
  <c r="AA11" i="34"/>
  <c r="T10" i="1"/>
  <c r="L58" i="67"/>
  <c r="L58" i="15"/>
  <c r="Q73" i="15"/>
  <c r="N59" i="67"/>
  <c r="L59" i="67"/>
  <c r="M59" i="67"/>
  <c r="M59" i="15"/>
  <c r="J53" i="67"/>
  <c r="I54" i="67"/>
  <c r="N59" i="15"/>
  <c r="I54" i="15"/>
  <c r="L56" i="15"/>
  <c r="AQ13" i="1"/>
  <c r="AZ13" i="3"/>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P24" i="43"/>
  <c r="B66"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D9" i="68"/>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K21" i="6"/>
  <c r="M21" i="6"/>
  <c r="I21" i="6"/>
  <c r="S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C10" i="67"/>
  <c r="AP7" i="1"/>
  <c r="M7" i="1"/>
  <c r="O7" i="1"/>
  <c r="Q16" i="1"/>
  <c r="F27" i="69"/>
  <c r="H16" i="1"/>
  <c r="K16" i="1"/>
  <c r="AB45" i="21"/>
  <c r="AC33" i="21"/>
  <c r="W33" i="21"/>
  <c r="S33" i="21"/>
  <c r="AA33" i="21"/>
  <c r="W32" i="21"/>
  <c r="AC32" i="21"/>
  <c r="AB9" i="21"/>
  <c r="U9" i="21"/>
  <c r="AA32" i="21"/>
  <c r="S32" i="21"/>
  <c r="W9" i="21"/>
  <c r="AC9" i="21"/>
  <c r="AB32" i="21"/>
  <c r="U32" i="21"/>
  <c r="AA10" i="21"/>
  <c r="S10" i="21"/>
  <c r="C36" i="69"/>
  <c r="F59" i="67"/>
  <c r="F31" i="15"/>
  <c r="F31" i="67"/>
  <c r="M17" i="15"/>
  <c r="M17" i="67"/>
  <c r="F59" i="15"/>
  <c r="C16" i="67"/>
  <c r="AB27" i="34"/>
  <c r="U27" i="34"/>
  <c r="C30" i="69"/>
  <c r="AQ7" i="1"/>
  <c r="E3" i="6"/>
  <c r="T7" i="1"/>
  <c r="AR7" i="1"/>
  <c r="L59" i="15"/>
  <c r="Q74" i="15"/>
  <c r="C30" i="11"/>
  <c r="E6" i="70"/>
  <c r="K27" i="6"/>
  <c r="A18" i="62"/>
  <c r="B64" i="72"/>
  <c r="B14" i="74"/>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2" i="11"/>
  <c r="F25" i="12"/>
  <c r="F22" i="69"/>
  <c r="F24" i="67"/>
  <c r="C24" i="67"/>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J10" i="67"/>
  <c r="C53" i="67"/>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C14" i="74"/>
  <c r="B2" i="74"/>
  <c r="AB7" i="36"/>
  <c r="T36" i="36"/>
  <c r="C23" i="68"/>
  <c r="E38" i="43"/>
  <c r="E6" i="3"/>
  <c r="C47" i="68"/>
  <c r="D45" i="68"/>
  <c r="AA10" i="39"/>
  <c r="D10" i="68"/>
  <c r="D10" i="11"/>
  <c r="C10" i="11"/>
  <c r="D20" i="12"/>
  <c r="C20" i="12"/>
  <c r="C18" i="12"/>
  <c r="M19" i="9"/>
  <c r="C118" i="9"/>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5"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14" i="12"/>
  <c r="C23" i="12"/>
  <c r="E6" i="76"/>
  <c r="C38" i="11"/>
  <c r="D31" i="6"/>
  <c r="I6" i="6"/>
  <c r="E2" i="7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R24" i="31"/>
  <c r="H63" i="40"/>
  <c r="G65" i="40"/>
  <c r="H70" i="39"/>
  <c r="C33" i="11"/>
  <c r="C42" i="11"/>
  <c r="F35" i="67"/>
  <c r="M21" i="67"/>
  <c r="M21" i="15"/>
  <c r="B6" i="76"/>
  <c r="S24" i="31"/>
  <c r="R39" i="31"/>
  <c r="S39" i="31"/>
  <c r="R35" i="31"/>
  <c r="S35" i="31"/>
  <c r="R31" i="31"/>
  <c r="S31" i="31"/>
  <c r="R27" i="31"/>
  <c r="S27" i="31"/>
  <c r="R36" i="31"/>
  <c r="S36" i="31"/>
  <c r="R32" i="31"/>
  <c r="S32" i="31"/>
  <c r="R28" i="31"/>
  <c r="S28" i="31"/>
  <c r="R37" i="31"/>
  <c r="S37" i="31"/>
  <c r="R33" i="31"/>
  <c r="S33" i="31"/>
  <c r="R29" i="31"/>
  <c r="S29" i="31"/>
  <c r="R25" i="31"/>
  <c r="S25" i="31"/>
  <c r="R38" i="31"/>
  <c r="S38" i="31"/>
  <c r="R34" i="31"/>
  <c r="S34" i="31"/>
  <c r="R30" i="31"/>
  <c r="S30" i="31"/>
  <c r="R26" i="31"/>
  <c r="S26" i="31"/>
  <c r="I5" i="6"/>
  <c r="B2" i="76"/>
  <c r="B3" i="76"/>
  <c r="B3" i="43"/>
  <c r="C49" i="21"/>
  <c r="F63" i="67"/>
  <c r="C62" i="67"/>
  <c r="C34" i="67"/>
  <c r="J20" i="67"/>
  <c r="C24" i="68"/>
  <c r="C20" i="68"/>
  <c r="C28" i="68"/>
  <c r="C27" i="68"/>
  <c r="J20" i="15"/>
  <c r="F63" i="15"/>
  <c r="C62" i="15"/>
  <c r="R16" i="1"/>
  <c r="C22" i="12"/>
  <c r="C30" i="12"/>
  <c r="C28" i="12"/>
  <c r="C33" i="68"/>
  <c r="I63" i="40"/>
  <c r="H65" i="40"/>
  <c r="C39" i="11"/>
  <c r="C43" i="11"/>
  <c r="C41" i="11"/>
  <c r="I70" i="39"/>
  <c r="R22" i="31"/>
  <c r="B21" i="31"/>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M27" i="15"/>
  <c r="F41" i="67"/>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AO6" i="1"/>
  <c r="AO7" i="1"/>
  <c r="AO8" i="1"/>
  <c r="B8" i="70"/>
  <c r="B7" i="70"/>
  <c r="B6" i="70"/>
  <c r="C46" i="15"/>
  <c r="B2" i="69"/>
  <c r="B3" i="69"/>
  <c r="B2" i="68"/>
  <c r="B3" i="67"/>
  <c r="F20" i="31"/>
  <c r="D2" i="35"/>
  <c r="D2" i="34"/>
  <c r="D2" i="21"/>
  <c r="D2" i="36"/>
  <c r="D2" i="33"/>
  <c r="E2" i="68"/>
  <c r="D2" i="37"/>
  <c r="B2" i="36"/>
  <c r="B3" i="36"/>
  <c r="B2" i="35"/>
  <c r="B3" i="35"/>
  <c r="B2" i="37"/>
  <c r="B3" i="37"/>
  <c r="B2" i="34"/>
  <c r="B3" i="34"/>
  <c r="B2" i="21"/>
  <c r="B3" i="21"/>
  <c r="B2" i="70"/>
  <c r="B3" i="70"/>
  <c r="B3" i="68"/>
  <c r="D20" i="9"/>
  <c r="C20" i="9"/>
  <c r="C21" i="9"/>
  <c r="C102" i="9"/>
  <c r="D102" i="9"/>
  <c r="D22" i="9"/>
  <c r="D21" i="9"/>
  <c r="C103" i="9"/>
  <c r="D103" i="9"/>
  <c r="G20" i="9"/>
  <c r="G21"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H101" i="9"/>
  <c r="M48" i="9"/>
  <c r="I118" i="9"/>
  <c r="H21" i="77"/>
  <c r="H119" i="9"/>
  <c r="H5" i="52"/>
  <c r="F4" i="52"/>
  <c r="B51" i="72"/>
  <c r="F119" i="9"/>
  <c r="F5" i="52"/>
  <c r="B53" i="72"/>
  <c r="D14" i="74"/>
  <c r="H4" i="52"/>
  <c r="D4" i="52"/>
  <c r="B47" i="72"/>
  <c r="H107" i="9"/>
  <c r="M49" i="9"/>
  <c r="C105" i="9"/>
  <c r="H5" i="77"/>
  <c r="L68" i="9"/>
  <c r="M68" i="9"/>
  <c r="L66" i="9"/>
  <c r="M66" i="9"/>
  <c r="L63" i="9"/>
  <c r="M63" i="9"/>
  <c r="L65" i="9"/>
  <c r="M65" i="9"/>
  <c r="L64" i="9"/>
  <c r="M64" i="9"/>
  <c r="L67" i="9"/>
  <c r="M67" i="9"/>
  <c r="D45" i="9"/>
  <c r="D53" i="9"/>
  <c r="I4" i="52"/>
  <c r="D5" i="53"/>
  <c r="B20" i="72"/>
  <c r="H102" i="9"/>
  <c r="D7" i="53"/>
  <c r="B21" i="72"/>
  <c r="E118" i="9"/>
  <c r="E4" i="52"/>
  <c r="B48" i="72"/>
  <c r="D122" i="9"/>
  <c r="H108" i="9"/>
  <c r="D15" i="53"/>
  <c r="B31" i="72"/>
  <c r="D13" i="53"/>
  <c r="E14" i="74"/>
  <c r="B5" i="74"/>
  <c r="F14" i="74"/>
  <c r="I5" i="77"/>
  <c r="H6" i="77"/>
  <c r="M69" i="9"/>
  <c r="N69" i="9"/>
  <c r="C93" i="9"/>
  <c r="C86" i="9"/>
  <c r="D52" i="9"/>
  <c r="C78" i="9"/>
  <c r="C73" i="9"/>
  <c r="C85" i="9"/>
  <c r="C72" i="9"/>
  <c r="D55" i="9"/>
  <c r="M53" i="9"/>
  <c r="C64" i="9"/>
  <c r="C63" i="9"/>
  <c r="D6" i="53"/>
  <c r="B22" i="72"/>
  <c r="D5" i="74"/>
  <c r="C5" i="74"/>
  <c r="D14" i="53"/>
  <c r="B32" i="72"/>
  <c r="B30" i="72"/>
  <c r="G14" i="74"/>
  <c r="B6" i="74"/>
  <c r="D123" i="9"/>
  <c r="D9" i="52"/>
  <c r="D8" i="52"/>
  <c r="I6" i="77"/>
  <c r="H7" i="77"/>
  <c r="C95" i="9"/>
  <c r="C67" i="9"/>
  <c r="C68" i="9"/>
  <c r="D54" i="9"/>
  <c r="C79" i="9"/>
  <c r="D6" i="74"/>
  <c r="C6" i="74"/>
  <c r="H8" i="77"/>
  <c r="I7" i="77"/>
  <c r="C96" i="9"/>
  <c r="E96" i="9"/>
  <c r="E97" i="9"/>
  <c r="C80" i="9"/>
  <c r="E80" i="9"/>
  <c r="E81" i="9"/>
  <c r="H9" i="77"/>
  <c r="I8" i="77"/>
  <c r="C97" i="9"/>
  <c r="D58" i="9"/>
  <c r="D56" i="9"/>
  <c r="M54" i="9"/>
  <c r="N57" i="9"/>
  <c r="N59" i="9"/>
  <c r="C81" i="9"/>
  <c r="H10" i="77"/>
  <c r="I9" i="77"/>
  <c r="N60" i="9"/>
  <c r="N61" i="9"/>
  <c r="P57" i="9"/>
  <c r="N58" i="9"/>
  <c r="H11" i="77"/>
  <c r="I10" i="77"/>
  <c r="H12" i="77"/>
  <c r="I11" i="77"/>
  <c r="H13" i="77"/>
  <c r="I12" i="77"/>
  <c r="H14" i="77"/>
  <c r="I13" i="77"/>
  <c r="H15" i="77"/>
  <c r="I14" i="77"/>
  <c r="H16" i="77"/>
  <c r="I15" i="77"/>
  <c r="H17" i="77"/>
  <c r="I16" i="77"/>
  <c r="H18" i="77"/>
  <c r="I17" i="77"/>
  <c r="H19" i="77"/>
  <c r="I18" i="77"/>
  <c r="H20" i="77"/>
  <c r="I19" i="77"/>
  <c r="I20"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<sst xmlns="http://schemas.openxmlformats.org/spreadsheetml/2006/main" count="7445" uniqueCount="3151">
  <si>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</si>
  <si>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</si>
  <si>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</si>
  <si>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</si>
  <si>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</si>
  <si>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</si>
  <si>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</si>
  <si>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</si>
  <si>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</si>
  <si>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</si>
  <si>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</si>
  <si>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</si>
  <si>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</si>
  <si>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</si>
  <si>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</si>
  <si>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</si>
  <si>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</si>
  <si>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</si>
  <si>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</si>
  <si>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</si>
  <si>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</si>
  <si>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</si>
  <si>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</si>
  <si>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</si>
  <si>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</si>
  <si>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</si>
  <si>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</si>
  <si>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</si>
  <si>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</si>
  <si>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</si>
  <si>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</si>
  <si>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</si>
  <si>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</si>
  <si>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</si>
  <si>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</si>
  <si>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</si>
  <si>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</si>
  <si>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</si>
  <si>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</si>
  <si>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</si>
  <si>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</si>
  <si>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</si>
  <si>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</si>
  <si>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</si>
  <si>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</si>
  <si>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</si>
  <si>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</si>
  <si>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</si>
  <si>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</si>
  <si>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</si>
  <si>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</si>
  <si>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</si>
  <si>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</si>
  <si>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</si>
  <si>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</si>
  <si>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</si>
  <si>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</si>
  <si>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</si>
  <si>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</si>
  <si>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</si>
  <si>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</si>
  <si>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</si>
  <si>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</si>
  <si>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</si>
  <si>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</si>
  <si>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</si>
  <si>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</si>
  <si>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</si>
  <si>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</si>
  <si>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</si>
  <si>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</si>
  <si>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</si>
  <si>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</si>
  <si>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</si>
  <si>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</si>
  <si>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</si>
  <si>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</si>
  <si>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</si>
  <si>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</si>
  <si>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</si>
  <si>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</si>
  <si>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</si>
  <si>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</si>
  <si>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</si>
  <si>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</si>
  <si>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</si>
  <si>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</si>
  <si>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</si>
  <si>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</si>
  <si>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</si>
  <si>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</si>
  <si>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</si>
  <si>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</si>
  <si>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</si>
  <si>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</si>
  <si>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</si>
  <si>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</si>
  <si>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</si>
  <si>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</si>
  <si>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</si>
  <si>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</si>
  <si>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</si>
  <si>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</si>
  <si>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</si>
  <si>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</si>
  <si>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</si>
  <si>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</si>
  <si>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</si>
  <si>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</si>
  <si>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</si>
  <si>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</si>
  <si>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</si>
  <si>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</si>
  <si>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</si>
  <si>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</si>
  <si>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</si>
  <si>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</si>
  <si>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</si>
  <si>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</si>
  <si>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</si>
  <si>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</si>
  <si>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</si>
  <si>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</si>
  <si>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</si>
  <si>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</si>
  <si>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</si>
  <si>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</si>
  <si>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</si>
  <si>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</si>
  <si>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</si>
  <si>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</si>
  <si>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</si>
  <si>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</si>
  <si>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</si>
  <si>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</si>
  <si>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</si>
  <si>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</si>
  <si>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</si>
  <si>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</si>
  <si>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</si>
  <si>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</si>
  <si>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</si>
  <si>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</si>
  <si>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</si>
  <si>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</si>
  <si>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</si>
  <si>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</si>
  <si>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</si>
  <si>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</si>
  <si>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</si>
  <si>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</si>
  <si>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</si>
  <si>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</si>
  <si>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</si>
  <si>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</si>
  <si>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</si>
  <si>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</si>
  <si>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</si>
  <si>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</si>
  <si>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</si>
  <si>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</si>
  <si>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</si>
  <si>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</si>
  <si>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</si>
  <si>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</si>
  <si>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</si>
  <si>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</si>
  <si>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</si>
  <si>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</si>
  <si>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</si>
  <si>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</si>
  <si>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</si>
  <si>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</si>
  <si>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</si>
  <si>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</si>
  <si>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</si>
  <si>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</si>
  <si>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</si>
  <si>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</si>
  <si>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</si>
  <si>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</si>
  <si>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</si>
  <si>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</si>
  <si>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</si>
  <si>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</si>
  <si>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</si>
  <si>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</si>
  <si>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</si>
  <si>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</si>
  <si>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</si>
  <si>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</si>
  <si>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</si>
  <si>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</si>
  <si>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</si>
  <si>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</si>
  <si>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</si>
  <si>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</si>
  <si>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</si>
  <si>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</si>
  <si>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</si>
  <si>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</si>
  <si>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</si>
  <si>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</si>
  <si>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</si>
  <si>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</si>
  <si>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</si>
  <si>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</si>
  <si>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</si>
  <si>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</si>
  <si>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</si>
  <si>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</si>
  <si>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</si>
  <si>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</si>
  <si>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</si>
  <si>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</si>
  <si>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</si>
  <si>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</si>
  <si>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</si>
  <si>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</si>
  <si>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</si>
  <si>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</si>
  <si>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</si>
  <si>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</si>
  <si>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</si>
  <si>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</si>
  <si>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</si>
  <si>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</si>
  <si>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</si>
  <si>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</si>
  <si>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</si>
  <si>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</si>
  <si>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</si>
  <si>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</si>
  <si>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</si>
  <si>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</si>
  <si>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</si>
  <si>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</si>
  <si>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</si>
  <si>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</si>
  <si>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</si>
  <si>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</si>
  <si>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</si>
  <si>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</si>
  <si>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</si>
  <si>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</si>
  <si>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</si>
  <si>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</si>
  <si>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</si>
  <si>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</si>
  <si>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</si>
  <si>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</si>
  <si>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</si>
  <si>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</si>
  <si>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</si>
  <si>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</si>
  <si>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</si>
  <si>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</si>
  <si>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</si>
  <si>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</si>
  <si>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</si>
  <si>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</si>
  <si>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</si>
  <si>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</si>
  <si>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</si>
  <si>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</si>
  <si>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</si>
  <si>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</si>
  <si>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</si>
  <si>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</si>
  <si>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</si>
  <si>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</si>
  <si>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</si>
  <si>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</si>
  <si>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</si>
  <si>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</si>
  <si>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</si>
  <si>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</si>
  <si>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</si>
  <si>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</si>
  <si>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</si>
  <si>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</si>
  <si>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</si>
  <si>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</si>
  <si>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</si>
  <si>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</si>
  <si>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</si>
  <si>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</si>
  <si>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</si>
  <si>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</si>
  <si>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</si>
  <si>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</si>
  <si>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</si>
  <si>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</si>
  <si>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</si>
  <si>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</si>
  <si>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</si>
  <si>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</si>
  <si>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</si>
  <si>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</si>
  <si>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</si>
  <si>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</si>
  <si>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</si>
  <si>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</si>
  <si>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</si>
  <si>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</si>
  <si>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</si>
  <si>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</si>
  <si>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</si>
  <si>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</si>
  <si>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</si>
  <si>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</si>
  <si>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</si>
  <si>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</si>
  <si>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</si>
  <si>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</si>
  <si>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</si>
  <si>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</si>
  <si>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</si>
  <si>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</si>
  <si>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</si>
  <si>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</si>
  <si>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</si>
  <si>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</si>
  <si>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</si>
  <si>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</si>
  <si>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</si>
  <si>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</si>
  <si>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</si>
  <si>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</si>
  <si>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</si>
  <si>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</si>
  <si>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</si>
  <si>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</si>
  <si>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</si>
  <si>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</si>
  <si>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</si>
  <si>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</si>
  <si>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</si>
  <si>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</si>
  <si>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</si>
  <si>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</si>
  <si>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</si>
  <si>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</si>
  <si>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</si>
  <si>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</si>
  <si>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</si>
  <si>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</si>
  <si>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</si>
  <si>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</si>
  <si>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</si>
  <si>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</si>
  <si>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</si>
  <si>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</si>
  <si>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</si>
  <si>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</si>
  <si>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</si>
  <si>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</si>
  <si>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</si>
  <si>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</si>
  <si>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</si>
  <si>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</si>
  <si>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</si>
  <si>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</si>
  <si>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</si>
  <si>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</si>
  <si>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</si>
  <si>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</si>
  <si>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</si>
  <si>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</si>
  <si>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</si>
  <si>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</si>
  <si>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</si>
  <si>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</si>
  <si>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</si>
  <si>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</si>
  <si>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</si>
  <si>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</si>
  <si>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</si>
  <si>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</si>
  <si>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</si>
  <si>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</si>
  <si>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</si>
  <si>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</si>
  <si>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</si>
  <si>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</si>
  <si>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</si>
  <si>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</si>
  <si>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</si>
  <si>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</si>
  <si>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</si>
  <si>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</si>
  <si>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</si>
  <si>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</si>
  <si>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</si>
  <si>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</si>
  <si>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</si>
  <si>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</si>
  <si>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</si>
  <si>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</si>
  <si>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</si>
  <si>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</si>
  <si>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</si>
  <si>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</si>
  <si>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</si>
  <si>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</si>
  <si>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</si>
  <si>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</si>
  <si>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</si>
  <si>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</si>
  <si>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</si>
  <si>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</si>
  <si>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</si>
  <si>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</si>
  <si>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</si>
  <si>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</si>
  <si>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</si>
  <si>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</si>
  <si>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</si>
  <si>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</si>
  <si>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</si>
  <si>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</si>
  <si>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</si>
  <si>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</si>
  <si>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</si>
  <si>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</si>
  <si>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</si>
  <si>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</si>
  <si>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</si>
  <si>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</si>
  <si>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</si>
  <si>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</si>
  <si>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</si>
  <si>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</si>
  <si>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</si>
  <si>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</si>
  <si>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</si>
  <si>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</si>
  <si>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</si>
  <si>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</si>
  <si>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</si>
  <si>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</si>
  <si>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</si>
  <si>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</si>
  <si>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</si>
  <si>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</si>
  <si>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</si>
  <si>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</si>
  <si>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</si>
  <si>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</si>
  <si>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</si>
  <si>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</si>
  <si>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</si>
  <si>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</si>
  <si>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</si>
  <si>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</si>
  <si>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</si>
  <si>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</si>
  <si>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</si>
  <si>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</si>
  <si>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</si>
  <si>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</si>
  <si>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</si>
  <si>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</si>
  <si>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</si>
  <si>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</si>
  <si>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</si>
  <si>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</si>
  <si>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</si>
  <si>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</si>
  <si>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</si>
  <si>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</si>
  <si>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</si>
  <si>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</si>
  <si>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</si>
  <si>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</si>
  <si>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</si>
  <si>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</si>
  <si>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</si>
  <si>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</si>
  <si>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</si>
  <si>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</si>
  <si>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</si>
  <si>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</si>
  <si>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</si>
  <si>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</si>
  <si>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</si>
  <si>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</si>
  <si>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</si>
  <si>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</si>
  <si>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</si>
  <si>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</si>
  <si>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</si>
  <si>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</si>
  <si>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</si>
  <si>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</si>
  <si>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</si>
  <si>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</si>
  <si>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</si>
  <si>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</si>
  <si>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</si>
  <si>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</si>
  <si>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</si>
  <si>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</si>
  <si>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</si>
  <si>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</si>
  <si>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</si>
  <si>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</si>
  <si>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</si>
  <si>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</si>
  <si>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</si>
  <si>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</si>
  <si>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</si>
  <si>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</si>
  <si>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</si>
  <si>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</si>
  <si>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</si>
  <si>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</si>
  <si>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</si>
  <si>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</si>
  <si>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</si>
  <si>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</si>
  <si>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</si>
  <si>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</si>
  <si>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</si>
  <si>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</si>
  <si>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</si>
  <si>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</si>
  <si>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</si>
  <si>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</si>
  <si>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</si>
  <si>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</si>
  <si>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</si>
  <si>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</si>
  <si>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</si>
  <si>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</si>
  <si>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</si>
  <si>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</si>
  <si>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</si>
  <si>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</si>
  <si>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</si>
  <si>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</si>
  <si>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</si>
  <si>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</si>
  <si>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</si>
  <si>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</si>
  <si>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</si>
  <si>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</si>
  <si>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</si>
  <si>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</si>
  <si>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</si>
  <si>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</si>
  <si>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</si>
  <si>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</si>
  <si>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</si>
  <si>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</si>
  <si>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</si>
  <si>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</si>
  <si>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</si>
  <si>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</si>
  <si>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</si>
  <si>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</si>
  <si>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</si>
  <si>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</si>
  <si>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</si>
  <si>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</si>
  <si>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</si>
  <si>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</si>
  <si>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</si>
  <si>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</si>
  <si>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</si>
  <si>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</si>
  <si>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</si>
  <si>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</si>
  <si>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</si>
  <si>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</si>
  <si>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</si>
  <si>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</si>
  <si>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</si>
  <si>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</si>
  <si>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</si>
  <si>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</si>
  <si>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</si>
  <si>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</si>
  <si>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</si>
  <si>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</si>
  <si>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</si>
  <si>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</si>
  <si>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</si>
  <si>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</si>
  <si>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</si>
  <si>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</si>
  <si>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</si>
  <si>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</si>
  <si>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</si>
  <si>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</si>
  <si>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</si>
  <si>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</si>
  <si>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</si>
  <si>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</si>
  <si>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</si>
  <si>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</si>
  <si>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</si>
  <si>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</si>
  <si>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</si>
  <si>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</si>
  <si>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</si>
  <si>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</si>
  <si>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</si>
  <si>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</si>
  <si>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</si>
  <si>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</si>
  <si>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</si>
  <si>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</si>
  <si>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</si>
  <si>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</si>
  <si>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</si>
  <si>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</si>
  <si>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</si>
  <si>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</si>
  <si>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</si>
  <si>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</si>
  <si>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</si>
  <si>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</si>
  <si>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</si>
  <si>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</si>
  <si>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</si>
  <si>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</si>
  <si>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</si>
  <si>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</si>
  <si>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</si>
  <si>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</si>
  <si>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</si>
  <si>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</si>
  <si>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</si>
  <si>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</si>
  <si>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</si>
  <si>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</si>
  <si>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</si>
  <si>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</si>
  <si>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</si>
  <si>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</si>
  <si>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</si>
  <si>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</si>
  <si>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</si>
  <si>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</si>
  <si>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</si>
  <si>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</si>
  <si>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</si>
  <si>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</si>
  <si>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</si>
  <si>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</si>
  <si>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</si>
  <si>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</si>
  <si>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</si>
  <si>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</si>
  <si>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</si>
  <si>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</si>
  <si>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</si>
  <si>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</si>
  <si>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</si>
  <si>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</si>
  <si>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</si>
  <si>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</si>
  <si>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</si>
  <si>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</si>
  <si>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</si>
  <si>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</si>
  <si>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</si>
  <si>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</si>
  <si>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</si>
  <si>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</si>
  <si>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</si>
  <si>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</si>
  <si>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</si>
  <si>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</si>
  <si>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</si>
  <si>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</si>
  <si>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</si>
  <si>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</si>
  <si>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</si>
  <si>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</si>
  <si>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</si>
  <si>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</si>
  <si>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</si>
  <si>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</si>
  <si>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</si>
  <si>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</si>
  <si>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</si>
  <si>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</si>
  <si>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</si>
  <si>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</si>
  <si>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</si>
  <si>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</si>
  <si>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</si>
  <si>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</si>
  <si>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</si>
  <si>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</si>
  <si>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</si>
  <si>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</si>
  <si>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</si>
  <si>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</si>
  <si>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</si>
  <si>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</si>
  <si>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</si>
  <si>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</si>
  <si>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</si>
  <si>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</si>
  <si>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</si>
  <si>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</si>
  <si>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</si>
  <si>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</si>
  <si>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</si>
  <si>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</si>
  <si>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</si>
  <si>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</si>
  <si>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</si>
  <si>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</si>
  <si>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</si>
  <si>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</si>
  <si>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</si>
  <si>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</si>
  <si>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</si>
  <si>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</si>
  <si>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</si>
  <si>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</si>
  <si>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</si>
  <si>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</si>
  <si>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</si>
  <si>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</si>
  <si>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</si>
  <si>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</si>
  <si>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</si>
  <si>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</si>
  <si>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</si>
  <si>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</si>
  <si>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</si>
  <si>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</si>
  <si>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</si>
  <si>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</si>
  <si>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</si>
  <si>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</si>
  <si>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</si>
  <si>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</si>
  <si>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</si>
  <si>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</si>
  <si>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</si>
  <si>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</si>
  <si>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</si>
  <si>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</si>
  <si>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</si>
  <si>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</si>
  <si>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</si>
  <si>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</si>
  <si>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</si>
  <si>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</si>
  <si>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</si>
  <si>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</si>
  <si>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</si>
  <si>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</si>
  <si>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</si>
  <si>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</si>
  <si>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</si>
  <si>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</si>
  <si>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</si>
  <si>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</si>
  <si>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</si>
  <si>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</si>
  <si>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</si>
  <si>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</si>
  <si>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</si>
  <si>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</si>
  <si>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</si>
  <si>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</si>
  <si>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</si>
  <si>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</si>
  <si>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</si>
  <si>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</si>
  <si>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</si>
  <si>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</si>
  <si>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</si>
  <si>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</si>
  <si>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</si>
  <si>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</si>
  <si>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</si>
  <si>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</si>
  <si>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</si>
  <si>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</si>
  <si>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</si>
  <si>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</si>
  <si>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</si>
  <si>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</si>
  <si>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</si>
  <si>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</si>
  <si>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</si>
  <si>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</si>
  <si>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</si>
  <si>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</si>
  <si>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</si>
  <si>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</si>
  <si>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</si>
  <si>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</si>
  <si>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</si>
  <si>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</si>
  <si>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</si>
  <si>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</si>
  <si>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</si>
  <si>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</si>
  <si>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</si>
  <si>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</si>
  <si>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</si>
  <si>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</si>
  <si>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</si>
  <si>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</si>
  <si>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</si>
  <si>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</si>
  <si>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</si>
  <si>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</si>
  <si>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</si>
  <si>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</si>
  <si>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</si>
  <si>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</si>
  <si>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</si>
  <si>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</si>
  <si>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</si>
  <si>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</si>
  <si>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</si>
  <si>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</si>
  <si>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</si>
  <si>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</si>
  <si>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</si>
  <si>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</si>
  <si>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</si>
  <si>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</si>
  <si>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</si>
  <si>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</si>
  <si>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</si>
  <si>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</si>
  <si>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</si>
  <si>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</si>
  <si>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</si>
  <si>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</si>
  <si>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</si>
  <si>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</si>
  <si>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</si>
  <si>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</si>
  <si>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</si>
  <si>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</si>
  <si>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</si>
  <si>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</si>
  <si>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</si>
  <si>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</si>
  <si>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</si>
  <si>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</si>
  <si>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</si>
  <si>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</si>
  <si>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</si>
  <si>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</si>
  <si>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</si>
  <si>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</si>
  <si>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</si>
  <si>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</si>
  <si>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</si>
  <si>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</si>
  <si>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</si>
  <si>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</si>
  <si>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</si>
  <si>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</si>
  <si>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</si>
  <si>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</si>
  <si>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</si>
  <si>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</si>
  <si>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</si>
  <si>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</si>
  <si>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</si>
  <si>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</si>
  <si>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</si>
  <si>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</si>
  <si>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</si>
  <si>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</si>
  <si>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</si>
  <si>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</si>
  <si>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</si>
  <si>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</si>
  <si>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</si>
  <si>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</si>
  <si>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</si>
  <si>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</si>
  <si>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</si>
  <si>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</si>
  <si>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</si>
  <si>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</si>
  <si>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</si>
  <si>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</si>
  <si>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</si>
  <si>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</si>
  <si>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</si>
  <si>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</si>
  <si>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</si>
  <si>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</si>
  <si>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</si>
  <si>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</si>
  <si>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</si>
  <si>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</si>
  <si>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</si>
  <si>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</si>
  <si>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</si>
  <si>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</si>
  <si>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</si>
  <si>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</si>
  <si>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</si>
  <si>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</si>
  <si>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</si>
  <si>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</si>
  <si>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</si>
  <si>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</si>
  <si>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</si>
  <si>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</si>
  <si>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</si>
  <si>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</si>
  <si>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</si>
  <si>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</si>
  <si>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</si>
  <si>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</si>
  <si>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</si>
  <si>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</si>
  <si>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</si>
  <si>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</si>
  <si>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</si>
  <si>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</si>
  <si>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</si>
  <si>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</si>
  <si>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</si>
  <si>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</si>
  <si>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</si>
  <si>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</si>
  <si>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</si>
  <si>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</si>
  <si>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</si>
  <si>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</si>
  <si>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</si>
  <si>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</si>
  <si>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</si>
  <si>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</si>
  <si>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</si>
  <si>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</si>
  <si>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</si>
  <si>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</si>
  <si>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</si>
  <si>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</si>
  <si>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</si>
  <si>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</si>
  <si>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</si>
  <si>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</si>
  <si>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</si>
  <si>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</si>
  <si>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</si>
  <si>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</si>
  <si>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</si>
  <si>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</si>
  <si>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</si>
  <si>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</si>
  <si>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</si>
  <si>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</si>
  <si>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</si>
  <si>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</si>
  <si>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</si>
  <si>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</si>
  <si>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</si>
  <si>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</si>
  <si>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</si>
  <si>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</si>
  <si>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</si>
  <si>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</si>
  <si>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</si>
  <si>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</si>
  <si>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</si>
  <si>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</si>
  <si>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</si>
  <si>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</si>
  <si>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</si>
  <si>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</si>
  <si>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</si>
  <si>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</si>
  <si>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</si>
  <si>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</si>
  <si>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</si>
  <si>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</si>
  <si>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</si>
  <si>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</si>
  <si>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</si>
  <si>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</si>
  <si>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</si>
  <si>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</si>
  <si>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</si>
  <si>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</si>
  <si>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</si>
  <si>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</si>
  <si>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</si>
  <si>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</si>
  <si>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</si>
  <si>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</si>
  <si>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</si>
  <si>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</si>
  <si>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</si>
  <si>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</si>
  <si>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</si>
  <si>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</si>
  <si>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</si>
  <si>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</si>
  <si>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</si>
  <si>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</si>
  <si>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</si>
  <si>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</si>
  <si>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</si>
  <si>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</si>
  <si>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</si>
  <si>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</si>
  <si>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</si>
  <si>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</si>
  <si>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</si>
  <si>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</si>
  <si>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</si>
  <si>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</si>
  <si>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</si>
  <si>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</si>
  <si>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</si>
  <si>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</si>
  <si>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</si>
  <si>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</si>
  <si>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</si>
  <si>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</si>
  <si>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</si>
  <si>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</si>
  <si>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</si>
  <si>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</si>
  <si>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</si>
  <si>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</si>
  <si>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</si>
  <si>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</si>
  <si>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</si>
  <si>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</si>
  <si>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</si>
  <si>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</si>
  <si>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</si>
  <si>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</si>
  <si>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</si>
  <si>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</si>
  <si>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</si>
  <si>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</si>
  <si>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</si>
  <si>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</si>
  <si>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</si>
  <si>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</si>
  <si>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</si>
  <si>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</si>
  <si>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</si>
  <si>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</si>
  <si>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</si>
  <si>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</si>
  <si>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</si>
  <si>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</si>
  <si>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</si>
  <si>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</si>
  <si>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</si>
  <si>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</si>
  <si>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</si>
  <si>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</si>
  <si>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</si>
  <si>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</si>
  <si>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</si>
  <si>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</si>
  <si>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</si>
  <si>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</si>
  <si>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</si>
  <si>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</si>
  <si>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</si>
  <si>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</si>
  <si>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</si>
  <si>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</si>
  <si>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</si>
  <si>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</si>
  <si>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</si>
  <si>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</si>
  <si>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</si>
  <si>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</si>
  <si>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</si>
  <si>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</si>
  <si>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</si>
  <si>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</si>
  <si>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</si>
  <si>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</si>
  <si>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</si>
  <si>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</si>
  <si>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</si>
  <si>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</si>
  <si>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</si>
  <si>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</si>
  <si>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</si>
  <si>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</si>
  <si>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</si>
  <si>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</si>
  <si>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</si>
  <si>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</si>
  <si>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</si>
  <si>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</si>
  <si>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</si>
  <si>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</si>
  <si>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</si>
  <si>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</si>
  <si>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</si>
  <si>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</si>
  <si>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</si>
  <si>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</si>
  <si>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</si>
  <si>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</si>
  <si>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</si>
  <si>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</si>
  <si>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</si>
  <si>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</si>
  <si>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</si>
  <si>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</si>
  <si>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</si>
  <si>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</si>
  <si>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</si>
  <si>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</si>
  <si>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</si>
  <si>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</si>
  <si>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</si>
  <si>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</si>
  <si>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</si>
  <si>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</si>
  <si>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</si>
  <si>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</si>
  <si>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</si>
  <si>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</si>
  <si>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</si>
  <si>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</si>
  <si>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</si>
  <si>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</si>
  <si>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</si>
  <si>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</si>
  <si>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</si>
  <si>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</si>
  <si>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</si>
  <si>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</si>
  <si>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</si>
  <si>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</si>
  <si>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</si>
  <si>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</si>
  <si>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</si>
  <si>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</si>
  <si>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</si>
  <si>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</si>
  <si>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</si>
  <si>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</si>
  <si>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</si>
  <si>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</si>
  <si>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</si>
  <si>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</si>
  <si>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</si>
  <si>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</si>
  <si>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</si>
  <si>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</si>
  <si>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</si>
  <si>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</si>
  <si>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</si>
  <si>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</si>
  <si>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</si>
  <si>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</si>
  <si>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</si>
  <si>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</si>
  <si>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</si>
  <si>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</si>
  <si>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</si>
  <si>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</si>
  <si>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</si>
  <si>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</si>
  <si>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</si>
  <si>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</si>
  <si>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</si>
  <si>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</si>
  <si>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</si>
  <si>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</si>
  <si>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</si>
  <si>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</si>
  <si>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</si>
  <si>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</si>
  <si>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</si>
  <si>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</si>
  <si>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</si>
  <si>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</si>
  <si>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</si>
  <si>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</si>
  <si>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</si>
  <si>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</si>
  <si>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</si>
  <si>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</si>
  <si>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</si>
  <si>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</si>
  <si>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</si>
  <si>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</si>
  <si>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</si>
  <si>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</si>
  <si>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</si>
  <si>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</si>
  <si>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</si>
  <si>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</si>
  <si>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</si>
  <si>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</si>
  <si>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</si>
  <si>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</si>
  <si>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</si>
  <si>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</si>
  <si>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</si>
  <si>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</si>
  <si>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</si>
  <si>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</si>
  <si>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</si>
  <si>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</si>
  <si>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</si>
  <si>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</si>
  <si>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</si>
  <si>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</si>
  <si>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</si>
  <si>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</si>
  <si>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</si>
  <si>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</si>
  <si>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</si>
  <si>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</si>
  <si>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</si>
  <si>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</si>
  <si>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</si>
  <si>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</si>
  <si>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</si>
  <si>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</si>
  <si>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</si>
  <si>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</si>
  <si>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</si>
  <si>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</si>
  <si>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</si>
  <si>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</si>
  <si>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</si>
  <si>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</si>
  <si>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</si>
  <si>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</si>
  <si>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</si>
  <si>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</si>
  <si>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</si>
  <si>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</si>
  <si>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</si>
  <si>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</si>
  <si>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</si>
  <si>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</si>
  <si>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</si>
  <si>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</si>
  <si>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</si>
  <si>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</si>
  <si>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</si>
  <si>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</si>
  <si>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</si>
  <si>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</si>
  <si>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</si>
  <si>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</si>
  <si>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</si>
  <si>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</si>
  <si>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</si>
  <si>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</si>
  <si>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</si>
  <si>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</si>
  <si>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</si>
  <si>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</si>
  <si>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</si>
  <si>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</si>
  <si>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</si>
  <si>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</si>
  <si>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</si>
  <si>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</si>
  <si>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</si>
  <si>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</si>
  <si>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</si>
  <si>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</si>
  <si>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</si>
  <si>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</si>
  <si>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</si>
  <si>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</si>
  <si>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</si>
  <si>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</si>
  <si>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</si>
  <si>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</si>
  <si>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</si>
  <si>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</si>
  <si>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</si>
  <si>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</si>
  <si>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</si>
  <si>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</si>
  <si>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</si>
  <si>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</si>
  <si>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</si>
  <si>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</si>
  <si>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</si>
  <si>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</si>
  <si>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</si>
  <si>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</si>
  <si>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</si>
  <si>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</si>
  <si>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</si>
  <si>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</si>
  <si>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</si>
  <si>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</si>
  <si>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</si>
  <si>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</si>
  <si>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</si>
  <si>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</si>
  <si>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</si>
  <si>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</si>
  <si>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</si>
  <si>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</si>
  <si>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</si>
  <si>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</si>
  <si>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</si>
  <si>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</si>
  <si>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</si>
  <si>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</si>
  <si>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</si>
  <si>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</si>
  <si>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</si>
  <si>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</si>
  <si>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</si>
  <si>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</si>
  <si>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</si>
  <si>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</si>
  <si>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</si>
  <si>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</si>
  <si>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</si>
  <si>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</si>
  <si>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</si>
  <si>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</si>
  <si>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</si>
  <si>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</si>
  <si>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</si>
  <si>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</si>
  <si>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</si>
  <si>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</si>
  <si>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</si>
  <si>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</si>
  <si>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</si>
  <si>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</si>
  <si>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</si>
  <si>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</si>
  <si>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</si>
  <si>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</si>
  <si>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</si>
  <si>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</si>
  <si>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</si>
  <si>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</si>
  <si>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</si>
  <si>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</si>
  <si>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</si>
  <si>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</si>
  <si>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</si>
  <si>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</si>
  <si>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</si>
  <si>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</si>
  <si>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</si>
  <si>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</si>
  <si>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</si>
  <si>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</si>
  <si>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</si>
  <si>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</si>
  <si>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</si>
  <si>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</si>
  <si>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</si>
  <si>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</si>
  <si>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</si>
  <si>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</si>
  <si>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</si>
  <si>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</si>
  <si>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</si>
  <si>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</si>
  <si>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</si>
  <si>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</si>
  <si>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</si>
  <si>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</si>
  <si>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</si>
  <si>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</si>
  <si>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</si>
  <si>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</si>
  <si>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</si>
  <si>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</si>
  <si>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</si>
  <si>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</si>
  <si>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</si>
  <si>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</si>
  <si>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</si>
  <si>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</si>
  <si>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</si>
  <si>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</si>
  <si>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</si>
  <si>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</si>
  <si>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</si>
  <si>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</si>
  <si>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</si>
  <si>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</si>
  <si>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</si>
  <si>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</si>
  <si>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</si>
  <si>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</si>
  <si>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</si>
  <si>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</si>
  <si>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</si>
  <si>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</si>
  <si>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</si>
  <si>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</si>
  <si>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</si>
  <si>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</si>
  <si>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</si>
  <si>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</si>
  <si>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</si>
  <si>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</si>
  <si>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</si>
  <si>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</si>
  <si>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</si>
  <si>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</si>
  <si>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</si>
  <si>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</si>
  <si>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</si>
  <si>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</si>
  <si>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</si>
  <si>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</si>
  <si>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</si>
  <si>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</si>
  <si>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</si>
  <si>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</si>
  <si>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</si>
  <si>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</si>
  <si>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</si>
  <si>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</si>
  <si>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</si>
  <si>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</si>
  <si>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</si>
  <si>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</si>
  <si>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</si>
  <si>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</si>
  <si>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</si>
  <si>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</si>
  <si>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</si>
  <si>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</si>
  <si>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</si>
  <si>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</si>
  <si>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</si>
  <si>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</si>
  <si>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</si>
  <si>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</si>
  <si>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</si>
  <si>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</si>
  <si>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</si>
  <si>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</si>
  <si>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</si>
  <si>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</si>
  <si>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</si>
  <si>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</si>
  <si>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</si>
  <si>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</si>
  <si>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</si>
  <si>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</si>
  <si>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</si>
  <si>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</si>
  <si>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</si>
  <si>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</si>
  <si>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</si>
  <si>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</si>
  <si>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</si>
  <si>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</si>
  <si>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</si>
  <si>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</si>
  <si>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</si>
  <si>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</si>
  <si>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</si>
  <si>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</si>
  <si>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</si>
  <si>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</si>
  <si>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</si>
  <si>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</si>
  <si>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</si>
  <si>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</si>
  <si>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</si>
  <si>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</si>
  <si>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</si>
  <si>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</si>
  <si>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</si>
  <si>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</si>
  <si>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</si>
  <si>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</si>
  <si>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</si>
  <si>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</si>
  <si>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</si>
  <si>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</si>
  <si>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</si>
  <si>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</si>
  <si>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</si>
  <si>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</si>
  <si>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</si>
  <si>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</si>
  <si>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</si>
  <si>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</si>
  <si>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</si>
  <si>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</si>
  <si>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</si>
  <si>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</si>
  <si>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</si>
  <si>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</si>
  <si>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</si>
  <si>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</si>
  <si>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</si>
  <si>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</si>
  <si>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</si>
  <si>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</si>
  <si>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</si>
  <si>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</si>
  <si>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</si>
  <si>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</si>
  <si>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</si>
  <si>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</si>
  <si>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</si>
  <si>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</si>
  <si>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</si>
  <si>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</si>
  <si>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</si>
  <si>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</si>
  <si>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</si>
  <si>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</si>
  <si>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</si>
  <si>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</si>
  <si>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</si>
  <si>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</si>
  <si>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</si>
  <si>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</si>
  <si>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</si>
  <si>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</si>
  <si>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</si>
  <si>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</si>
  <si>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</si>
  <si>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</si>
  <si>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</si>
  <si>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</si>
  <si>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</si>
  <si>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</si>
  <si>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</si>
  <si>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</si>
  <si>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</si>
  <si>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</si>
  <si>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</si>
  <si>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</si>
  <si>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</si>
  <si>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</si>
  <si>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</si>
  <si>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</si>
  <si>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</si>
  <si>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</si>
  <si>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</si>
  <si>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</si>
  <si>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</si>
  <si>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</si>
  <si>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</si>
  <si>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</si>
  <si>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</si>
  <si>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</si>
  <si>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</si>
  <si>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</si>
  <si>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</si>
  <si>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</si>
  <si>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</si>
  <si>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</si>
  <si>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</si>
  <si>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</si>
  <si>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</si>
  <si>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</si>
  <si>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</si>
  <si>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</si>
  <si>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</si>
  <si>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</si>
  <si>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</si>
  <si>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</si>
  <si>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</si>
  <si>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</si>
  <si>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</si>
  <si>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</si>
  <si>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</si>
  <si>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</si>
  <si>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</si>
  <si>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</si>
  <si>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</si>
  <si>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</si>
  <si>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</si>
  <si>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</si>
  <si>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</si>
  <si>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</si>
  <si>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</si>
  <si>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</si>
  <si>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</si>
  <si>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</si>
  <si>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</si>
  <si>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</si>
  <si>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</si>
  <si>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</si>
  <si>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</si>
  <si>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</si>
  <si>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</si>
  <si>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</si>
  <si>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</si>
  <si>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</si>
  <si>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</si>
  <si>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</si>
  <si>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</si>
  <si>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</si>
  <si>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</si>
  <si>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</si>
  <si>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</si>
  <si>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</si>
  <si>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</si>
  <si>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</si>
  <si>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</si>
  <si>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</si>
  <si>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</si>
  <si>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</si>
  <si>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</si>
  <si>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</si>
  <si>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</si>
  <si>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</si>
  <si>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</si>
  <si>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</si>
  <si>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</si>
  <si>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</si>
  <si>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</si>
  <si>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</si>
  <si>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</si>
  <si>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</si>
  <si>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</si>
  <si>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</si>
  <si>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</si>
  <si>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</si>
  <si>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</si>
  <si>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</si>
  <si>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</si>
  <si>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</si>
  <si>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</si>
  <si>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</si>
  <si>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</si>
  <si>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</si>
  <si>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</si>
  <si>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</si>
  <si>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</si>
  <si>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</si>
  <si>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</si>
  <si>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</si>
  <si>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</si>
  <si>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</si>
  <si>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</si>
  <si>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</si>
  <si>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</si>
  <si>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</si>
  <si>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</si>
  <si>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</si>
  <si>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</si>
  <si>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</si>
  <si>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</si>
  <si>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</si>
  <si>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</si>
  <si>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</si>
  <si>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</si>
  <si>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</si>
  <si>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</si>
  <si>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</si>
  <si>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</si>
  <si>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</si>
  <si>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</si>
  <si>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</si>
  <si>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</si>
  <si>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</si>
  <si>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</si>
  <si>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</si>
  <si>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</si>
  <si>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</si>
  <si>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</si>
  <si>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</si>
  <si>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</si>
  <si>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</si>
  <si>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</si>
  <si>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</si>
  <si>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</si>
  <si>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</si>
  <si>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</si>
  <si>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</si>
  <si>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</si>
  <si>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</si>
  <si>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</si>
  <si>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</si>
  <si>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</si>
  <si>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</si>
  <si>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</si>
  <si>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</si>
  <si>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</si>
  <si>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</si>
  <si>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</si>
  <si>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</si>
  <si>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</si>
  <si>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</si>
  <si>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</si>
  <si>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</si>
  <si>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</si>
  <si>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</si>
  <si>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</si>
  <si>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</si>
  <si>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</si>
  <si>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</si>
  <si>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</si>
  <si>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</si>
  <si>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</si>
  <si>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</si>
  <si>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</si>
  <si>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</si>
  <si>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</si>
  <si>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</si>
  <si>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</si>
  <si>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</si>
  <si>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</si>
  <si>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</si>
  <si>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</si>
  <si>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</si>
  <si>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</si>
  <si>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</si>
  <si>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</si>
  <si>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</si>
  <si>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</si>
  <si>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</si>
  <si>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</si>
  <si>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</si>
  <si>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</si>
  <si>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</si>
  <si>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</si>
  <si>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</si>
  <si>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</si>
  <si>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</si>
  <si>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</si>
  <si>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</si>
  <si>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</si>
  <si>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</si>
  <si>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</si>
  <si>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</si>
  <si>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</si>
  <si>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</si>
  <si>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</si>
  <si>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</si>
  <si>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</si>
  <si>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</si>
  <si>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</si>
  <si>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</si>
  <si>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</si>
  <si>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</si>
  <si>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</si>
  <si>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</si>
  <si>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</si>
  <si>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</si>
  <si>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</si>
  <si>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</si>
  <si>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</si>
  <si>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</si>
  <si>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</si>
  <si>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</si>
  <si>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</si>
  <si>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</si>
  <si>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</si>
  <si>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</si>
  <si>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</si>
  <si>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</si>
  <si>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</si>
  <si>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</si>
  <si>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</si>
  <si>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</si>
  <si>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</si>
  <si>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</si>
  <si>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</si>
  <si>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</si>
  <si>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</si>
  <si>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</si>
  <si>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</si>
  <si>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</si>
  <si>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</si>
  <si>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</si>
  <si>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</si>
  <si>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</si>
  <si>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</si>
  <si>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</si>
  <si>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</si>
  <si>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</si>
  <si>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</si>
  <si>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</si>
  <si>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</si>
  <si>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</si>
  <si>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</si>
  <si>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</si>
  <si>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</si>
  <si>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</si>
  <si>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</si>
  <si>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</si>
  <si>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</si>
  <si>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</si>
  <si>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</si>
  <si>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</si>
  <si>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</si>
  <si>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</si>
  <si>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</si>
  <si>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</si>
  <si>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</si>
  <si>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</si>
  <si>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</si>
  <si>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</si>
  <si>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</si>
  <si>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</si>
  <si>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</si>
  <si>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</si>
  <si>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</si>
  <si>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</si>
  <si>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</si>
  <si>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</si>
  <si>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</si>
  <si>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</si>
  <si>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</si>
  <si>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</si>
  <si>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</si>
  <si>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</si>
  <si>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</si>
  <si>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</si>
  <si>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</si>
  <si>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</si>
  <si>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</si>
  <si>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</si>
  <si>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</si>
  <si>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</si>
  <si>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</si>
  <si>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</si>
  <si>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</si>
  <si>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</si>
  <si>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</si>
  <si>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</si>
  <si>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</si>
  <si>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</si>
  <si>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</si>
  <si>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</si>
  <si>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</si>
  <si>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</si>
  <si>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</si>
  <si>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</si>
  <si>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</si>
  <si>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</si>
  <si>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</si>
  <si>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</si>
  <si>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</si>
  <si>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</si>
  <si>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</si>
  <si>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</si>
  <si>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</si>
  <si>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</si>
  <si>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</si>
  <si>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</si>
  <si>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</si>
  <si>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</si>
  <si>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</si>
  <si>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</si>
  <si>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</si>
  <si>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</si>
  <si>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</si>
  <si>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</si>
  <si>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</si>
  <si>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</si>
  <si>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</si>
  <si>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</si>
  <si>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</si>
  <si>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</si>
  <si>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</si>
  <si>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</si>
  <si>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</si>
  <si>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</si>
  <si>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</si>
  <si>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</si>
  <si>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</si>
  <si>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</si>
  <si>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</si>
  <si>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</si>
  <si>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</si>
  <si>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</si>
  <si>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</si>
  <si>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</si>
  <si>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</si>
  <si>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</si>
  <si>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</si>
  <si>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</si>
  <si>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</si>
  <si>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</si>
  <si>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</si>
  <si>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</si>
  <si>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</si>
  <si>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</si>
  <si>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</si>
  <si>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</si>
  <si>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</si>
  <si>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</si>
  <si>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</si>
  <si>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</si>
  <si>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</si>
  <si>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</si>
  <si>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</si>
  <si>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</si>
  <si>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</si>
  <si>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</si>
  <si>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</si>
  <si>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</si>
  <si>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</si>
  <si>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</si>
  <si>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</si>
  <si>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</si>
  <si>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</si>
  <si>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</si>
  <si>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</si>
  <si>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</si>
  <si>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</si>
  <si>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</si>
  <si>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</si>
  <si>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</si>
  <si>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</si>
  <si>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</si>
  <si>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</si>
  <si>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</si>
  <si>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</si>
  <si>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</si>
  <si>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</si>
  <si>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</si>
  <si>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</si>
  <si>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</si>
  <si>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</si>
  <si>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</si>
  <si>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</si>
  <si>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</si>
  <si>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</si>
  <si>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</si>
  <si>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</si>
  <si>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</si>
  <si>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</si>
  <si>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</si>
  <si>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</si>
  <si>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</si>
  <si>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</si>
  <si>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</si>
  <si>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</si>
  <si>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</si>
  <si>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</si>
  <si>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</si>
  <si>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</si>
  <si>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</si>
  <si>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</si>
  <si>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</si>
  <si>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</si>
  <si>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</si>
  <si>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</si>
  <si>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</si>
  <si>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</si>
  <si>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</si>
  <si>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</si>
  <si>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</si>
  <si>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</si>
  <si>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</si>
  <si>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</si>
  <si>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</si>
  <si>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</si>
  <si>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</si>
  <si>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</si>
  <si>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</si>
  <si>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</si>
  <si>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</si>
  <si>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</si>
  <si>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</si>
  <si>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</si>
  <si>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</si>
  <si>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</si>
  <si>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</si>
  <si>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</si>
  <si>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</si>
  <si>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</si>
  <si>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</si>
  <si>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</si>
  <si>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</si>
  <si>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</si>
  <si>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</si>
  <si>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</si>
  <si>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</si>
  <si>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</si>
  <si>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</si>
  <si>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</si>
  <si>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</si>
  <si>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</si>
  <si>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</si>
  <si>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</si>
  <si>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</si>
  <si>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</si>
  <si>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</si>
  <si>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</si>
  <si>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</si>
  <si>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</si>
  <si>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</si>
  <si>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</si>
  <si>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</si>
  <si>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</si>
  <si>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</si>
  <si>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</si>
  <si>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</si>
  <si>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</si>
  <si>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</si>
  <si>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</si>
  <si>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</si>
  <si>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</si>
  <si>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</si>
  <si>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</si>
  <si>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</si>
  <si>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</si>
  <si>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</si>
  <si>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</si>
  <si>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</si>
  <si>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</si>
  <si>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</si>
  <si>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</si>
  <si>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</si>
  <si>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</si>
  <si>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</si>
  <si>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</si>
  <si>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</si>
  <si>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</si>
  <si>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</si>
  <si>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</si>
  <si>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</si>
  <si>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</si>
  <si>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</si>
  <si>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</si>
  <si>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</si>
  <si>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</si>
  <si>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</si>
  <si>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</si>
  <si>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</si>
  <si>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</si>
  <si>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</si>
  <si>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</si>
  <si>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</si>
  <si>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</si>
  <si>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</si>
  <si>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</si>
  <si>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</si>
  <si>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</si>
  <si>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</si>
  <si>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</si>
  <si>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</si>
  <si>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</si>
  <si>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</si>
  <si>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</si>
  <si>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</si>
  <si>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</si>
  <si>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</si>
  <si>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</si>
  <si>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</si>
  <si>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</si>
  <si>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</si>
  <si>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</si>
  <si>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</si>
  <si>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</si>
  <si>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</si>
  <si>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</si>
  <si>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</si>
  <si>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</si>
  <si>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</si>
  <si>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</si>
  <si>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</si>
  <si>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</si>
  <si>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</si>
  <si>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</si>
  <si>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</si>
  <si>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</si>
  <si>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</si>
  <si>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</si>
  <si>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</si>
  <si>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</si>
  <si>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</si>
  <si>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</si>
  <si>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</si>
  <si>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</si>
  <si>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</si>
  <si>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</si>
  <si>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</si>
  <si>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</si>
  <si>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</si>
  <si>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</si>
  <si>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</si>
  <si>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</si>
  <si>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</si>
  <si>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</si>
  <si>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</si>
  <si>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</si>
  <si>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</si>
  <si>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</si>
  <si>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</si>
  <si>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</si>
  <si>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</si>
  <si>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</si>
  <si>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</si>
  <si>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</si>
  <si>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</si>
  <si>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</si>
  <si>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</si>
  <si>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</si>
  <si>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</si>
  <si>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</si>
  <si>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</si>
  <si>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</si>
  <si>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</si>
  <si>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</si>
  <si>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</si>
  <si>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</si>
  <si>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</si>
  <si>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</si>
  <si>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</si>
  <si>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</si>
  <si>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</si>
  <si>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</si>
  <si>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</si>
  <si>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</si>
  <si>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</si>
  <si>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</si>
  <si>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</si>
  <si>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</si>
  <si>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</si>
  <si>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</si>
  <si>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</si>
  <si>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</si>
  <si>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</si>
  <si>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</si>
  <si>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</si>
  <si>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</si>
  <si>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</si>
  <si>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</si>
  <si>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</si>
  <si>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</si>
  <si>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</si>
  <si>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</si>
  <si>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</si>
  <si>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</si>
  <si>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</si>
  <si>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</si>
  <si>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</si>
  <si>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</si>
  <si>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</si>
  <si>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</si>
  <si>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</si>
  <si>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</si>
  <si>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</si>
  <si>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</si>
  <si>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</si>
  <si>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</si>
  <si>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</si>
  <si>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</si>
  <si>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</si>
  <si>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</si>
  <si>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</si>
  <si>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</si>
  <si>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</si>
  <si>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</si>
  <si>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</si>
  <si>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</si>
  <si>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</si>
  <si>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</si>
  <si>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</si>
  <si>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</si>
  <si>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</si>
  <si>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</si>
  <si>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</si>
  <si>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</si>
  <si>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</si>
  <si>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</si>
  <si>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</si>
  <si>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</si>
  <si>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</si>
  <si>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</si>
  <si>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</si>
  <si>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</si>
  <si>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</si>
  <si>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</si>
  <si>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</si>
  <si>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</si>
  <si>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</si>
  <si>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</si>
  <si>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</si>
  <si>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</si>
  <si>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</si>
  <si>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</si>
  <si>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</si>
  <si>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</si>
  <si>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</si>
  <si>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</si>
  <si>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</si>
  <si>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</si>
  <si>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</si>
  <si>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</si>
  <si>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</si>
  <si>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</si>
  <si>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</si>
  <si>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</si>
  <si>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</si>
  <si>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</si>
  <si>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</si>
  <si>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</si>
  <si>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</si>
  <si>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</si>
  <si>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</si>
  <si>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</si>
  <si>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</si>
  <si>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</si>
  <si>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</si>
  <si>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</si>
  <si>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</si>
  <si>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</si>
  <si>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</si>
  <si>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</si>
  <si>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</si>
  <si>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</si>
  <si>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</si>
  <si>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</si>
  <si>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</si>
  <si>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</si>
  <si>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</si>
  <si>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</si>
  <si>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</si>
  <si>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</si>
  <si>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</si>
  <si>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</si>
  <si>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</si>
  <si>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</si>
  <si>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</si>
  <si>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</si>
  <si>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</si>
  <si>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</si>
  <si>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</si>
  <si>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</si>
  <si>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</si>
  <si>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</si>
  <si>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</si>
  <si>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</si>
  <si>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</si>
  <si>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</si>
  <si>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</si>
  <si>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</si>
  <si>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</si>
  <si>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</si>
  <si>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</si>
  <si>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</si>
  <si>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</si>
  <si>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</si>
  <si>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</si>
  <si>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</si>
  <si>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</si>
  <si>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</si>
  <si>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</si>
  <si>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</si>
  <si>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</si>
  <si>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</si>
  <si>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</si>
  <si>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</si>
  <si>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</si>
  <si>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</si>
  <si>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</si>
  <si>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</si>
  <si>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</si>
  <si>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</si>
  <si>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</si>
  <si>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</si>
  <si>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</si>
  <si>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</si>
  <si>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</si>
  <si>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</si>
  <si>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</si>
  <si>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</si>
  <si>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</si>
  <si>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</si>
  <si>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</si>
  <si>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</si>
  <si>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</si>
  <si>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</si>
  <si>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</si>
  <si>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</si>
  <si>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</si>
  <si>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</si>
  <si>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</si>
  <si>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</si>
  <si>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</si>
  <si>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</si>
  <si>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</si>
  <si>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</si>
  <si>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</si>
  <si>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</si>
  <si>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</si>
  <si>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</si>
  <si>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</si>
  <si>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</si>
  <si>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</si>
  <si>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</si>
  <si>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</si>
  <si>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</si>
  <si>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</si>
  <si>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</si>
  <si>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</si>
  <si>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</si>
  <si>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</si>
  <si>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</si>
  <si>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</si>
  <si>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</si>
  <si>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</si>
  <si>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</si>
  <si>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</si>
  <si>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</si>
  <si>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</si>
  <si>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</si>
  <si>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</si>
  <si>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</si>
  <si>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</si>
  <si>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</si>
  <si>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</si>
  <si>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</si>
  <si>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</si>
  <si>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</si>
  <si>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</si>
  <si>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</si>
  <si>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</si>
  <si>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</si>
  <si>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</si>
  <si>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</si>
  <si>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</si>
  <si>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</si>
  <si>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</si>
  <si>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</si>
  <si>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</si>
  <si>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</si>
  <si>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</si>
  <si>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</si>
  <si>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</si>
  <si>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</si>
  <si>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</si>
  <si>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</si>
  <si>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</si>
  <si>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</si>
  <si>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</si>
  <si>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</si>
  <si>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</si>
  <si>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</si>
  <si>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</si>
  <si>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</si>
  <si>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</si>
  <si>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</si>
  <si>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</si>
  <si>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</si>
  <si>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</si>
  <si>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</si>
  <si>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</si>
  <si>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</si>
  <si>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</si>
  <si>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</si>
  <si>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</si>
  <si>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</si>
  <si>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</si>
  <si>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</si>
  <si>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</si>
  <si>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</si>
  <si>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</si>
  <si>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</si>
  <si>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</si>
  <si>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</si>
  <si>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</si>
  <si>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</si>
  <si>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</si>
  <si>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</si>
  <si>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</si>
  <si>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</si>
  <si>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</si>
  <si>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</si>
  <si>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</si>
  <si>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</si>
  <si>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</si>
  <si>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</si>
  <si>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</si>
  <si>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</si>
  <si>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</si>
  <si>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</si>
  <si>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</si>
  <si>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</si>
  <si>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</si>
  <si>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</si>
  <si>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</si>
  <si>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</si>
  <si>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</si>
  <si>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</si>
  <si>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</si>
  <si>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</si>
  <si>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</si>
  <si>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</si>
  <si>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</si>
  <si>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</si>
  <si>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</si>
  <si>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</si>
  <si>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</si>
  <si>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</si>
  <si>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</si>
  <si>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</si>
  <si>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</si>
  <si>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</si>
  <si>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</si>
  <si>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</si>
  <si>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</si>
  <si>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</si>
  <si>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</si>
  <si>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</si>
  <si>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</si>
  <si>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</si>
  <si>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</si>
  <si>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</si>
  <si>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</si>
  <si>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</si>
  <si>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</si>
  <si>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</si>
  <si>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</si>
  <si>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</si>
  <si>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</si>
  <si>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</si>
  <si>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</si>
  <si>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</si>
  <si>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</si>
  <si>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</si>
  <si>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</si>
  <si>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</si>
  <si>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</si>
  <si>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</si>
  <si>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</si>
  <si>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</si>
  <si>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</si>
  <si>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</si>
  <si>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</si>
  <si>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</si>
  <si>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</si>
  <si>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</si>
  <si>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</si>
  <si>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</si>
  <si>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</si>
  <si>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</si>
  <si>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</si>
  <si>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</si>
  <si>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</si>
  <si>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</si>
  <si>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</si>
  <si>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</si>
  <si>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</si>
  <si>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</si>
  <si>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</si>
  <si>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</si>
  <si>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</si>
  <si>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</si>
  <si>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</si>
  <si>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</si>
  <si>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</si>
  <si>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</si>
  <si>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</si>
  <si>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</si>
  <si>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</si>
  <si>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</si>
  <si>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</si>
  <si>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</si>
  <si>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</si>
  <si>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</si>
  <si>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</si>
  <si>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</si>
  <si>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</si>
  <si>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</si>
  <si>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</si>
  <si>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</si>
  <si>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</si>
  <si>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</si>
  <si>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</si>
  <si>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</si>
  <si>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</si>
  <si>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</si>
  <si>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</si>
  <si>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</si>
  <si>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</si>
  <si>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</si>
  <si>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</si>
  <si>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</si>
  <si>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</si>
  <si>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</si>
  <si>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</si>
  <si>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</si>
  <si>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</si>
  <si>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</si>
  <si>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</si>
  <si>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</si>
  <si>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</si>
  <si>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</si>
  <si>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</si>
  <si>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</si>
  <si>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</si>
  <si>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</si>
  <si>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</si>
  <si>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</si>
  <si>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</si>
  <si>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</si>
  <si>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</si>
  <si>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</si>
  <si>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</si>
  <si>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</si>
  <si>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</si>
  <si>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</si>
  <si>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</si>
  <si>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</si>
  <si>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</si>
  <si>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</si>
  <si>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</si>
  <si>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</si>
  <si>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</si>
  <si>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</si>
  <si>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</si>
  <si>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</si>
  <si>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</si>
  <si>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</si>
  <si>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</si>
  <si>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</si>
  <si>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</si>
  <si>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</si>
  <si>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</si>
  <si>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</si>
  <si>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</si>
  <si>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</si>
  <si>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</si>
  <si>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</si>
  <si>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</si>
  <si>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</si>
  <si>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</si>
  <si>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</si>
  <si>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</si>
  <si>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</si>
  <si>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</si>
  <si>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</si>
  <si>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</si>
  <si>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</si>
  <si>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</si>
  <si>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</si>
  <si>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</si>
  <si>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</si>
  <si>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</si>
  <si>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</si>
  <si>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</si>
  <si>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</si>
  <si>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</si>
  <si>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</si>
  <si>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</si>
  <si>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</si>
  <si>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</si>
  <si>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</si>
  <si>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</si>
  <si>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</si>
  <si>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</si>
  <si>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</si>
  <si>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</si>
  <si>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</si>
  <si>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</si>
  <si>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</si>
  <si>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</si>
  <si>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</si>
  <si>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</si>
  <si>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</si>
  <si>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</si>
  <si>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</si>
  <si>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</si>
  <si>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</si>
  <si>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</si>
  <si>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</si>
  <si>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</si>
  <si>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</si>
  <si>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</si>
  <si>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</si>
  <si>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</si>
  <si>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</si>
  <si>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</si>
  <si>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</si>
  <si>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</si>
  <si>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</si>
  <si>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</si>
  <si>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</si>
  <si>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</si>
  <si>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</si>
  <si>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</si>
  <si>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</si>
  <si>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</si>
  <si>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</si>
  <si>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</si>
  <si>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</si>
  <si>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</si>
  <si>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</si>
  <si>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</si>
  <si>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</si>
  <si>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</si>
  <si>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</si>
  <si>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</si>
  <si>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</si>
  <si>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</si>
  <si>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</si>
  <si>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</si>
  <si>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</si>
  <si>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</si>
  <si>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</si>
  <si>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</si>
  <si>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</si>
  <si>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</si>
  <si>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</si>
  <si>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</si>
  <si>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</si>
  <si>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</si>
  <si>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</si>
  <si>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</si>
  <si>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</si>
  <si>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</si>
  <si>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</si>
  <si>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</si>
  <si>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</si>
  <si>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</si>
  <si>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</si>
  <si>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</si>
  <si>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</si>
  <si>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</si>
  <si>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</si>
  <si>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</si>
  <si>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</si>
  <si>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</si>
  <si>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</si>
  <si>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</si>
  <si>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</si>
  <si>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</si>
  <si>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</si>
  <si>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</si>
  <si>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</si>
  <si>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</si>
  <si>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</si>
  <si>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</si>
  <si>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</si>
  <si>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</si>
  <si>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</si>
  <si>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</si>
  <si>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</si>
  <si>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</si>
  <si>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</si>
  <si>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</si>
  <si>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</si>
  <si>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</si>
  <si>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</si>
  <si>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</si>
  <si>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</si>
  <si>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</si>
  <si>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</si>
  <si>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</si>
  <si>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</si>
  <si>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</si>
  <si>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</si>
  <si>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</si>
  <si>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</si>
  <si>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</si>
  <si>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</si>
  <si>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</si>
  <si>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</si>
  <si>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</si>
  <si>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</si>
  <si>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</si>
  <si>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</si>
  <si>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</si>
  <si>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</si>
  <si>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</si>
  <si>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</si>
  <si>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</si>
  <si>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</si>
  <si>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</si>
  <si>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</si>
  <si>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</si>
  <si>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</si>
  <si>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</si>
  <si>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</si>
  <si>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</si>
  <si>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</si>
  <si>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</si>
  <si>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</si>
  <si>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</si>
  <si>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</si>
  <si>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</si>
  <si>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</si>
  <si>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</si>
  <si>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</si>
  <si>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</si>
  <si>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</si>
  <si>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</si>
  <si>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</si>
  <si>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</si>
  <si>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</si>
  <si>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</si>
  <si>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</si>
  <si>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</si>
  <si>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</si>
  <si>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</si>
  <si>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</si>
  <si>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</si>
  <si>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</si>
  <si>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</si>
  <si>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</si>
  <si>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</si>
  <si>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</si>
  <si>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</si>
  <si>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</si>
  <si>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</si>
  <si>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</si>
  <si>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</si>
  <si>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</si>
  <si>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</si>
  <si>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</si>
  <si>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</si>
  <si>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</si>
  <si>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</si>
  <si>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</si>
  <si>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</si>
  <si>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</si>
  <si>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</si>
  <si>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</si>
  <si>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</si>
  <si>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</si>
  <si>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</si>
  <si>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</si>
  <si>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</si>
  <si>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</si>
  <si>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</si>
  <si>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</si>
  <si>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</si>
  <si>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</si>
  <si>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</si>
  <si>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</si>
  <si>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</si>
  <si>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</si>
  <si>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</si>
  <si>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</si>
  <si>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</si>
  <si>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</si>
  <si>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</si>
  <si>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</si>
  <si>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</si>
  <si>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</si>
  <si>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</si>
  <si>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</si>
  <si>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</si>
  <si>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</si>
  <si>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</si>
  <si>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</si>
  <si>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</si>
  <si>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</si>
  <si>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</si>
  <si>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</si>
  <si>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</si>
  <si>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</si>
  <si>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</si>
  <si>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</si>
  <si>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</si>
  <si>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</si>
  <si>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</si>
  <si>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</si>
  <si>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</si>
  <si>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</si>
  <si>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</si>
  <si>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</si>
  <si>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</si>
  <si>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</si>
  <si>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</si>
  <si>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</si>
  <si>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</si>
  <si>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</si>
  <si>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</si>
  <si>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</si>
  <si>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</si>
  <si>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</si>
  <si>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</si>
  <si>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</si>
  <si>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</si>
  <si>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</si>
  <si>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</si>
  <si>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</si>
  <si>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</si>
  <si>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</si>
  <si>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</si>
  <si>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</si>
  <si>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</si>
  <si>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</si>
  <si>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</si>
  <si>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</si>
  <si>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</si>
  <si>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</si>
  <si>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</si>
  <si>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</si>
  <si>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</si>
  <si>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</si>
  <si>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</si>
  <si>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</si>
  <si>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</si>
  <si>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</si>
  <si>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</si>
  <si>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</si>
  <si>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</si>
  <si>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</si>
  <si>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</si>
  <si>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</si>
  <si>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</si>
  <si>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</si>
  <si>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</si>
  <si>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</si>
  <si>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</si>
  <si>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</si>
  <si>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</si>
  <si>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</si>
  <si>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</si>
  <si>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</si>
  <si>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</si>
  <si>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</si>
  <si>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</si>
  <si>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</si>
  <si>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</si>
  <si>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</si>
  <si>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</si>
  <si>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</si>
  <si>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</si>
  <si>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</si>
  <si>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</si>
  <si>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</si>
  <si>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</si>
  <si>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</si>
  <si>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</si>
  <si>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</si>
  <si>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</si>
  <si>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</si>
  <si>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</si>
  <si>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</si>
  <si>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</si>
  <si>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</si>
  <si>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</si>
  <si>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</si>
  <si>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</si>
  <si>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</si>
  <si>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</si>
  <si>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</si>
  <si>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</si>
  <si>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</si>
  <si>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</si>
  <si>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</si>
  <si>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</si>
  <si>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</si>
  <si>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</si>
  <si>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</si>
  <si>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</si>
  <si>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</si>
  <si>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</si>
  <si>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</si>
  <si>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</si>
  <si>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</si>
  <si>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</si>
  <si>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</si>
  <si>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</si>
  <si>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</si>
  <si>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</si>
  <si>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</si>
  <si>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</si>
  <si>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</si>
  <si>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</si>
  <si>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</si>
  <si>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</si>
  <si>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</si>
  <si>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</si>
  <si>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</si>
  <si>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</si>
  <si>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</si>
  <si>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</si>
  <si>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</si>
  <si>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</si>
  <si>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</si>
  <si>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</si>
  <si>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</si>
  <si>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</si>
  <si>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</si>
  <si>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</si>
  <si>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</si>
  <si>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</si>
  <si>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</si>
  <si>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</si>
  <si>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</si>
  <si>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</si>
  <si>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</si>
  <si>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</si>
  <si>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</si>
  <si>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</si>
  <si>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</si>
  <si>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</si>
  <si>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</si>
  <si>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</si>
  <si>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</si>
  <si>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</si>
  <si>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</si>
  <si>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</si>
  <si>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</si>
  <si>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</si>
  <si>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</si>
  <si>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</si>
  <si>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</si>
  <si>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</si>
  <si>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</si>
  <si>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</si>
  <si>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</si>
  <si>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</si>
  <si>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</si>
  <si>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</si>
  <si>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</si>
  <si>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</si>
  <si>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</si>
  <si>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</si>
  <si>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</si>
  <si>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</si>
  <si>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</si>
  <si>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</si>
  <si>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</si>
  <si>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</si>
  <si>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</si>
  <si>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</si>
  <si>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</si>
  <si>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</si>
  <si>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</si>
  <si>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</si>
  <si>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</si>
  <si>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</si>
  <si>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</si>
  <si>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</si>
  <si>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</si>
  <si>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</si>
  <si>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</si>
  <si>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</si>
  <si>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</si>
  <si>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</si>
  <si>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</si>
  <si>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</si>
  <si>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</si>
  <si>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</si>
  <si>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</si>
  <si>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</si>
  <si>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</si>
  <si>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</si>
  <si>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</si>
  <si>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</si>
  <si>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</si>
  <si>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</si>
  <si>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</si>
  <si>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</si>
  <si>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</si>
  <si>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</si>
  <si>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</si>
  <si>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</si>
  <si>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</si>
  <si>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</si>
  <si>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</si>
  <si>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</si>
  <si>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</si>
  <si>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</si>
  <si>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</si>
  <si>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</si>
  <si>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</si>
  <si>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</si>
  <si>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</si>
  <si>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</si>
  <si>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</si>
  <si>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</si>
  <si>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</si>
  <si>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</si>
  <si>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</si>
  <si>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</si>
  <si>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</si>
  <si>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</si>
  <si>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</si>
  <si>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</si>
  <si>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</si>
  <si>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</si>
  <si>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</si>
  <si>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</si>
  <si>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</si>
  <si>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</si>
  <si>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</si>
  <si>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</si>
  <si>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</si>
  <si>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</si>
  <si>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</si>
  <si>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</si>
  <si>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</si>
  <si>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</si>
  <si>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</si>
  <si>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</si>
  <si>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</si>
  <si>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</si>
  <si>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</si>
  <si>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</si>
  <si>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</si>
  <si>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</si>
  <si>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</si>
  <si>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</si>
  <si>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</si>
  <si>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</si>
  <si>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</si>
  <si>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</si>
  <si>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</si>
  <si>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</si>
  <si>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</si>
  <si>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</si>
  <si>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</si>
  <si>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</si>
  <si>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</si>
  <si>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</si>
  <si>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</si>
  <si>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</si>
  <si>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</si>
  <si>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</si>
  <si>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</si>
  <si>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</si>
  <si>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海淀区白家疃尚峰园3号楼1层101</t>
  </si>
  <si>
    <t>海淀区白家疃尚峰园3号楼1层102</t>
  </si>
  <si>
    <t>海淀区白家疃尚峰园3号楼1层103</t>
  </si>
  <si>
    <t>海淀区白家疃尚峰园3号楼1层105</t>
  </si>
  <si>
    <t>海淀区白家疃尚峰园3号楼1层106</t>
  </si>
  <si>
    <t>海淀区白家疃尚峰园3号楼1层107</t>
  </si>
  <si>
    <t>海淀区白家疃尚峰园3号楼1层108</t>
  </si>
  <si>
    <t>海淀区白家疃尚峰园3号楼1层109</t>
  </si>
  <si>
    <t>海淀区白家疃尚峰园3号楼1层110</t>
  </si>
  <si>
    <t>海淀区白家疃尚峰园3号楼1层111</t>
  </si>
  <si>
    <t>海淀区白家疃尚峰园3号楼1层112</t>
  </si>
  <si>
    <t>海淀区白家疃尚水园4号楼1层103</t>
  </si>
  <si>
    <t>海淀区白家疃尚水园4号楼1层111</t>
  </si>
  <si>
    <t>海淀区白家疃尚水园4号楼1层113</t>
  </si>
  <si>
    <t>海淀区白家疃尚水园4号楼1层116</t>
  </si>
  <si>
    <t>海淀区白家疃尚水园4号楼1层117</t>
  </si>
  <si>
    <t>是</t>
  </si>
  <si>
    <t>地上</t>
  </si>
  <si>
    <t>办公</t>
    <phoneticPr fontId="7" type="noConversion"/>
  </si>
  <si>
    <t>出让</t>
  </si>
  <si>
    <t>抵押</t>
  </si>
  <si>
    <t>房地产抵押价值</t>
  </si>
  <si>
    <t>建筑与土地面积依据相同</t>
  </si>
  <si>
    <t>成新度</t>
  </si>
  <si>
    <t>尚峰尚水</t>
    <phoneticPr fontId="3" type="noConversion"/>
  </si>
  <si>
    <t>办公</t>
    <phoneticPr fontId="32" type="noConversion"/>
  </si>
  <si>
    <t>一般</t>
  </si>
  <si>
    <t>七通</t>
  </si>
  <si>
    <t>较好</t>
  </si>
  <si>
    <r>
      <rPr>
        <sz val="11"/>
        <color indexed="8"/>
        <rFont val="宋体"/>
        <family val="3"/>
        <charset val="134"/>
      </rPr>
      <t>低区（</t>
    </r>
    <r>
      <rPr>
        <sz val="11"/>
        <color indexed="8"/>
        <rFont val="Arial"/>
        <family val="2"/>
      </rPr>
      <t>1-3</t>
    </r>
    <r>
      <rPr>
        <sz val="11"/>
        <color indexed="8"/>
        <rFont val="宋体"/>
        <family val="3"/>
        <charset val="134"/>
      </rPr>
      <t>）</t>
    </r>
    <phoneticPr fontId="32" type="noConversion"/>
  </si>
  <si>
    <r>
      <rPr>
        <sz val="11"/>
        <color indexed="8"/>
        <rFont val="宋体"/>
        <family val="3"/>
        <charset val="134"/>
      </rPr>
      <t>中区（</t>
    </r>
    <r>
      <rPr>
        <sz val="11"/>
        <color indexed="8"/>
        <rFont val="Arial"/>
        <family val="2"/>
      </rPr>
      <t>4-6</t>
    </r>
    <r>
      <rPr>
        <sz val="11"/>
        <color indexed="8"/>
        <rFont val="宋体"/>
        <family val="3"/>
        <charset val="134"/>
      </rPr>
      <t>）</t>
    </r>
    <phoneticPr fontId="32" type="noConversion"/>
  </si>
  <si>
    <r>
      <rPr>
        <sz val="11"/>
        <color indexed="8"/>
        <rFont val="宋体"/>
        <family val="3"/>
        <charset val="134"/>
      </rPr>
      <t>高区（</t>
    </r>
    <r>
      <rPr>
        <sz val="11"/>
        <color indexed="8"/>
        <rFont val="Arial"/>
        <family val="2"/>
      </rPr>
      <t>7-10</t>
    </r>
    <r>
      <rPr>
        <sz val="11"/>
        <color indexed="8"/>
        <rFont val="宋体"/>
        <family val="3"/>
        <charset val="134"/>
      </rPr>
      <t>）</t>
    </r>
    <phoneticPr fontId="32" type="noConversion"/>
  </si>
  <si>
    <t>钢混</t>
  </si>
  <si>
    <t>钢混</t>
    <phoneticPr fontId="32" type="noConversion"/>
  </si>
  <si>
    <t>精装</t>
  </si>
  <si>
    <t>精装</t>
    <phoneticPr fontId="32" type="noConversion"/>
  </si>
  <si>
    <t>较好</t>
    <phoneticPr fontId="32" type="noConversion"/>
  </si>
  <si>
    <t>七通</t>
    <phoneticPr fontId="32" type="noConversion"/>
  </si>
  <si>
    <t>标准</t>
  </si>
  <si>
    <t>标准</t>
    <phoneticPr fontId="32" type="noConversion"/>
  </si>
  <si>
    <t>简装</t>
    <phoneticPr fontId="32" type="noConversion"/>
  </si>
  <si>
    <t>送地下室</t>
    <phoneticPr fontId="32" type="noConversion"/>
  </si>
  <si>
    <t>不送</t>
    <phoneticPr fontId="32" type="noConversion"/>
  </si>
  <si>
    <t>低区（1-3）</t>
  </si>
  <si>
    <t>中区（4-6）</t>
  </si>
  <si>
    <t>售价</t>
  </si>
  <si>
    <t>押一</t>
  </si>
  <si>
    <t>非生产用房</t>
  </si>
  <si>
    <t>否</t>
  </si>
  <si>
    <t>收益法</t>
  </si>
  <si>
    <t>现房</t>
  </si>
  <si>
    <t>典型户型修正</t>
  </si>
  <si>
    <t>送地下室</t>
    <phoneticPr fontId="32" type="noConversion"/>
  </si>
  <si>
    <t>刘梅</t>
  </si>
  <si>
    <t>王鹏</t>
  </si>
  <si>
    <t>北京世纪正源房地产开发有限公司</t>
    <phoneticPr fontId="6" type="noConversion"/>
  </si>
  <si>
    <t>民生银行股份有限公司北京市分行</t>
    <phoneticPr fontId="6" type="noConversion"/>
  </si>
  <si>
    <t>北京市</t>
  </si>
  <si>
    <r>
      <t>北京市海淀区白家疃尚峰园</t>
    </r>
    <r>
      <rPr>
        <sz val="12"/>
        <color theme="9" tint="-0.249977111117893"/>
        <rFont val="Arial"/>
        <family val="2"/>
      </rPr>
      <t>3</t>
    </r>
    <r>
      <rPr>
        <sz val="12"/>
        <color theme="9" tint="-0.249977111117893"/>
        <rFont val="宋体"/>
        <family val="3"/>
        <charset val="134"/>
      </rPr>
      <t>号楼</t>
    </r>
    <r>
      <rPr>
        <sz val="12"/>
        <color theme="9" tint="-0.249977111117893"/>
        <rFont val="Arial"/>
        <family val="2"/>
      </rPr>
      <t>101</t>
    </r>
    <r>
      <rPr>
        <sz val="12"/>
        <color theme="9" tint="-0.249977111117893"/>
        <rFont val="宋体"/>
        <family val="3"/>
        <charset val="134"/>
      </rPr>
      <t>号等</t>
    </r>
    <r>
      <rPr>
        <sz val="12"/>
        <color theme="9" tint="-0.249977111117893"/>
        <rFont val="Arial"/>
        <family val="2"/>
      </rPr>
      <t>17</t>
    </r>
    <r>
      <rPr>
        <sz val="12"/>
        <color theme="9" tint="-0.249977111117893"/>
        <rFont val="宋体"/>
        <family val="3"/>
        <charset val="134"/>
      </rPr>
      <t>套</t>
    </r>
    <phoneticPr fontId="6" type="noConversion"/>
  </si>
  <si>
    <t>企业</t>
  </si>
  <si>
    <t>办公</t>
    <phoneticPr fontId="6" type="noConversion"/>
  </si>
  <si>
    <r>
      <rPr>
        <sz val="12"/>
        <color theme="9" tint="-0.249977111117893"/>
        <rFont val="宋体"/>
        <family val="3"/>
        <charset val="134"/>
      </rPr>
      <t>办公</t>
    </r>
    <r>
      <rPr>
        <sz val="12"/>
        <color theme="9" tint="-0.249977111117893"/>
        <rFont val="Arial"/>
        <family val="2"/>
      </rPr>
      <t>38.68</t>
    </r>
    <r>
      <rPr>
        <sz val="12"/>
        <color theme="9" tint="-0.249977111117893"/>
        <rFont val="宋体"/>
        <family val="3"/>
        <charset val="134"/>
      </rPr>
      <t>年</t>
    </r>
    <phoneticPr fontId="6" type="noConversion"/>
  </si>
  <si>
    <t>复印件</t>
  </si>
  <si>
    <t>办公项目</t>
  </si>
  <si>
    <t>无</t>
  </si>
  <si>
    <t>通路</t>
  </si>
  <si>
    <t>通电</t>
  </si>
  <si>
    <t>通讯</t>
  </si>
  <si>
    <t>通上水</t>
  </si>
  <si>
    <t>通下水</t>
  </si>
  <si>
    <t>通热</t>
  </si>
  <si>
    <t>燃气</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</si>
  <si>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398782</t>
    </r>
    <r>
      <rPr>
        <sz val="12"/>
        <color theme="9" tint="-0.249977111117893"/>
        <rFont val="宋体"/>
        <family val="3"/>
        <charset val="134"/>
      </rPr>
      <t>、</t>
    </r>
    <r>
      <rPr>
        <sz val="12"/>
        <color theme="9" tint="-0.249977111117893"/>
        <rFont val="Arial"/>
        <family val="2"/>
      </rPr>
      <t>479475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、《正源北京尚峰尚水</t>
    </r>
    <r>
      <rPr>
        <sz val="12"/>
        <color theme="9" tint="-0.249977111117893"/>
        <rFont val="Arial"/>
        <family val="2"/>
      </rPr>
      <t>BC</t>
    </r>
    <r>
      <rPr>
        <sz val="12"/>
        <color theme="9" tint="-0.249977111117893"/>
        <rFont val="宋体"/>
        <family val="3"/>
        <charset val="134"/>
      </rPr>
      <t>区存量明细》</t>
    </r>
    <phoneticPr fontId="6" type="noConversion"/>
  </si>
  <si>
    <t>普装</t>
    <phoneticPr fontId="32" type="noConversion"/>
  </si>
  <si>
    <t>毛坯</t>
    <phoneticPr fontId="32" type="noConversion"/>
  </si>
  <si>
    <t>估价对象位于海淀区温泉镇，周边办公楼项目较少，入驻率一般，办公集聚程度一般。</t>
    <phoneticPr fontId="25" type="noConversion"/>
  </si>
  <si>
    <t>七通</t>
    <phoneticPr fontId="25" type="noConversion"/>
  </si>
  <si>
    <t>北京市海淀区白家疃</t>
    <phoneticPr fontId="3" type="noConversion"/>
  </si>
  <si>
    <t>30-40（含）</t>
  </si>
  <si>
    <t>估价对象紧邻白家疃路，周边路网密集程度一般，行车出入便捷度一般。周边2公里范围内有522路、651路等公交，公共交通便捷度一般。综合评价交通便捷度一般。</t>
    <phoneticPr fontId="41" type="noConversion"/>
  </si>
  <si>
    <t>估价对象周边约2公里范围有温泉公园，自然环境一般；周边约2公里范围内有北京行政学院等人文设施，人文环境一般；综合评价环境状况一般。</t>
    <phoneticPr fontId="41" type="noConversion"/>
  </si>
  <si>
    <t>周边2公里内的公共服务配套设施较为齐备，有购物场所（华联超市）、医院（北京中医药大学附属医院）、银行（民生银行）、学校（翠微小学）、餐饮（嘉和一品）等公共服务配套设施。</t>
  </si>
  <si>
    <t>周边2公里内的公共服务配套设施较为齐备，有购物场所（华联超市）、医院（北京中医药大学附属医院）、银行（民生银行）、学校（翠微小学）、餐饮（嘉和一品）等公共服务配套设施。</t>
    <phoneticPr fontId="41" type="noConversion"/>
  </si>
  <si>
    <t>城市次干道－白家疃路</t>
  </si>
  <si>
    <t>城市次干道－白家疃路</t>
    <phoneticPr fontId="32" type="noConversion"/>
  </si>
  <si>
    <t>尚峰尚水3号楼1层101号</t>
    <phoneticPr fontId="3" type="noConversion"/>
  </si>
  <si>
    <t>周边办公楼项目较少，入驻率一般，办公集聚程度一般。</t>
    <phoneticPr fontId="32" type="noConversion"/>
  </si>
  <si>
    <r>
      <rPr>
        <sz val="11"/>
        <rFont val="宋体"/>
        <family val="3"/>
        <charset val="134"/>
      </rPr>
      <t>紧邻白家疃路，周边路网密集程度一般，行车出入便捷度一般。周边</t>
    </r>
    <r>
      <rPr>
        <sz val="11"/>
        <rFont val="Arial"/>
        <family val="2"/>
      </rPr>
      <t>2</t>
    </r>
    <r>
      <rPr>
        <sz val="11"/>
        <rFont val="宋体"/>
        <family val="3"/>
        <charset val="134"/>
      </rPr>
      <t>公里范围内有</t>
    </r>
    <r>
      <rPr>
        <sz val="11"/>
        <rFont val="Arial"/>
        <family val="2"/>
      </rPr>
      <t>522</t>
    </r>
    <r>
      <rPr>
        <sz val="11"/>
        <rFont val="宋体"/>
        <family val="3"/>
        <charset val="134"/>
      </rPr>
      <t>路、</t>
    </r>
    <r>
      <rPr>
        <sz val="11"/>
        <rFont val="Arial"/>
        <family val="2"/>
      </rPr>
      <t>651</t>
    </r>
    <r>
      <rPr>
        <sz val="11"/>
        <rFont val="宋体"/>
        <family val="3"/>
        <charset val="134"/>
      </rPr>
      <t>路等公交，公共交通便捷度一般。综合评价交通便捷度一般。</t>
    </r>
    <phoneticPr fontId="32" type="noConversion"/>
  </si>
  <si>
    <r>
      <rPr>
        <sz val="11"/>
        <rFont val="宋体"/>
        <family val="3"/>
        <charset val="134"/>
      </rPr>
      <t>周边约</t>
    </r>
    <r>
      <rPr>
        <sz val="11"/>
        <rFont val="Arial"/>
        <family val="2"/>
      </rPr>
      <t>2</t>
    </r>
    <r>
      <rPr>
        <sz val="11"/>
        <rFont val="宋体"/>
        <family val="3"/>
        <charset val="134"/>
      </rPr>
      <t>公里范围有温泉公园，自然环境一般；周边约</t>
    </r>
    <r>
      <rPr>
        <sz val="11"/>
        <rFont val="Arial"/>
        <family val="2"/>
      </rPr>
      <t>2</t>
    </r>
    <r>
      <rPr>
        <sz val="11"/>
        <rFont val="宋体"/>
        <family val="3"/>
        <charset val="134"/>
      </rPr>
      <t>公里范围内有北京行政学院等人文设施，人文环境一般；综合评价环境状况一般。</t>
    </r>
    <phoneticPr fontId="32" type="noConversion"/>
  </si>
  <si>
    <t>是否赠送面积</t>
    <phoneticPr fontId="32" type="noConversion"/>
  </si>
  <si>
    <t>序号</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</si>
  <si>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</si>
  <si>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建筑面积（平方米）</t>
  </si>
  <si>
    <t>房地产价值</t>
  </si>
  <si>
    <t>楼面单价</t>
  </si>
  <si>
    <r>
      <t>（元</t>
    </r>
    <r>
      <rPr>
        <sz val="9"/>
        <color theme="1"/>
        <rFont val="Arial"/>
        <family val="2"/>
      </rPr>
      <t>/</t>
    </r>
    <r>
      <rPr>
        <sz val="9"/>
        <color theme="1"/>
        <rFont val="华文细黑"/>
        <family val="3"/>
        <charset val="134"/>
      </rPr>
      <t>平方米）</t>
    </r>
  </si>
  <si>
    <r>
      <t>总</t>
    </r>
    <r>
      <rPr>
        <sz val="9"/>
        <color theme="1"/>
        <rFont val="Arial"/>
        <family val="2"/>
      </rPr>
      <t xml:space="preserve"> </t>
    </r>
    <r>
      <rPr>
        <sz val="9"/>
        <color theme="1"/>
        <rFont val="华文细黑"/>
        <family val="3"/>
        <charset val="134"/>
      </rPr>
      <t>价（万元）</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</si>
  <si>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</si>
  <si>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102</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</si>
  <si>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103</t>
    </r>
    <r>
      <rPr>
        <sz val="9"/>
        <color theme="1"/>
        <rFont val="华文细黑"/>
        <family val="3"/>
        <charset val="134"/>
      </rPr>
      <t>号办公用房房地产</t>
    </r>
  </si>
  <si>
    <r>
      <t>北京市号办公用房房地产海淀区白家疃尚峰园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105</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</si>
  <si>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106</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</si>
  <si>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107</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</si>
  <si>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108</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</si>
  <si>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109</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</si>
  <si>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110</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</si>
  <si>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111</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</si>
  <si>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112</t>
    </r>
    <r>
      <rPr>
        <sz val="9"/>
        <color theme="1"/>
        <rFont val="华文细黑"/>
        <family val="3"/>
        <charset val="134"/>
      </rPr>
      <t>号办公用房房地产</t>
    </r>
  </si>
  <si>
    <r>
      <t>北京市海淀区白家疃尚水园</t>
    </r>
    <r>
      <rPr>
        <sz val="9"/>
        <color theme="1"/>
        <rFont val="Arial"/>
        <family val="2"/>
      </rPr>
      <t>4</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103</t>
    </r>
    <r>
      <rPr>
        <sz val="9"/>
        <color theme="1"/>
        <rFont val="华文细黑"/>
        <family val="3"/>
        <charset val="134"/>
      </rPr>
      <t>号办公用房房地产</t>
    </r>
  </si>
  <si>
    <r>
      <t>北京市海淀区白家疃尚水园</t>
    </r>
    <r>
      <rPr>
        <sz val="9"/>
        <color theme="1"/>
        <rFont val="Arial"/>
        <family val="2"/>
      </rPr>
      <t>4</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111</t>
    </r>
    <r>
      <rPr>
        <sz val="9"/>
        <color theme="1"/>
        <rFont val="华文细黑"/>
        <family val="3"/>
        <charset val="134"/>
      </rPr>
      <t>号办公用房房地产</t>
    </r>
  </si>
  <si>
    <r>
      <t>北京市海淀区白家疃尚水园</t>
    </r>
    <r>
      <rPr>
        <sz val="9"/>
        <color theme="1"/>
        <rFont val="Arial"/>
        <family val="2"/>
      </rPr>
      <t>4</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113</t>
    </r>
    <r>
      <rPr>
        <sz val="9"/>
        <color theme="1"/>
        <rFont val="华文细黑"/>
        <family val="3"/>
        <charset val="134"/>
      </rPr>
      <t>号办公用房房地产</t>
    </r>
  </si>
  <si>
    <r>
      <t>北京市海淀区白家疃尚水园</t>
    </r>
    <r>
      <rPr>
        <sz val="9"/>
        <color theme="1"/>
        <rFont val="Arial"/>
        <family val="2"/>
      </rPr>
      <t>4</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116</t>
    </r>
    <r>
      <rPr>
        <sz val="9"/>
        <color theme="1"/>
        <rFont val="华文细黑"/>
        <family val="3"/>
        <charset val="134"/>
      </rPr>
      <t>号办公用房房地产</t>
    </r>
  </si>
  <si>
    <r>
      <t>北京市海淀区白家疃尚水园</t>
    </r>
    <r>
      <rPr>
        <sz val="9"/>
        <color theme="1"/>
        <rFont val="Arial"/>
        <family val="2"/>
      </rPr>
      <t>4</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117</t>
    </r>
    <r>
      <rPr>
        <sz val="9"/>
        <color theme="1"/>
        <rFont val="华文细黑"/>
        <family val="3"/>
        <charset val="134"/>
      </rPr>
      <t>号办公用房房地产</t>
    </r>
  </si>
  <si>
    <t>总计</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</si>
</sst>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indexed="64"/>
      </left>
      <right style="dotted">
        <color indexed="64"/>
      </right>
      <top style="double">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right style="dotted">
        <color indexed="64"/>
      </right>
      <top style="double">
        <color indexed="64"/>
      </top>
      <bottom style="dotted">
        <color indexed="64"/>
      </bottom>
      <diagonal/>
    </border>
    <border>
      <left/>
      <right style="dotted">
        <color indexed="64"/>
      </right>
      <top/>
      <bottom/>
      <diagonal/>
    </border>
    <border>
      <left/>
      <right style="dotted">
        <color indexed="64"/>
      </right>
      <top/>
      <bottom style="dotted">
        <color indexed="64"/>
      </bottom>
      <diagonal/>
    </border>
    <border>
      <left/>
      <right style="dotted">
        <color indexed="64"/>
      </right>
      <top/>
      <bottom style="double">
        <color indexed="64"/>
      </bottom>
      <diagonal/>
    </border>
    <border>
      <left style="dotted">
        <color indexed="64"/>
      </left>
      <right/>
      <top style="double">
        <color indexed="64"/>
      </top>
      <bottom style="dotted">
        <color indexed="64"/>
      </bottom>
      <diagonal/>
    </border>
    <border>
      <left style="dotted">
        <color indexed="64"/>
      </left>
      <right style="dotted">
        <color indexed="64"/>
      </right>
      <top style="dotted">
        <color indexed="64"/>
      </top>
      <bottom/>
      <diagonal/>
    </border>
    <border>
      <left style="dotted">
        <color indexed="64"/>
      </left>
      <right/>
      <top style="dotted">
        <color indexed="64"/>
      </top>
      <bottom style="double">
        <color indexed="64"/>
      </bottom>
      <diagonal/>
    </border>
    <border>
      <left/>
      <right style="dotted">
        <color indexed="64"/>
      </right>
      <top style="dotted">
        <color indexed="64"/>
      </top>
      <bottom style="double">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255" fillId="0" borderId="160" xfId="0" applyFont="1" applyBorder="1" applyAlignment="1">
      <alignment horizontal="justify" vertical="center" wrapText="1"/>
    </xf>
    <xf numFmtId="0" fontId="255" fillId="0" borderId="161" xfId="0" applyFont="1" applyBorder="1" applyAlignment="1">
      <alignment horizontal="justify" vertical="center" wrapText="1"/>
    </xf>
    <xf numFmtId="0" fontId="256" fillId="0" borderId="158" xfId="0" applyFont="1" applyBorder="1" applyAlignment="1">
      <alignment horizontal="justify" vertical="center"/>
    </xf>
    <xf numFmtId="0" fontId="256" fillId="0" borderId="161" xfId="0" applyFont="1" applyBorder="1" applyAlignment="1">
      <alignment horizontal="justify" vertical="center"/>
    </xf>
    <xf numFmtId="0" fontId="256" fillId="0" borderId="162" xfId="0" applyFont="1" applyBorder="1" applyAlignment="1">
      <alignment horizontal="justify"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65" xfId="0" applyFont="1" applyBorder="1" applyAlignment="1">
      <alignment horizontal="justify" vertical="center"/>
    </xf>
    <xf numFmtId="0" fontId="255" fillId="0" borderId="166" xfId="0" applyFont="1" applyBorder="1" applyAlignment="1">
      <alignment horizontal="justify" vertical="center"/>
    </xf>
    <xf numFmtId="0" fontId="255" fillId="0" borderId="156" xfId="0" applyFont="1" applyBorder="1" applyAlignment="1">
      <alignment horizontal="justify" vertical="center" wrapText="1"/>
    </xf>
    <xf numFmtId="0" fontId="255" fillId="0" borderId="157" xfId="0" applyFont="1" applyBorder="1" applyAlignment="1">
      <alignment horizontal="justify" vertical="center" wrapText="1"/>
    </xf>
    <xf numFmtId="0" fontId="255" fillId="0" borderId="158" xfId="0" applyFont="1" applyBorder="1" applyAlignment="1">
      <alignment horizontal="justify" vertical="center" wrapText="1"/>
    </xf>
    <xf numFmtId="0" fontId="255" fillId="0" borderId="163" xfId="0" applyFont="1" applyBorder="1" applyAlignment="1">
      <alignment horizontal="justify" vertical="center" wrapText="1"/>
    </xf>
    <xf numFmtId="0" fontId="255" fillId="0" borderId="159" xfId="0" applyFont="1" applyBorder="1" applyAlignment="1">
      <alignment horizontal="justify" vertical="center" wrapText="1"/>
    </xf>
    <xf numFmtId="0" fontId="255" fillId="0" borderId="164" xfId="0" applyFont="1" applyBorder="1" applyAlignment="1">
      <alignment horizontal="justify"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北京市北京市海淀区白家疃尚峰园3号楼101号等17套房地产抵押价值预评估</v>
      </c>
    </row>
    <row r="3" spans="1:2" s="1597" customFormat="1">
      <c r="A3" s="1595" t="s">
        <v>1222</v>
      </c>
      <c r="B3" s="1596" t="str">
        <f>'预评函-封皮'!B40</f>
        <v>北京世纪正源房地产开发有限公司</v>
      </c>
    </row>
    <row r="4" spans="1:2" s="1597" customFormat="1">
      <c r="A4" s="1595" t="s">
        <v>1223</v>
      </c>
      <c r="B4" s="1596" t="str">
        <f ca="1">'预评函-封皮'!B46</f>
        <v>刘梅（注册号：1120140022)、王鹏（注册号：1120050019)</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受贵公司委托，我公司对北京市北京市海淀区白家疃尚峰园3号楼101号等17套房地产抵押价值进行了预评估。</v>
      </c>
    </row>
    <row r="7" spans="1:2" s="1597" customFormat="1">
      <c r="A7" s="1595" t="s">
        <v>1265</v>
      </c>
      <c r="B7" s="1596" t="str">
        <f>'预评函-1'!A7</f>
        <v>估价对象为北京市北京市海淀区白家疃尚峰园3号楼101号等17套房地产，为北京世纪正源房地产开发有限公司所有。根据，估价对象（分摊）出让国有建设用地使用权面积为0平方米，建筑面积为2300.98平方米。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北京市海淀区白家疃尚峰园3号楼101号等17套房地产,属北京世纪正源房地产开发有限公司开发建设的办公项目，该项目尚在开发建设中。根据，估价对象（分摊）出让国有建设用地使用权面积为0平方米，规划建筑面积为2300.98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为估价委托人在向民生银行股份有限公司北京市分行办理贷款手续过程中，确定房地产抵押贷款额度提供参考依据而评估房地产抵押价值。</v>
      </c>
    </row>
    <row r="12" spans="1:2" s="1597" customFormat="1">
      <c r="A12" s="1595" t="s">
        <v>1227</v>
      </c>
      <c r="B12" s="1596" t="str">
        <f>'预评函-1'!A15</f>
        <v>2017年11月1日</v>
      </c>
    </row>
    <row r="13" spans="1:2" s="1597" customFormat="1">
      <c r="A13" s="1595" t="s">
        <v>1228</v>
      </c>
      <c r="B13" s="1596" t="str">
        <f>'预评函-1'!A18</f>
        <v>本次估价的“房地产价值”是指在正常市场情况下，在价值时点2017年11月1日，估价对象规划用途为办公，土地取得方式为出让，出让国有建设用地使用权剩余土地使用年限为办公38.68年，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通热、燃气）、红线内场地平整条件下，剩余土地使用年限为办公38.68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本次评估采用的主估价方法为基准地价系数修正法和收益法。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6958</v>
      </c>
    </row>
    <row r="21" spans="1:2" s="1597" customFormat="1">
      <c r="A21" s="1595" t="s">
        <v>1236</v>
      </c>
      <c r="B21" s="1596">
        <f ca="1">'预评函-2'!D7</f>
        <v>30239</v>
      </c>
    </row>
    <row r="22" spans="1:2" s="1597" customFormat="1">
      <c r="A22" s="1595" t="s">
        <v>1237</v>
      </c>
      <c r="B22" s="1596" t="str">
        <f ca="1">'预评函-2'!D6</f>
        <v>陆仟玖佰伍拾捌万元整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6958</v>
      </c>
    </row>
    <row r="31" spans="1:2" s="1597" customFormat="1">
      <c r="A31" s="1595" t="s">
        <v>1275</v>
      </c>
      <c r="B31" s="1596">
        <f ca="1">'预评函-2'!D15</f>
        <v>30239</v>
      </c>
    </row>
    <row r="32" spans="1:2" s="1597" customFormat="1">
      <c r="A32" s="1595" t="s">
        <v>1242</v>
      </c>
      <c r="B32" s="1596" t="str">
        <f ca="1">'预评函-2'!D14</f>
        <v>陆仟玖佰伍拾捌万元整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北京市北京市海淀区白家疃尚峰园3号楼101号等17套房地产</v>
      </c>
    </row>
    <row r="42" spans="1:2" s="1597" customFormat="1">
      <c r="A42" s="1595" t="s">
        <v>1289</v>
      </c>
      <c r="B42" s="1596" t="str">
        <f>'预评函-3'!B2</f>
        <v>建筑面积</v>
      </c>
    </row>
    <row r="43" spans="1:2" s="1597" customFormat="1">
      <c r="A43" s="1595" t="s">
        <v>1290</v>
      </c>
      <c r="B43" s="1596">
        <f>'预评函-3'!B4</f>
        <v>2300.98</v>
      </c>
    </row>
    <row r="44" spans="1:2" s="1597" customFormat="1">
      <c r="A44" s="1595" t="s">
        <v>1274</v>
      </c>
      <c r="B44" s="1596" t="str">
        <f>'预评函-3'!C2</f>
        <v>(分摊)土地面积</v>
      </c>
    </row>
    <row r="45" spans="1:2" s="1597" customFormat="1">
      <c r="A45" s="1595" t="s">
        <v>1246</v>
      </c>
      <c r="B45" s="1596">
        <f>'预评函-3'!C4</f>
        <v>0</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（1）根据估价对象《房屋所有权证》复印件，截至价值时点，估价对象抵押权未见登记。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刘梅</v>
      </c>
    </row>
    <row r="71" spans="1:2">
      <c r="A71" s="1595" t="s">
        <v>1262</v>
      </c>
      <c r="B71" s="1596">
        <f ca="1">'预评函-4'!B4</f>
        <v>1120140022</v>
      </c>
    </row>
    <row r="72" spans="1:2">
      <c r="A72" s="1595" t="s">
        <v>1263</v>
      </c>
      <c r="B72" s="1604" t="str">
        <f>'预评函-4'!A5</f>
        <v>王鹏</v>
      </c>
    </row>
    <row r="73" spans="1:2" s="1591" customFormat="1" ht="15" thickBot="1">
      <c r="A73" s="1598" t="s">
        <v>1264</v>
      </c>
      <c r="B73" s="1599">
        <f ca="1">'预评函-4'!B5</f>
        <v>1120050019</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4" sqref="X24"/>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18" t="s">
        <v>1734</v>
      </c>
      <c r="C5" s="2019" t="s">
        <v>763</v>
      </c>
      <c r="F5" s="2020" t="s">
        <v>1735</v>
      </c>
      <c r="H5" s="2020" t="s">
        <v>1736</v>
      </c>
      <c r="I5" s="2020" t="s">
        <v>1737</v>
      </c>
      <c r="K5" s="2020" t="s">
        <v>1738</v>
      </c>
      <c r="L5" s="2020" t="s">
        <v>1738</v>
      </c>
      <c r="M5" s="2020" t="s">
        <v>1738</v>
      </c>
      <c r="N5" s="2020" t="s">
        <v>1738</v>
      </c>
      <c r="O5" s="2020" t="s">
        <v>1738</v>
      </c>
      <c r="P5" s="2020" t="s">
        <v>1738</v>
      </c>
      <c r="Q5" s="2020" t="s">
        <v>1738</v>
      </c>
      <c r="R5" s="2020" t="s">
        <v>1142</v>
      </c>
      <c r="S5" s="2020" t="s">
        <v>1738</v>
      </c>
      <c r="T5" s="2020" t="s">
        <v>1739</v>
      </c>
      <c r="U5" s="2020" t="s">
        <v>1738</v>
      </c>
      <c r="W5" s="2020" t="s">
        <v>1738</v>
      </c>
    </row>
    <row r="6" spans="1:23">
      <c r="A6" s="2018" t="s">
        <v>1740</v>
      </c>
      <c r="B6" s="2021" t="s">
        <v>1146</v>
      </c>
      <c r="C6" s="2024" t="s">
        <v>30</v>
      </c>
      <c r="F6" s="2020" t="s">
        <v>1736</v>
      </c>
      <c r="H6" s="2020" t="s">
        <v>1741</v>
      </c>
      <c r="I6" s="2020" t="s">
        <v>1742</v>
      </c>
      <c r="K6" s="2020" t="s">
        <v>1743</v>
      </c>
      <c r="L6" s="2020" t="s">
        <v>1743</v>
      </c>
      <c r="M6" s="2020" t="s">
        <v>1743</v>
      </c>
      <c r="N6" s="2020" t="s">
        <v>1743</v>
      </c>
      <c r="O6" s="2020" t="s">
        <v>1743</v>
      </c>
      <c r="P6" s="2020" t="s">
        <v>1743</v>
      </c>
      <c r="Q6" s="2020" t="s">
        <v>1743</v>
      </c>
      <c r="R6" s="2020" t="s">
        <v>1143</v>
      </c>
      <c r="S6" s="2020" t="s">
        <v>1743</v>
      </c>
      <c r="T6" s="2020"/>
      <c r="U6" s="2020" t="s">
        <v>1743</v>
      </c>
      <c r="W6" s="2020" t="s">
        <v>1743</v>
      </c>
    </row>
    <row r="7" spans="1:23">
      <c r="A7" s="2018" t="s">
        <v>1744</v>
      </c>
      <c r="B7" s="2021" t="s">
        <v>1147</v>
      </c>
      <c r="C7" s="2019" t="s">
        <v>31</v>
      </c>
      <c r="F7" s="2020" t="s">
        <v>1745</v>
      </c>
      <c r="H7" s="2020" t="s">
        <v>1746</v>
      </c>
      <c r="I7" s="2020" t="s">
        <v>1747</v>
      </c>
    </row>
    <row r="8" spans="1:23">
      <c r="A8" s="2018" t="s">
        <v>1748</v>
      </c>
      <c r="B8" s="2018" t="s">
        <v>1749</v>
      </c>
      <c r="C8" s="2019" t="s">
        <v>764</v>
      </c>
      <c r="F8" s="2020" t="s">
        <v>1750</v>
      </c>
      <c r="H8" s="2020"/>
      <c r="I8" s="2020" t="s">
        <v>1751</v>
      </c>
    </row>
    <row r="9" spans="1:23">
      <c r="A9" s="2018" t="s">
        <v>1752</v>
      </c>
      <c r="B9" s="2018" t="s">
        <v>1753</v>
      </c>
      <c r="C9" s="2019" t="s">
        <v>765</v>
      </c>
      <c r="F9" s="2020" t="s">
        <v>1754</v>
      </c>
      <c r="H9" s="2020"/>
    </row>
    <row r="10" spans="1:23">
      <c r="A10" s="2018" t="s">
        <v>1755</v>
      </c>
      <c r="B10" s="2018" t="s">
        <v>1756</v>
      </c>
      <c r="C10" s="2019" t="s">
        <v>766</v>
      </c>
      <c r="F10" s="2020" t="s">
        <v>16</v>
      </c>
    </row>
    <row r="11" spans="1:23">
      <c r="A11" s="2018" t="s">
        <v>1757</v>
      </c>
      <c r="B11" s="2018" t="s">
        <v>1758</v>
      </c>
      <c r="C11" s="2019" t="s">
        <v>767</v>
      </c>
    </row>
    <row r="12" spans="1:23">
      <c r="A12" s="2018" t="s">
        <v>1759</v>
      </c>
      <c r="B12" s="2018" t="s">
        <v>1760</v>
      </c>
      <c r="C12" s="2019" t="s">
        <v>768</v>
      </c>
    </row>
    <row r="13" spans="1:23">
      <c r="A13" s="2018" t="s">
        <v>1761</v>
      </c>
      <c r="B13" s="2018" t="s">
        <v>1762</v>
      </c>
      <c r="C13" s="2019" t="s">
        <v>769</v>
      </c>
    </row>
    <row r="14" spans="1:23">
      <c r="A14" s="2018" t="s">
        <v>1763</v>
      </c>
      <c r="B14" s="2018" t="s">
        <v>1764</v>
      </c>
      <c r="C14" s="2020" t="s">
        <v>16</v>
      </c>
    </row>
    <row r="15" spans="1:23">
      <c r="A15" s="2018" t="s">
        <v>1765</v>
      </c>
      <c r="B15" s="2018" t="s">
        <v>1766</v>
      </c>
      <c r="C15" s="2019"/>
    </row>
    <row r="16" spans="1:23">
      <c r="A16" s="2018" t="s">
        <v>1767</v>
      </c>
      <c r="B16" s="2018" t="s">
        <v>756</v>
      </c>
      <c r="C16" s="2019"/>
    </row>
    <row r="17" spans="1:3">
      <c r="A17" s="2018" t="s">
        <v>1768</v>
      </c>
      <c r="B17" s="2018" t="s">
        <v>3088</v>
      </c>
      <c r="C17" s="2019"/>
    </row>
    <row r="18" spans="1:3">
      <c r="A18" s="2018" t="s">
        <v>1769</v>
      </c>
      <c r="B18" s="2018" t="s">
        <v>757</v>
      </c>
      <c r="C18" s="2019"/>
    </row>
    <row r="19" spans="1:3">
      <c r="A19" s="2018" t="s">
        <v>1770</v>
      </c>
      <c r="B19" s="2018" t="s">
        <v>757</v>
      </c>
      <c r="C19" s="2019"/>
    </row>
    <row r="20" spans="1:3">
      <c r="A20" s="2018" t="s">
        <v>1771</v>
      </c>
      <c r="B20" s="2018" t="s">
        <v>757</v>
      </c>
      <c r="C20" s="2019"/>
    </row>
    <row r="21" spans="1:3">
      <c r="A21" s="2018" t="s">
        <v>1772</v>
      </c>
      <c r="B21" s="2018" t="s">
        <v>757</v>
      </c>
      <c r="C21" s="2019"/>
    </row>
    <row r="22" spans="1:3">
      <c r="A22" s="2018" t="s">
        <v>1773</v>
      </c>
      <c r="B22" s="2018" t="s">
        <v>757</v>
      </c>
      <c r="C22" s="2019"/>
    </row>
    <row r="23" spans="1:3">
      <c r="A23" s="2018" t="s">
        <v>1774</v>
      </c>
      <c r="B23" s="2018" t="s">
        <v>757</v>
      </c>
      <c r="C23" s="2019"/>
    </row>
    <row r="24" spans="1:3">
      <c r="A24" s="2018" t="s">
        <v>1775</v>
      </c>
      <c r="B24" s="2018" t="s">
        <v>757</v>
      </c>
      <c r="C24" s="2019"/>
    </row>
    <row r="25" spans="1:3">
      <c r="A25" s="2018" t="s">
        <v>1776</v>
      </c>
      <c r="B25" s="2018" t="s">
        <v>757</v>
      </c>
      <c r="C25" s="2019"/>
    </row>
    <row r="26" spans="1:3">
      <c r="A26" s="2018" t="s">
        <v>1777</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为估价委托人在向民生银行股份有限公司北京市分行办理贷款手续过程中，确定房地产抵押贷款额度提供参考依据而评估房地产抵押价值。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正源房地产开发有限公司拟使用北京市北京市海淀区白家疃尚峰园3号楼101号等17套房地产作为抵押担保物，向民生银行股份有限公司北京市分行办理贷款手续。民生银行股份有限公司北京市分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94"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94"/>
      <c r="B54" s="2026" t="s">
        <v>864</v>
      </c>
      <c r="C54" s="2023" t="s">
        <v>1282</v>
      </c>
    </row>
    <row r="55" spans="1:4">
      <c r="A55" s="2994"/>
      <c r="B55" s="2026" t="s">
        <v>865</v>
      </c>
      <c r="C55" s="2023" t="s">
        <v>1283</v>
      </c>
    </row>
    <row r="56" spans="1:4">
      <c r="A56" s="2994"/>
      <c r="B56" s="2026" t="s">
        <v>866</v>
      </c>
      <c r="C56" s="2023" t="s">
        <v>1287</v>
      </c>
    </row>
    <row r="57" spans="1:4">
      <c r="A57" s="2994"/>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36" customWidth="1"/>
    <col min="2" max="2" width="10" style="2036" customWidth="1"/>
    <col min="3" max="3" width="11.5" style="2036" customWidth="1"/>
    <col min="4" max="6" width="10" style="2036" customWidth="1"/>
    <col min="7" max="7" width="10.75" style="2036" customWidth="1"/>
    <col min="8" max="8" width="10" style="2036" customWidth="1"/>
    <col min="9" max="9" width="11.125" style="2161" customWidth="1"/>
    <col min="10" max="10" width="10" style="2036" customWidth="1"/>
    <col min="11" max="11" width="10" style="2162" customWidth="1"/>
    <col min="12" max="13" width="10" style="2163" customWidth="1"/>
    <col min="14" max="14" width="10" style="2036" customWidth="1"/>
    <col min="15" max="15" width="10" style="2161" customWidth="1"/>
    <col min="16" max="17" width="10" style="2036"/>
    <col min="18" max="18" width="10" style="2036" customWidth="1"/>
    <col min="19" max="16384" width="10" style="2036"/>
  </cols>
  <sheetData>
    <row r="1" spans="1:19" ht="38.25" customHeight="1" thickBot="1">
      <c r="A1" s="2029" t="s">
        <v>1778</v>
      </c>
      <c r="B1" s="2995" t="str">
        <f>IF(B10="北京市","北京市",C10)&amp;F10&amp;IF(结果表!G1="在建","出让国有建设用地使用权及在建建筑物",IF(结果表!G1="土地","出让国有建设用地使用权",))&amp;B9&amp;"预评估"</f>
        <v>北京市北京市海淀区白家疃尚峰园3号楼101号等17套房地产抵押价值预评估</v>
      </c>
      <c r="C1" s="2996"/>
      <c r="D1" s="2996"/>
      <c r="E1" s="2996"/>
      <c r="F1" s="2996"/>
      <c r="G1" s="2996"/>
      <c r="H1" s="2996"/>
      <c r="I1" s="2997"/>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北京市北京市海淀区白家疃尚峰园3号楼101号等17套房地产抵押价值</v>
      </c>
    </row>
    <row r="2" spans="1:19" ht="18" customHeight="1">
      <c r="A2" s="2030" t="s">
        <v>1779</v>
      </c>
      <c r="B2" s="1042"/>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北京市北京市海淀区白家疃尚峰园3号楼101号等17套房地产</v>
      </c>
    </row>
    <row r="3" spans="1:19" ht="18" customHeight="1">
      <c r="A3" s="2039" t="s">
        <v>1780</v>
      </c>
      <c r="B3" s="2040"/>
      <c r="C3" s="2041" t="s">
        <v>1781</v>
      </c>
      <c r="D3" s="2040">
        <v>43040</v>
      </c>
      <c r="E3" s="2030"/>
      <c r="F3" s="2030"/>
      <c r="G3" s="2030"/>
      <c r="H3" s="2030"/>
      <c r="I3" s="2030"/>
      <c r="J3" s="2030"/>
      <c r="K3" s="2031"/>
      <c r="L3" s="2032"/>
      <c r="M3" s="2032"/>
      <c r="N3" s="2033"/>
      <c r="O3" s="2034"/>
      <c r="P3" s="2033"/>
      <c r="Q3" s="2033"/>
      <c r="R3" s="2033"/>
      <c r="S3" s="2035"/>
    </row>
    <row r="4" spans="1:19" ht="18" customHeight="1" thickBot="1">
      <c r="A4" s="2042" t="s">
        <v>1782</v>
      </c>
      <c r="B4" s="2043" t="s">
        <v>3090</v>
      </c>
      <c r="C4" s="1040">
        <f ca="1">SUMIF(注册房地产估价师,B4,估价师及机构信息!B3:B24)</f>
        <v>1120140022</v>
      </c>
      <c r="D4" s="2043" t="s">
        <v>3091</v>
      </c>
      <c r="E4" s="1041">
        <f ca="1">SUMIF(注册房地产估价师,D4,估价师及机构信息!B3:B24)</f>
        <v>1120050019</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刘梅（注册号：1120140022)、王鹏（注册号：1120050019)</v>
      </c>
      <c r="L4" s="2032"/>
      <c r="M4" s="2032"/>
      <c r="N4" s="2033"/>
      <c r="O4" s="2034"/>
      <c r="P4" s="2033"/>
      <c r="Q4" s="2033"/>
      <c r="R4" s="2033"/>
      <c r="S4" s="2035"/>
    </row>
    <row r="5" spans="1:19" ht="18" customHeight="1" thickTop="1">
      <c r="A5" s="2048" t="s">
        <v>1783</v>
      </c>
      <c r="B5" s="2939" t="s">
        <v>3092</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1784</v>
      </c>
      <c r="B6" s="2940" t="s">
        <v>3093</v>
      </c>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1" t="s">
        <v>1785</v>
      </c>
      <c r="B7" s="2052" t="str">
        <f>B5</f>
        <v>北京世纪正源房地产开发有限公司</v>
      </c>
      <c r="C7" s="2053"/>
      <c r="D7" s="2054"/>
      <c r="E7" s="2038"/>
      <c r="F7" s="2046"/>
      <c r="G7" s="2046"/>
      <c r="H7" s="2046"/>
      <c r="I7" s="2046"/>
      <c r="J7" s="2046"/>
      <c r="K7" s="2056"/>
      <c r="L7" s="2032"/>
      <c r="M7" s="2032"/>
      <c r="N7" s="2033"/>
      <c r="O7" s="2034"/>
      <c r="P7" s="2033"/>
      <c r="Q7" s="2033"/>
      <c r="R7" s="2033"/>
    </row>
    <row r="8" spans="1:19" ht="18" customHeight="1">
      <c r="A8" s="2051" t="s">
        <v>1786</v>
      </c>
      <c r="B8" s="2057" t="s">
        <v>3057</v>
      </c>
      <c r="C8" s="2058"/>
      <c r="D8" s="2998" t="s">
        <v>1787</v>
      </c>
      <c r="E8" s="2059" t="s">
        <v>3058</v>
      </c>
      <c r="F8" s="2060"/>
      <c r="G8" s="2030"/>
      <c r="H8" s="2030"/>
      <c r="I8" s="2030"/>
      <c r="J8" s="2046"/>
      <c r="K8" s="2047"/>
      <c r="L8" s="2032"/>
      <c r="M8" s="2032"/>
      <c r="N8" s="2033"/>
      <c r="O8" s="2034"/>
      <c r="P8" s="2033"/>
      <c r="Q8" s="2033"/>
      <c r="R8" s="2033"/>
    </row>
    <row r="9" spans="1:19" ht="18" customHeight="1" thickBot="1">
      <c r="A9" s="2044" t="s">
        <v>1788</v>
      </c>
      <c r="B9" s="2061" t="s">
        <v>3058</v>
      </c>
      <c r="C9" s="2062"/>
      <c r="D9" s="2999"/>
      <c r="E9" s="2061" t="s">
        <v>70</v>
      </c>
      <c r="F9" s="2063"/>
      <c r="G9" s="2064"/>
      <c r="H9" s="2064"/>
      <c r="I9" s="2064"/>
      <c r="J9" s="2046"/>
      <c r="K9" s="2056"/>
      <c r="L9" s="2032"/>
      <c r="M9" s="2032"/>
      <c r="N9" s="2033"/>
      <c r="O9" s="2034"/>
      <c r="P9" s="2033"/>
      <c r="Q9" s="2033"/>
      <c r="R9" s="2033"/>
    </row>
    <row r="10" spans="1:19" ht="18" customHeight="1" thickTop="1">
      <c r="A10" s="2065" t="s">
        <v>1789</v>
      </c>
      <c r="B10" s="2066" t="s">
        <v>3094</v>
      </c>
      <c r="C10" s="2067"/>
      <c r="D10" s="2050"/>
      <c r="E10" s="2068" t="s">
        <v>1790</v>
      </c>
      <c r="F10" s="2941" t="s">
        <v>3095</v>
      </c>
      <c r="G10" s="2069"/>
      <c r="H10" s="2070"/>
      <c r="I10" s="2050"/>
      <c r="J10" s="2046"/>
      <c r="K10" s="2056"/>
      <c r="L10" s="2032"/>
      <c r="M10" s="2032"/>
      <c r="N10" s="2033"/>
      <c r="O10" s="2034"/>
      <c r="P10" s="2033"/>
      <c r="Q10" s="2033"/>
      <c r="R10" s="2033"/>
    </row>
    <row r="11" spans="1:19" ht="18" customHeight="1">
      <c r="A11" s="2071" t="s">
        <v>1791</v>
      </c>
      <c r="B11" s="2072" t="s">
        <v>3096</v>
      </c>
      <c r="C11" s="2073" t="str">
        <f>B5</f>
        <v>北京世纪正源房地产开发有限公司</v>
      </c>
      <c r="D11" s="2074"/>
      <c r="E11" s="2046"/>
      <c r="F11" s="2046"/>
      <c r="G11" s="2046"/>
      <c r="H11" s="2046"/>
      <c r="I11" s="2046"/>
      <c r="J11" s="2046"/>
      <c r="K11" s="2056"/>
      <c r="L11" s="2032"/>
      <c r="M11" s="2032"/>
      <c r="N11" s="2033"/>
      <c r="O11" s="2034"/>
      <c r="P11" s="2033"/>
      <c r="Q11" s="2033"/>
      <c r="R11" s="2033"/>
    </row>
    <row r="12" spans="1:19" ht="18" customHeight="1">
      <c r="A12" s="2075" t="s">
        <v>1792</v>
      </c>
      <c r="B12" s="2072" t="s">
        <v>3056</v>
      </c>
      <c r="C12" s="2076" t="s">
        <v>1793</v>
      </c>
      <c r="D12" s="2077" t="s">
        <v>1794</v>
      </c>
      <c r="E12" s="2077" t="s">
        <v>1795</v>
      </c>
      <c r="F12" s="2077" t="s">
        <v>1796</v>
      </c>
      <c r="G12" s="2077" t="s">
        <v>1797</v>
      </c>
      <c r="H12" s="2077" t="s">
        <v>1798</v>
      </c>
      <c r="I12" s="2077" t="s">
        <v>1799</v>
      </c>
      <c r="J12" s="2046"/>
      <c r="K12" s="2056"/>
      <c r="L12" s="2032"/>
      <c r="M12" s="2032"/>
      <c r="N12" s="2033"/>
      <c r="O12" s="2034"/>
      <c r="P12" s="2033"/>
      <c r="Q12" s="2033"/>
      <c r="R12" s="2033"/>
    </row>
    <row r="13" spans="1:19" ht="18" customHeight="1">
      <c r="A13" s="2078"/>
      <c r="B13" s="2079"/>
      <c r="C13" s="2080" t="s">
        <v>1800</v>
      </c>
      <c r="D13" s="2081"/>
      <c r="E13" s="2081"/>
      <c r="F13" s="2081">
        <v>57160</v>
      </c>
      <c r="G13" s="2081"/>
      <c r="H13" s="2081"/>
      <c r="I13" s="1050"/>
      <c r="J13" s="2046"/>
      <c r="K13" s="2056"/>
      <c r="L13" s="2032"/>
      <c r="M13" s="2032"/>
      <c r="N13" s="2033"/>
      <c r="O13" s="2034"/>
      <c r="P13" s="2033"/>
      <c r="Q13" s="2033"/>
      <c r="R13" s="2033"/>
    </row>
    <row r="14" spans="1:19" ht="18" customHeight="1">
      <c r="A14" s="2078"/>
      <c r="B14" s="2079"/>
      <c r="C14" s="2080" t="s">
        <v>1801</v>
      </c>
      <c r="D14" s="1053"/>
      <c r="E14" s="1053"/>
      <c r="F14" s="1053">
        <v>50</v>
      </c>
      <c r="G14" s="1053"/>
      <c r="H14" s="1053"/>
      <c r="I14" s="1053"/>
      <c r="J14" s="2046"/>
      <c r="K14" s="2082"/>
      <c r="L14" s="2032"/>
      <c r="M14" s="2032"/>
      <c r="N14" s="2033"/>
      <c r="O14" s="2034"/>
      <c r="P14" s="2033"/>
      <c r="Q14" s="2033"/>
      <c r="R14" s="2033"/>
    </row>
    <row r="15" spans="1:19" ht="18" customHeight="1">
      <c r="A15" s="2065"/>
      <c r="B15" s="2083"/>
      <c r="C15" s="2080" t="s">
        <v>1802</v>
      </c>
      <c r="D15" s="1052" t="str">
        <f>IF(B12="出让",IF(D13="","",ROUNDDOWN(MIN((D13-$D$3)/365,D14),2)),D14)</f>
        <v/>
      </c>
      <c r="E15" s="1052" t="str">
        <f>IF(B12="出让",IF(E13="","",ROUNDDOWN(MIN((E13-$D$3)/365,E14),2)),E14)</f>
        <v/>
      </c>
      <c r="F15" s="1052">
        <f>IF(B12="出让",IF(F13="","",ROUNDDOWN(MIN((F13-$D$3)/365,F14),2)),F14)</f>
        <v>38.68</v>
      </c>
      <c r="G15" s="1052" t="str">
        <f>IF(B12="出让",IF(G13="","",ROUNDDOWN(MIN((G13-$D$3)/365,G14),2)),G14)</f>
        <v/>
      </c>
      <c r="H15" s="1052" t="str">
        <f>IF(B12="出让",IF(H13="","",ROUNDDOWN(MIN((H13-$D$3)/365,H14),2)),H14)</f>
        <v/>
      </c>
      <c r="I15" s="1052" t="str">
        <f>IF(B12="出让",IF(I13="","",ROUNDDOWN(MIN((I13-$D$3)/365,I14),2)),I14)</f>
        <v/>
      </c>
      <c r="J15" s="2046"/>
      <c r="K15" s="2084"/>
      <c r="L15" s="2085"/>
      <c r="M15" s="2085"/>
      <c r="N15" s="2086"/>
      <c r="O15" s="2085"/>
      <c r="P15" s="2086"/>
      <c r="Q15" s="2033"/>
      <c r="R15" s="2033"/>
    </row>
    <row r="16" spans="1:19" ht="30.75" customHeight="1">
      <c r="A16" s="2068" t="s">
        <v>1803</v>
      </c>
      <c r="B16" s="3005" t="s">
        <v>3097</v>
      </c>
      <c r="C16" s="3006"/>
      <c r="D16" s="3007"/>
      <c r="E16" s="2087" t="s">
        <v>1804</v>
      </c>
      <c r="F16" s="3008" t="s">
        <v>3098</v>
      </c>
      <c r="G16" s="3009"/>
      <c r="H16" s="3009"/>
      <c r="I16" s="3010"/>
      <c r="J16" s="2033"/>
      <c r="K16" s="2084"/>
      <c r="L16" s="2085"/>
      <c r="M16" s="2085"/>
      <c r="N16" s="2086"/>
      <c r="O16" s="2085"/>
      <c r="P16" s="2086"/>
      <c r="Q16" s="2033"/>
      <c r="R16" s="2033"/>
    </row>
    <row r="17" spans="1:22" ht="18" customHeight="1">
      <c r="A17" s="2088" t="s">
        <v>1805</v>
      </c>
      <c r="B17" s="2039" t="s">
        <v>1806</v>
      </c>
      <c r="C17" s="1057">
        <f>'数据-汇总表'!E3</f>
        <v>2300.98</v>
      </c>
      <c r="D17" s="2089" t="s">
        <v>1807</v>
      </c>
      <c r="E17" s="3011" t="s">
        <v>3109</v>
      </c>
      <c r="F17" s="3012"/>
      <c r="G17" s="3012"/>
      <c r="H17" s="3012"/>
      <c r="I17" s="3013"/>
      <c r="J17" s="2033"/>
      <c r="K17" s="2090"/>
      <c r="L17" s="2085"/>
      <c r="M17" s="2085"/>
      <c r="N17" s="2086"/>
      <c r="O17" s="2085"/>
      <c r="P17" s="2086"/>
      <c r="Q17" s="2033"/>
      <c r="R17" s="2033"/>
      <c r="S17" s="2033"/>
      <c r="T17" s="2033"/>
      <c r="U17" s="2033"/>
      <c r="V17" s="2033"/>
    </row>
    <row r="18" spans="1:22" ht="36" customHeight="1" thickBot="1">
      <c r="A18" s="2091" t="s">
        <v>3059</v>
      </c>
      <c r="B18" s="2042" t="s">
        <v>1808</v>
      </c>
      <c r="C18" s="1447">
        <f>'数据-汇总表'!D3</f>
        <v>0</v>
      </c>
      <c r="D18" s="2092" t="s">
        <v>1807</v>
      </c>
      <c r="E18" s="3014"/>
      <c r="F18" s="3015"/>
      <c r="G18" s="3015"/>
      <c r="H18" s="3015"/>
      <c r="I18" s="3016"/>
      <c r="J18" s="2033"/>
      <c r="K18" s="2090"/>
      <c r="L18" s="2085"/>
      <c r="M18" s="2085"/>
      <c r="N18" s="2086"/>
      <c r="O18" s="2085"/>
      <c r="P18" s="2086"/>
      <c r="Q18" s="2033"/>
      <c r="R18" s="2033"/>
      <c r="S18" s="2033"/>
      <c r="T18" s="2033"/>
      <c r="U18" s="2033"/>
      <c r="V18" s="2033"/>
    </row>
    <row r="19" spans="1:22" ht="37.5" customHeight="1" thickTop="1" thickBot="1">
      <c r="A19" s="374" t="s">
        <v>1809</v>
      </c>
      <c r="B19" s="353" t="s">
        <v>1810</v>
      </c>
      <c r="C19" s="2093" t="s">
        <v>3085</v>
      </c>
      <c r="D19" s="2094" t="s">
        <v>1811</v>
      </c>
      <c r="E19" s="2095" t="s">
        <v>70</v>
      </c>
      <c r="F19" s="2096" t="str">
        <f>IF(AND(C19="是",E19="否"),"是否提供他项权证或相关说明","")</f>
        <v/>
      </c>
      <c r="G19" s="2097" t="s">
        <v>70</v>
      </c>
      <c r="H19" s="2046"/>
      <c r="I19" s="2046"/>
      <c r="J19" s="2046"/>
      <c r="K19" s="2056"/>
      <c r="L19" s="2032"/>
      <c r="M19" s="2032"/>
      <c r="N19" s="2086"/>
      <c r="O19" s="2085"/>
      <c r="P19" s="2086"/>
      <c r="Q19" s="2033"/>
      <c r="R19" s="2033"/>
      <c r="S19" s="2033"/>
      <c r="T19" s="2033"/>
      <c r="U19" s="2033"/>
      <c r="V19" s="2033"/>
    </row>
    <row r="20" spans="1:22" ht="18" customHeight="1">
      <c r="A20" s="2098" t="s">
        <v>1812</v>
      </c>
      <c r="B20" s="3001" t="s">
        <v>1813</v>
      </c>
      <c r="C20" s="3002"/>
      <c r="D20" s="3003" t="s">
        <v>1814</v>
      </c>
      <c r="E20" s="3004"/>
      <c r="F20" s="2099" t="s">
        <v>1815</v>
      </c>
      <c r="G20" s="2046"/>
      <c r="H20" s="2046"/>
      <c r="I20" s="2046"/>
      <c r="J20" s="2046"/>
      <c r="K20" s="3000" t="s">
        <v>1816</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2"/>
      <c r="N20" s="2086"/>
      <c r="O20" s="2085"/>
      <c r="P20" s="2086"/>
      <c r="Q20" s="2033"/>
      <c r="R20" s="2033"/>
      <c r="S20" s="2033"/>
      <c r="T20" s="2033"/>
      <c r="U20" s="2033"/>
      <c r="V20" s="2033"/>
    </row>
    <row r="21" spans="1:22" ht="24.75" customHeight="1">
      <c r="A21" s="2098"/>
      <c r="B21" s="2100" t="s">
        <v>1817</v>
      </c>
      <c r="C21" s="2101" t="s">
        <v>3099</v>
      </c>
      <c r="D21" s="2102"/>
      <c r="E21" s="2103" t="s">
        <v>70</v>
      </c>
      <c r="F21" s="2104"/>
      <c r="G21" s="2046"/>
      <c r="H21" s="2046"/>
      <c r="I21" s="2046"/>
      <c r="J21" s="2046"/>
      <c r="K21" s="300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6"/>
      <c r="O21" s="2085"/>
      <c r="P21" s="2086"/>
      <c r="Q21" s="2033"/>
      <c r="R21" s="2033"/>
      <c r="S21" s="2033"/>
      <c r="T21" s="2033"/>
      <c r="U21" s="2033"/>
      <c r="V21" s="2033"/>
    </row>
    <row r="22" spans="1:22" ht="24.75" customHeight="1" thickBot="1">
      <c r="A22" s="2098"/>
      <c r="B22" s="2105" t="s">
        <v>70</v>
      </c>
      <c r="C22" s="2101" t="s">
        <v>70</v>
      </c>
      <c r="D22" s="2030"/>
      <c r="E22" s="2030"/>
      <c r="F22" s="2106"/>
      <c r="G22" s="2046"/>
      <c r="H22" s="2046"/>
      <c r="I22" s="2046"/>
      <c r="J22" s="2046"/>
      <c r="K22" s="300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6"/>
      <c r="O22" s="2085"/>
      <c r="P22" s="2086"/>
      <c r="Q22" s="2033"/>
      <c r="R22" s="2033"/>
      <c r="S22" s="2033"/>
      <c r="T22" s="2033"/>
      <c r="U22" s="2033"/>
      <c r="V22" s="2033"/>
    </row>
    <row r="23" spans="1:22" ht="18" customHeight="1">
      <c r="A23" s="2107" t="s">
        <v>1818</v>
      </c>
      <c r="B23" s="184" t="s">
        <v>1819</v>
      </c>
      <c r="C23" s="2108"/>
      <c r="D23" s="2109" t="s">
        <v>1819</v>
      </c>
      <c r="E23" s="2110"/>
      <c r="F23" s="2106"/>
      <c r="G23" s="2046"/>
      <c r="H23" s="2046"/>
      <c r="I23" s="2046"/>
      <c r="J23" s="2046"/>
      <c r="K23" s="2111"/>
      <c r="L23" s="748"/>
      <c r="M23" s="2032"/>
      <c r="N23" s="2086"/>
      <c r="O23" s="2085"/>
      <c r="P23" s="2086"/>
      <c r="Q23" s="2033"/>
      <c r="R23" s="2033"/>
      <c r="S23" s="2033"/>
      <c r="T23" s="2033"/>
      <c r="U23" s="2033"/>
      <c r="V23" s="2033"/>
    </row>
    <row r="24" spans="1:22" ht="18" customHeight="1">
      <c r="A24" s="2112"/>
      <c r="B24" s="184" t="s">
        <v>1820</v>
      </c>
      <c r="C24" s="2113"/>
      <c r="D24" s="2107" t="s">
        <v>1820</v>
      </c>
      <c r="E24" s="2114"/>
      <c r="F24" s="2106"/>
      <c r="G24" s="2046"/>
      <c r="H24" s="2046"/>
      <c r="I24" s="2046"/>
      <c r="J24" s="2046"/>
      <c r="K24" s="2111"/>
      <c r="L24" s="748"/>
      <c r="M24" s="2032"/>
      <c r="N24" s="2086"/>
      <c r="O24" s="2085"/>
      <c r="P24" s="2086"/>
      <c r="Q24" s="2033"/>
      <c r="R24" s="2033"/>
      <c r="S24" s="2033"/>
      <c r="T24" s="2033"/>
      <c r="U24" s="2033"/>
      <c r="V24" s="2033"/>
    </row>
    <row r="25" spans="1:22" ht="18" customHeight="1">
      <c r="A25" s="2112"/>
      <c r="B25" s="184" t="s">
        <v>1821</v>
      </c>
      <c r="C25" s="2113"/>
      <c r="D25" s="2107" t="s">
        <v>1821</v>
      </c>
      <c r="E25" s="2114"/>
      <c r="F25" s="2106"/>
      <c r="G25" s="2046"/>
      <c r="H25" s="2046"/>
      <c r="I25" s="2046"/>
      <c r="J25" s="2046"/>
      <c r="K25" s="2056"/>
      <c r="L25" s="2032"/>
      <c r="M25" s="2032"/>
      <c r="N25" s="2086"/>
      <c r="O25" s="2085"/>
      <c r="P25" s="2086"/>
      <c r="Q25" s="2033"/>
      <c r="R25" s="2033"/>
      <c r="S25" s="2033"/>
      <c r="T25" s="2033"/>
      <c r="U25" s="2033"/>
      <c r="V25" s="2033"/>
    </row>
    <row r="26" spans="1:22" ht="18" customHeight="1" thickBot="1">
      <c r="A26" s="2115"/>
      <c r="B26" s="2116" t="s">
        <v>1822</v>
      </c>
      <c r="C26" s="2117"/>
      <c r="D26" s="2118" t="s">
        <v>1823</v>
      </c>
      <c r="E26" s="2119"/>
      <c r="F26" s="2120"/>
      <c r="G26" s="2064"/>
      <c r="H26" s="2064"/>
      <c r="I26" s="2064"/>
      <c r="J26" s="2046"/>
      <c r="K26" s="2056"/>
      <c r="L26" s="2032"/>
      <c r="M26" s="2032"/>
      <c r="N26" s="2086"/>
      <c r="O26" s="2085"/>
      <c r="P26" s="2086"/>
      <c r="Q26" s="2033"/>
      <c r="R26" s="2033"/>
      <c r="S26" s="2033"/>
      <c r="T26" s="2033"/>
      <c r="U26" s="2033"/>
      <c r="V26" s="2033"/>
    </row>
    <row r="27" spans="1:22" ht="18" customHeight="1" thickTop="1">
      <c r="A27" s="3018" t="s">
        <v>1824</v>
      </c>
      <c r="B27" s="2065" t="s">
        <v>1825</v>
      </c>
      <c r="C27" s="2121" t="s">
        <v>3100</v>
      </c>
      <c r="D27" s="2122"/>
      <c r="E27" s="2046"/>
      <c r="F27" s="2046"/>
      <c r="G27" s="2046"/>
      <c r="H27" s="2046"/>
      <c r="I27" s="2046"/>
      <c r="J27" s="2033"/>
      <c r="K27" s="2084"/>
      <c r="L27" s="2085"/>
      <c r="M27" s="2085"/>
      <c r="N27" s="2086"/>
      <c r="O27" s="2085"/>
      <c r="P27" s="2086"/>
      <c r="Q27" s="2033"/>
      <c r="R27" s="2033"/>
      <c r="S27" s="2033"/>
      <c r="T27" s="2033"/>
      <c r="U27" s="2033"/>
      <c r="V27" s="2033"/>
    </row>
    <row r="28" spans="1:22" ht="18" customHeight="1">
      <c r="A28" s="3018"/>
      <c r="B28" s="2039" t="s">
        <v>1826</v>
      </c>
      <c r="C28" s="2123" t="s">
        <v>3101</v>
      </c>
      <c r="D28" s="2124"/>
      <c r="E28" s="2046"/>
      <c r="F28" s="2046"/>
      <c r="G28" s="2046"/>
      <c r="H28" s="2046"/>
      <c r="I28" s="2046"/>
      <c r="J28" s="2033"/>
      <c r="K28" s="2125"/>
      <c r="L28" s="2032"/>
      <c r="M28" s="2032"/>
      <c r="N28" s="2033"/>
      <c r="O28" s="2034"/>
      <c r="P28" s="2033"/>
      <c r="Q28" s="2033"/>
      <c r="R28" s="2033"/>
      <c r="S28" s="2033"/>
      <c r="T28" s="2033"/>
      <c r="U28" s="2033"/>
      <c r="V28" s="2033"/>
    </row>
    <row r="29" spans="1:22" ht="18" customHeight="1">
      <c r="A29" s="3018"/>
      <c r="B29" s="2039" t="s">
        <v>1827</v>
      </c>
      <c r="C29" s="2126" t="s">
        <v>3085</v>
      </c>
      <c r="D29" s="2127"/>
      <c r="E29" s="2046"/>
      <c r="F29" s="2046"/>
      <c r="G29" s="2046"/>
      <c r="H29" s="2046"/>
      <c r="I29" s="2046"/>
      <c r="J29" s="2033"/>
      <c r="K29" s="2125"/>
      <c r="L29" s="2032"/>
      <c r="M29" s="2032"/>
      <c r="N29" s="2033"/>
      <c r="O29" s="2034"/>
      <c r="P29" s="2033"/>
      <c r="Q29" s="2033"/>
      <c r="R29" s="2033"/>
      <c r="S29" s="2033"/>
      <c r="T29" s="2033"/>
      <c r="U29" s="2033"/>
      <c r="V29" s="2033"/>
    </row>
    <row r="30" spans="1:22" ht="18" customHeight="1">
      <c r="A30" s="3019"/>
      <c r="B30" s="2039" t="s">
        <v>1828</v>
      </c>
      <c r="C30" s="3020"/>
      <c r="D30" s="3021"/>
      <c r="E30" s="2046"/>
      <c r="F30" s="2046"/>
      <c r="G30" s="2046"/>
      <c r="H30" s="2046"/>
      <c r="I30" s="2046"/>
      <c r="J30" s="2033"/>
      <c r="K30" s="2125"/>
      <c r="L30" s="2032"/>
      <c r="M30" s="2032"/>
      <c r="N30" s="2033"/>
      <c r="O30" s="2034"/>
      <c r="P30" s="2033"/>
      <c r="Q30" s="2033"/>
      <c r="R30" s="2033"/>
      <c r="S30" s="2033"/>
      <c r="T30" s="2033"/>
      <c r="U30" s="2033"/>
      <c r="V30" s="2033"/>
    </row>
    <row r="31" spans="1:22" ht="18" customHeight="1">
      <c r="A31" s="3022" t="s">
        <v>1829</v>
      </c>
      <c r="B31" s="2128" t="s">
        <v>3087</v>
      </c>
      <c r="C31" s="2129" t="str">
        <f>IF(B31="现房","成新及维护状况正常否",IF(B31="在建","工程状态是否正常",IF(B31="土地","是否闲置","-")))</f>
        <v>成新及维护状况正常否</v>
      </c>
      <c r="D31" s="2130"/>
      <c r="E31" s="2131"/>
      <c r="F31" s="2046"/>
      <c r="G31" s="2046"/>
      <c r="H31" s="2046"/>
      <c r="I31" s="2046"/>
      <c r="J31" s="2046"/>
      <c r="K31" s="2055"/>
      <c r="L31" s="2032"/>
      <c r="M31" s="2032"/>
      <c r="N31" s="2033"/>
      <c r="O31" s="2034"/>
      <c r="P31" s="2033"/>
      <c r="Q31" s="2033"/>
      <c r="R31" s="2033"/>
      <c r="S31" s="2033"/>
      <c r="T31" s="2033"/>
      <c r="U31" s="2033"/>
      <c r="V31" s="2033"/>
    </row>
    <row r="32" spans="1:22" ht="18" customHeight="1">
      <c r="A32" s="3023"/>
      <c r="B32" s="2128"/>
      <c r="C32" s="2129" t="str">
        <f>IF(B32="现房","成新及维护状况是否正常",IF(B32="在建","工程状态是否正常",IF(B32="土地","是否闲置","-")))</f>
        <v>-</v>
      </c>
      <c r="D32" s="2130"/>
      <c r="E32" s="2131"/>
      <c r="F32" s="2046"/>
      <c r="G32" s="2046"/>
      <c r="H32" s="2046"/>
      <c r="I32" s="2046"/>
      <c r="J32" s="2046"/>
      <c r="K32" s="2056"/>
      <c r="L32" s="2032"/>
      <c r="M32" s="2032"/>
      <c r="N32" s="2033"/>
      <c r="O32" s="2034"/>
      <c r="P32" s="2033"/>
      <c r="Q32" s="2033"/>
      <c r="R32" s="2033"/>
      <c r="S32" s="2033"/>
      <c r="T32" s="2033"/>
      <c r="U32" s="2033"/>
      <c r="V32" s="2033"/>
    </row>
    <row r="33" spans="1:22" ht="18" customHeight="1">
      <c r="A33" s="3023"/>
      <c r="B33" s="2132"/>
      <c r="C33" s="2071" t="str">
        <f>IF(B33="现房","成新及维护状况是否正常",IF(B33="在建","工程状态是否正常",IF(B33="土地","是否闲置","-")))</f>
        <v>-</v>
      </c>
      <c r="D33" s="2133"/>
      <c r="E33" s="2134"/>
      <c r="F33" s="2046"/>
      <c r="G33" s="2046"/>
      <c r="H33" s="2046"/>
      <c r="I33" s="2046"/>
      <c r="J33" s="2046"/>
      <c r="K33" s="2056"/>
      <c r="L33" s="2032"/>
      <c r="M33" s="2032"/>
      <c r="N33" s="2033"/>
      <c r="O33" s="2034"/>
      <c r="P33" s="2033"/>
      <c r="Q33" s="2033"/>
      <c r="R33" s="2033"/>
      <c r="S33" s="2033"/>
      <c r="T33" s="2033"/>
      <c r="U33" s="2033"/>
      <c r="V33" s="2033"/>
    </row>
    <row r="34" spans="1:22" ht="18" customHeight="1">
      <c r="A34" s="2039" t="s">
        <v>1830</v>
      </c>
      <c r="B34" s="2135" t="s">
        <v>3102</v>
      </c>
      <c r="C34" s="2135" t="s">
        <v>3103</v>
      </c>
      <c r="D34" s="2135" t="s">
        <v>3104</v>
      </c>
      <c r="E34" s="2135" t="s">
        <v>3105</v>
      </c>
      <c r="F34" s="2135" t="s">
        <v>3106</v>
      </c>
      <c r="G34" s="2135" t="s">
        <v>3107</v>
      </c>
      <c r="H34" s="2135" t="s">
        <v>3108</v>
      </c>
      <c r="I34" s="2046"/>
      <c r="J34" s="2046"/>
      <c r="K34" s="1799">
        <f>COUNTIF(B34:H34,"——")</f>
        <v>0</v>
      </c>
      <c r="L34" s="2076" t="s">
        <v>1831</v>
      </c>
      <c r="M34" s="2076" t="s">
        <v>1832</v>
      </c>
      <c r="N34" s="2076" t="s">
        <v>1833</v>
      </c>
      <c r="O34" s="2076" t="s">
        <v>1834</v>
      </c>
      <c r="P34" s="2076" t="s">
        <v>1835</v>
      </c>
      <c r="Q34" s="2076" t="s">
        <v>1836</v>
      </c>
      <c r="R34" s="2076" t="s">
        <v>1837</v>
      </c>
      <c r="S34" s="3017" t="s">
        <v>1838</v>
      </c>
      <c r="T34" s="2136" t="str">
        <f>NUMBERSTRING(7-K34,1)&amp;"通"</f>
        <v>七通</v>
      </c>
      <c r="U34" s="2033"/>
      <c r="V34" s="2033"/>
    </row>
    <row r="35" spans="1:22" ht="18" customHeight="1">
      <c r="A35" s="2137"/>
      <c r="B35" s="3024" t="s">
        <v>1839</v>
      </c>
      <c r="C35" s="3024"/>
      <c r="D35" s="3024"/>
      <c r="E35" s="3024"/>
      <c r="F35" s="2138">
        <f>C10</f>
        <v>0</v>
      </c>
      <c r="G35" s="2046"/>
      <c r="H35" s="2046"/>
      <c r="I35" s="2046"/>
      <c r="J35" s="2046"/>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7"/>
      <c r="T35" s="48" t="str">
        <f>IF(T34="一通",L35,IF(T34="二通",M35,IF(T34="三通",N35,IF(T34="四通",O35,IF(T34="五通",P35,IF(T34="六通",Q35,R35))))))</f>
        <v>通路、通电、通讯、通上水、通下水、通热、燃气</v>
      </c>
      <c r="U35" s="2033"/>
      <c r="V35" s="2033"/>
    </row>
    <row r="36" spans="1:22" ht="18" customHeight="1">
      <c r="A36" s="2139"/>
      <c r="B36" s="2138" t="s">
        <v>1840</v>
      </c>
      <c r="C36" s="2138" t="s">
        <v>1841</v>
      </c>
      <c r="D36" s="2138" t="s">
        <v>1842</v>
      </c>
      <c r="E36" s="2138" t="s">
        <v>1843</v>
      </c>
      <c r="F36" s="2140"/>
      <c r="G36" s="2046"/>
      <c r="H36" s="2046"/>
      <c r="I36" s="2046"/>
      <c r="J36" s="2046"/>
      <c r="K36" s="2056"/>
      <c r="L36" s="2032"/>
      <c r="M36" s="2032"/>
      <c r="N36" s="2033"/>
      <c r="O36" s="2034"/>
      <c r="P36" s="2033"/>
      <c r="Q36" s="2033"/>
      <c r="R36" s="2033"/>
      <c r="S36" s="2033"/>
      <c r="T36" s="2033"/>
      <c r="U36" s="2033"/>
      <c r="V36" s="2033"/>
    </row>
    <row r="37" spans="1:22" ht="18" customHeight="1">
      <c r="A37" s="2141" t="s">
        <v>1844</v>
      </c>
      <c r="B37" s="2142"/>
      <c r="C37" s="2142"/>
      <c r="D37" s="2142"/>
      <c r="E37" s="2142"/>
      <c r="F37" s="2140"/>
      <c r="G37" s="2046"/>
      <c r="H37" s="2046"/>
      <c r="I37" s="2046"/>
      <c r="J37" s="2046"/>
      <c r="K37" s="2056"/>
      <c r="L37" s="2032"/>
      <c r="M37" s="2032"/>
      <c r="N37" s="2033"/>
      <c r="O37" s="2034"/>
      <c r="P37" s="2033"/>
      <c r="Q37" s="2033"/>
      <c r="R37" s="2033"/>
      <c r="S37" s="2033"/>
      <c r="T37" s="2033"/>
      <c r="U37" s="2033"/>
      <c r="V37" s="2033"/>
    </row>
    <row r="38" spans="1:22" ht="18" customHeight="1" thickBot="1">
      <c r="A38" s="2143" t="s">
        <v>1845</v>
      </c>
      <c r="B38" s="2144"/>
      <c r="C38" s="2144"/>
      <c r="D38" s="2144"/>
      <c r="E38" s="2144"/>
      <c r="F38" s="2145"/>
      <c r="G38" s="2064"/>
      <c r="H38" s="2064"/>
      <c r="I38" s="2064"/>
      <c r="J38" s="2046"/>
      <c r="K38" s="2056"/>
      <c r="L38" s="2032"/>
      <c r="M38" s="2032"/>
      <c r="N38" s="2033"/>
      <c r="O38" s="2034"/>
      <c r="P38" s="2033"/>
      <c r="Q38" s="2033"/>
      <c r="R38" s="2033"/>
      <c r="S38" s="2033"/>
      <c r="T38" s="2033"/>
      <c r="U38" s="2033"/>
      <c r="V38" s="2033"/>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3"/>
      <c r="B40" s="2033"/>
      <c r="C40" s="2033"/>
      <c r="D40" s="2033"/>
      <c r="E40" s="2033"/>
      <c r="F40" s="2033"/>
      <c r="G40" s="2033"/>
      <c r="H40" s="2033"/>
      <c r="I40" s="2151"/>
      <c r="J40" s="2086"/>
      <c r="K40" s="667"/>
      <c r="L40" s="2085"/>
      <c r="M40" s="2085"/>
      <c r="N40" s="2086"/>
      <c r="O40" s="2085"/>
      <c r="P40" s="2033"/>
      <c r="Q40" s="2033"/>
      <c r="R40" s="2033"/>
      <c r="S40" s="2033"/>
      <c r="T40" s="2033"/>
      <c r="U40" s="2033"/>
      <c r="V40" s="2033"/>
    </row>
    <row r="41" spans="1:22" ht="18" customHeight="1">
      <c r="A41" s="8" t="s">
        <v>1847</v>
      </c>
      <c r="B41" s="2152"/>
      <c r="C41" s="2153"/>
      <c r="D41" s="2033"/>
      <c r="E41" s="2033"/>
      <c r="F41" s="2033"/>
      <c r="G41" s="2033"/>
      <c r="H41" s="2033"/>
      <c r="I41" s="2034"/>
      <c r="J41" s="2033"/>
      <c r="K41" s="2125"/>
      <c r="L41" s="2032"/>
      <c r="M41" s="2032"/>
      <c r="N41" s="2033"/>
      <c r="O41" s="2034"/>
      <c r="P41" s="2033"/>
      <c r="Q41" s="2033"/>
      <c r="R41" s="2033"/>
      <c r="S41" s="2033"/>
      <c r="T41" s="2033"/>
      <c r="U41" s="2033"/>
      <c r="V41" s="2033"/>
    </row>
    <row r="42" spans="1:22" ht="18" customHeight="1">
      <c r="A42" s="2076" t="s">
        <v>1848</v>
      </c>
      <c r="B42" s="1799" t="s">
        <v>1849</v>
      </c>
      <c r="C42" s="1799" t="s">
        <v>1850</v>
      </c>
      <c r="D42" s="1799" t="s">
        <v>1851</v>
      </c>
      <c r="E42" s="1799" t="s">
        <v>1852</v>
      </c>
      <c r="F42" s="1799" t="s">
        <v>1853</v>
      </c>
      <c r="G42" s="1799" t="s">
        <v>1854</v>
      </c>
      <c r="H42" s="1799" t="s">
        <v>1855</v>
      </c>
      <c r="I42" s="1799" t="s">
        <v>1856</v>
      </c>
      <c r="J42" s="2154" t="s">
        <v>1857</v>
      </c>
      <c r="K42" s="2077" t="s">
        <v>1858</v>
      </c>
      <c r="L42" s="2077" t="s">
        <v>1859</v>
      </c>
      <c r="M42" s="2077" t="s">
        <v>1860</v>
      </c>
      <c r="N42" s="1799" t="s">
        <v>1861</v>
      </c>
      <c r="O42" s="1799" t="s">
        <v>1862</v>
      </c>
      <c r="P42" s="1799" t="s">
        <v>1863</v>
      </c>
      <c r="Q42" s="2076" t="s">
        <v>1864</v>
      </c>
      <c r="R42" s="2076" t="s">
        <v>1865</v>
      </c>
      <c r="S42" s="2033"/>
      <c r="T42" s="2033"/>
      <c r="U42" s="2033"/>
      <c r="V42" s="2033"/>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I29" sqref="I29"/>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5" t="s">
        <v>1867</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2300.98</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7"/>
      <c r="C5" s="1807"/>
      <c r="D5" s="1810"/>
      <c r="E5" s="16" t="s">
        <v>1</v>
      </c>
      <c r="F5" s="16">
        <f>SUM(F13:F587)</f>
        <v>0</v>
      </c>
      <c r="G5" s="16">
        <f>SUM(G13:G587)</f>
        <v>2300.98</v>
      </c>
      <c r="H5" s="16">
        <f t="shared" ref="H5:AT5" si="0">SUM(H13:H656)</f>
        <v>2300.98</v>
      </c>
      <c r="I5" s="16">
        <f t="shared" si="0"/>
        <v>2300.98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1875</v>
      </c>
      <c r="AW5" s="1807"/>
      <c r="AX5" s="1807"/>
      <c r="AY5" s="17" t="s">
        <v>3</v>
      </c>
      <c r="AZ5" s="18">
        <f t="shared" ref="AZ5:BT5" si="1">SUM(AZ13:AZ656)</f>
        <v>2300.98</v>
      </c>
      <c r="BA5" s="18">
        <f t="shared" si="1"/>
        <v>2300.98</v>
      </c>
      <c r="BB5" s="18">
        <f t="shared" si="1"/>
        <v>2300.98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10"/>
      <c r="AU7" s="2181" t="s">
        <v>1884</v>
      </c>
      <c r="AV7" s="23" t="s">
        <v>1885</v>
      </c>
      <c r="AW7" s="2168" t="s">
        <v>1886</v>
      </c>
      <c r="AX7" s="23" t="s">
        <v>1879</v>
      </c>
      <c r="AY7" s="1807"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2"/>
      <c r="K8" s="1822"/>
      <c r="L8" s="1822"/>
      <c r="M8" s="1822"/>
      <c r="N8" s="1822"/>
      <c r="O8" s="1822"/>
      <c r="P8" s="1822"/>
      <c r="Q8" s="1822"/>
      <c r="R8" s="1822"/>
      <c r="S8" s="1822"/>
      <c r="T8" s="1822"/>
      <c r="U8" s="1822"/>
      <c r="V8" s="2188"/>
      <c r="W8" s="1822"/>
      <c r="X8" s="1822"/>
      <c r="Y8" s="1822"/>
      <c r="Z8" s="1822"/>
      <c r="AA8" s="2188"/>
      <c r="AB8" s="2189"/>
      <c r="AC8" s="984" t="s">
        <v>1890</v>
      </c>
      <c r="AD8" s="2190"/>
      <c r="AE8" s="2182"/>
      <c r="AF8" s="1822"/>
      <c r="AG8" s="1822"/>
      <c r="AH8" s="1822"/>
      <c r="AI8" s="1822"/>
      <c r="AJ8" s="1822"/>
      <c r="AK8" s="1822"/>
      <c r="AL8" s="1822"/>
      <c r="AM8" s="1822"/>
      <c r="AN8" s="1822"/>
      <c r="AO8" s="1822"/>
      <c r="AP8" s="1822"/>
      <c r="AQ8" s="1822"/>
      <c r="AR8" s="1822"/>
      <c r="AS8" s="1822"/>
      <c r="AT8" s="1295" t="s">
        <v>1891</v>
      </c>
      <c r="AU8" s="2184" t="s">
        <v>1892</v>
      </c>
      <c r="AV8" s="1295"/>
      <c r="AW8" s="2167"/>
      <c r="AX8" s="1295"/>
      <c r="AY8" s="2168" t="s">
        <v>1893</v>
      </c>
      <c r="AZ8" s="1821" t="s">
        <v>1894</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1" customFormat="1" ht="12.75">
      <c r="A9" s="2184"/>
      <c r="B9" s="2184"/>
      <c r="C9" s="2184"/>
      <c r="D9" s="2184"/>
      <c r="E9" s="2184"/>
      <c r="F9" s="2184"/>
      <c r="G9" s="1295"/>
      <c r="H9" s="2192" t="s">
        <v>1895</v>
      </c>
      <c r="I9" s="2193" t="s">
        <v>3054</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2"/>
      <c r="BN9" s="2187"/>
      <c r="BO9" s="1822"/>
      <c r="BP9" s="1822"/>
      <c r="BQ9" s="1822"/>
      <c r="BR9" s="1822"/>
      <c r="BS9" s="1822"/>
      <c r="BT9" s="26"/>
    </row>
    <row r="10" spans="1:72" s="2191" customFormat="1" ht="12.75">
      <c r="A10" s="2184"/>
      <c r="B10" s="2184"/>
      <c r="C10" s="2184"/>
      <c r="D10" s="2184"/>
      <c r="E10" s="2184"/>
      <c r="F10" s="2184"/>
      <c r="G10" s="1295"/>
      <c r="H10" s="28"/>
      <c r="I10" s="2193" t="s">
        <v>27</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1" t="str">
        <f>AD9</f>
        <v>地上</v>
      </c>
      <c r="BN10" s="29" t="str">
        <f>AF9</f>
        <v>地下</v>
      </c>
      <c r="BO10" s="1821" t="str">
        <f>AH9</f>
        <v>地上</v>
      </c>
      <c r="BP10" s="29" t="str">
        <f>AJ9</f>
        <v>地下</v>
      </c>
      <c r="BQ10" s="1821" t="str">
        <f>AL9</f>
        <v>地上</v>
      </c>
      <c r="BR10" s="29" t="str">
        <f>AN9</f>
        <v>地下</v>
      </c>
      <c r="BS10" s="1821" t="str">
        <f>AP9</f>
        <v>地上</v>
      </c>
      <c r="BT10" s="2203" t="str">
        <f>AR9</f>
        <v>地下</v>
      </c>
    </row>
    <row r="11" spans="1:72" s="2191" customFormat="1" ht="12.75">
      <c r="A11" s="2184"/>
      <c r="B11" s="2184"/>
      <c r="C11" s="218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3"/>
      <c r="AF11" s="2206" t="s">
        <v>1905</v>
      </c>
      <c r="AG11" s="1823"/>
      <c r="AH11" s="2206" t="s">
        <v>1906</v>
      </c>
      <c r="AI11" s="2207"/>
      <c r="AJ11" s="2206" t="s">
        <v>1906</v>
      </c>
      <c r="AK11" s="1823"/>
      <c r="AL11" s="1821"/>
      <c r="AM11" s="1823"/>
      <c r="AN11" s="1821"/>
      <c r="AO11" s="1823"/>
      <c r="AP11" s="1821"/>
      <c r="AQ11" s="1823"/>
      <c r="AR11" s="1821"/>
      <c r="AS11" s="1823"/>
      <c r="AT11" s="2167"/>
      <c r="AU11" s="2184"/>
      <c r="AV11" s="1295"/>
      <c r="AW11" s="2167"/>
      <c r="AX11" s="1295"/>
      <c r="AY11" s="28"/>
      <c r="AZ11" s="28"/>
      <c r="BA11" s="28"/>
      <c r="BB11" s="2189" t="str">
        <f>I10</f>
        <v>办公</v>
      </c>
      <c r="BC11" s="2189">
        <f>K10</f>
        <v>0</v>
      </c>
      <c r="BD11" s="2189">
        <f>M10</f>
        <v>0</v>
      </c>
      <c r="BE11" s="2189">
        <f>O10</f>
        <v>0</v>
      </c>
      <c r="BF11" s="2189">
        <f>Q10</f>
        <v>0</v>
      </c>
      <c r="BG11" s="2189">
        <f>S10</f>
        <v>0</v>
      </c>
      <c r="BH11" s="2189">
        <f>U10</f>
        <v>0</v>
      </c>
      <c r="BI11" s="2189">
        <f>W10</f>
        <v>0</v>
      </c>
      <c r="BJ11" s="2189">
        <f>Y10</f>
        <v>0</v>
      </c>
      <c r="BK11" s="2189">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1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6" t="s">
        <v>1908</v>
      </c>
      <c r="W12" s="11" t="s">
        <v>1907</v>
      </c>
      <c r="X12" s="11" t="s">
        <v>1908</v>
      </c>
      <c r="Y12" s="11" t="s">
        <v>1907</v>
      </c>
      <c r="Z12" s="11" t="s">
        <v>1908</v>
      </c>
      <c r="AA12" s="11" t="s">
        <v>1907</v>
      </c>
      <c r="AB12" s="11" t="s">
        <v>1908</v>
      </c>
      <c r="AC12" s="2211"/>
      <c r="AD12" s="181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8">
        <f>AR11</f>
        <v>0</v>
      </c>
    </row>
    <row r="13" spans="1:72" s="2169" customFormat="1" ht="38.25">
      <c r="A13" s="1275"/>
      <c r="B13" s="1275"/>
      <c r="C13" s="1275" t="s">
        <v>3037</v>
      </c>
      <c r="D13" s="2215" t="s">
        <v>3053</v>
      </c>
      <c r="E13" s="16">
        <f>IF($C$3="是",ROUND($A$3*G13/$B$3,2),ROUND($A$3*(G13-AT13)/$B$3,2))</f>
        <v>0</v>
      </c>
      <c r="F13" s="32"/>
      <c r="G13" s="33">
        <f>H13+AC13+AT13</f>
        <v>80.540000000000006</v>
      </c>
      <c r="H13" s="20">
        <f>SUMIF(I$12:AB$12,"总值",I13:AB13)</f>
        <v>80.540000000000006</v>
      </c>
      <c r="I13" s="2216">
        <v>80.540000000000006</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海淀区白家疃尚峰园3号楼1层101</v>
      </c>
      <c r="AY13" s="1810">
        <f>ROUND($AY$6*AZ13/$AZ$5,2)</f>
        <v>0</v>
      </c>
      <c r="AZ13" s="16">
        <f>BA13+BL13</f>
        <v>80.540000000000006</v>
      </c>
      <c r="BA13" s="16">
        <f>SUM(BB13:BK13)</f>
        <v>80.540000000000006</v>
      </c>
      <c r="BB13" s="16">
        <f>IF($D13="是",I13-J13,0)</f>
        <v>80.540000000000006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38.25">
      <c r="A14" s="1275"/>
      <c r="B14" s="1275"/>
      <c r="C14" s="2155" t="s">
        <v>3038</v>
      </c>
      <c r="D14" s="2215" t="s">
        <v>3053</v>
      </c>
      <c r="E14" s="16">
        <f>IF($C$3="是",ROUND($A$3*G14/$B$3,2),ROUND($A$3*(G14-AT14)/$B$3,2))</f>
        <v>0</v>
      </c>
      <c r="F14" s="32"/>
      <c r="G14" s="33">
        <f>H14+AC14+AT14</f>
        <v>80.47</v>
      </c>
      <c r="H14" s="20">
        <f>SUMIF(I$12:AB$12,"总值",I14:AB14)</f>
        <v>80.47</v>
      </c>
      <c r="I14" s="2216">
        <v>80.47</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海淀区白家疃尚峰园3号楼1层102</v>
      </c>
      <c r="AY14" s="1810">
        <f>ROUND($AY$6*AZ14/$AZ$5,2)</f>
        <v>0</v>
      </c>
      <c r="AZ14" s="16">
        <f>BA14+BL14</f>
        <v>80.47</v>
      </c>
      <c r="BA14" s="16">
        <f>SUM(BB14:BK14)</f>
        <v>80.47</v>
      </c>
      <c r="BB14" s="16">
        <f>IF($D14="是",I14-J14,0)</f>
        <v>80.47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38.25">
      <c r="A15" s="1275"/>
      <c r="B15" s="1275"/>
      <c r="C15" s="2155" t="s">
        <v>3039</v>
      </c>
      <c r="D15" s="2215" t="s">
        <v>3053</v>
      </c>
      <c r="E15" s="16">
        <f>IF($C$3="是",ROUND($A$3*G15/$B$3,2),ROUND($A$3*(G15-AT15)/$B$3,2))</f>
        <v>0</v>
      </c>
      <c r="F15" s="32"/>
      <c r="G15" s="33">
        <f>H15+AC15+AT15</f>
        <v>46.13</v>
      </c>
      <c r="H15" s="20">
        <f>SUMIF(I$12:AB$12,"总值",I15:AB15)</f>
        <v>46.13</v>
      </c>
      <c r="I15" s="2216">
        <v>46.13</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海淀区白家疃尚峰园3号楼1层103</v>
      </c>
      <c r="AY15" s="1810">
        <f>ROUND($AY$6*AZ15/$AZ$5,2)</f>
        <v>0</v>
      </c>
      <c r="AZ15" s="16">
        <f>BA15+BL15</f>
        <v>46.13</v>
      </c>
      <c r="BA15" s="16">
        <f>SUM(BB15:BK15)</f>
        <v>46.13</v>
      </c>
      <c r="BB15" s="16">
        <f>IF($D15="是",I15-J15,0)</f>
        <v>46.13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38.25">
      <c r="A16" s="1275"/>
      <c r="B16" s="1275"/>
      <c r="C16" s="2155" t="s">
        <v>3040</v>
      </c>
      <c r="D16" s="2215" t="s">
        <v>3053</v>
      </c>
      <c r="E16" s="16">
        <f>IF($C$3="是",ROUND($A$3*G16/$B$3,2),ROUND($A$3*(G16-AT16)/$B$3,2))</f>
        <v>0</v>
      </c>
      <c r="F16" s="32"/>
      <c r="G16" s="33">
        <f>H16+AC16+AT16</f>
        <v>67.760000000000005</v>
      </c>
      <c r="H16" s="20">
        <f>SUMIF(I$12:AB$12,"总值",I16:AB16)</f>
        <v>67.760000000000005</v>
      </c>
      <c r="I16" s="2216">
        <v>67.760000000000005</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t="str">
        <f t="shared" si="6"/>
        <v>海淀区白家疃尚峰园3号楼1层105</v>
      </c>
      <c r="AY16" s="1810">
        <f>ROUND($AY$6*AZ16/$AZ$5,2)</f>
        <v>0</v>
      </c>
      <c r="AZ16" s="16">
        <f>BA16+BL16</f>
        <v>67.760000000000005</v>
      </c>
      <c r="BA16" s="16">
        <f>SUM(BB16:BK16)</f>
        <v>67.760000000000005</v>
      </c>
      <c r="BB16" s="16">
        <f>IF($D16="是",I16-J16,0)</f>
        <v>67.760000000000005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38.25">
      <c r="A17" s="1275"/>
      <c r="B17" s="1275"/>
      <c r="C17" s="2155" t="s">
        <v>3041</v>
      </c>
      <c r="D17" s="2215" t="s">
        <v>3053</v>
      </c>
      <c r="E17" s="16">
        <f>IF($C$3="是",ROUND($A$3*G17/$B$3,2),ROUND($A$3*(G17-AT17)/$B$3,2))</f>
        <v>0</v>
      </c>
      <c r="F17" s="32"/>
      <c r="G17" s="33">
        <f>H17+AC17+AT17</f>
        <v>43.07</v>
      </c>
      <c r="H17" s="20">
        <f>SUMIF(I$12:AB$12,"总值",I17:AB17)</f>
        <v>43.07</v>
      </c>
      <c r="I17" s="2216">
        <v>43.07</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t="str">
        <f t="shared" si="6"/>
        <v>海淀区白家疃尚峰园3号楼1层106</v>
      </c>
      <c r="AY17" s="1810">
        <f>ROUND($AY$6*AZ17/$AZ$5,2)</f>
        <v>0</v>
      </c>
      <c r="AZ17" s="16">
        <f>BA17+BL17</f>
        <v>43.07</v>
      </c>
      <c r="BA17" s="16">
        <f>SUM(BB17:BK17)</f>
        <v>43.07</v>
      </c>
      <c r="BB17" s="16">
        <f>IF($D17="是",I17-J17,0)</f>
        <v>43.07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57">
      <c r="A18" s="9"/>
      <c r="B18" s="34"/>
      <c r="C18" s="34" t="s">
        <v>3042</v>
      </c>
      <c r="D18" s="2215" t="s">
        <v>3053</v>
      </c>
      <c r="E18" s="35">
        <f t="shared" ref="E18:E112" si="7">IF($C$3="是",ROUND($A$3*G18/$B$3,2),ROUND($A$3*(G18-AT18)/$B$3,2))</f>
        <v>0</v>
      </c>
      <c r="F18" s="36"/>
      <c r="G18" s="37">
        <f t="shared" ref="G18:G109" si="8">H18+AC18+AT18</f>
        <v>83.81</v>
      </c>
      <c r="H18" s="38">
        <f t="shared" ref="H18:H109" si="9">SUMIF(I$12:AB$12,"总值",I18:AB18)</f>
        <v>83.81</v>
      </c>
      <c r="I18" s="39">
        <v>83.81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9">
        <f t="shared" ref="AV18:AV112" si="11">A18</f>
        <v>0</v>
      </c>
      <c r="AW18" s="1799">
        <f t="shared" ref="AW18:AW112" si="12">B18</f>
        <v>0</v>
      </c>
      <c r="AX18" s="1799" t="str">
        <f t="shared" ref="AX18:AX112" si="13">C18</f>
        <v>海淀区白家疃尚峰园3号楼1层107</v>
      </c>
      <c r="AY18" s="42">
        <f t="shared" ref="AY18:AY109" si="14">ROUND($AY$6*AZ18/$AZ$5,2)</f>
        <v>0</v>
      </c>
      <c r="AZ18" s="35">
        <f t="shared" ref="AZ18:AZ109" si="15">BA18+BL18</f>
        <v>83.81</v>
      </c>
      <c r="BA18" s="35">
        <f t="shared" ref="BA18:BA109" si="16">SUM(BB18:BK18)</f>
        <v>83.81</v>
      </c>
      <c r="BB18" s="35">
        <f t="shared" ref="BB18:BB109" si="17">IF($D18="是",I18-J18,0)</f>
        <v>83.81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57">
      <c r="A19" s="9"/>
      <c r="B19" s="34"/>
      <c r="C19" s="34" t="s">
        <v>3043</v>
      </c>
      <c r="D19" s="2215" t="s">
        <v>3053</v>
      </c>
      <c r="E19" s="35">
        <f t="shared" si="7"/>
        <v>0</v>
      </c>
      <c r="F19" s="36"/>
      <c r="G19" s="37">
        <f t="shared" si="8"/>
        <v>68.540000000000006</v>
      </c>
      <c r="H19" s="38">
        <f t="shared" si="9"/>
        <v>68.540000000000006</v>
      </c>
      <c r="I19" s="39">
        <v>68.540000000000006</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9">
        <f t="shared" si="11"/>
        <v>0</v>
      </c>
      <c r="AW19" s="1799">
        <f t="shared" si="12"/>
        <v>0</v>
      </c>
      <c r="AX19" s="1799" t="str">
        <f t="shared" si="13"/>
        <v>海淀区白家疃尚峰园3号楼1层108</v>
      </c>
      <c r="AY19" s="42">
        <f t="shared" si="14"/>
        <v>0</v>
      </c>
      <c r="AZ19" s="35">
        <f t="shared" si="15"/>
        <v>68.540000000000006</v>
      </c>
      <c r="BA19" s="35">
        <f t="shared" si="16"/>
        <v>68.540000000000006</v>
      </c>
      <c r="BB19" s="35">
        <f t="shared" si="17"/>
        <v>68.540000000000006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57">
      <c r="A20" s="9"/>
      <c r="B20" s="34"/>
      <c r="C20" s="34" t="s">
        <v>3044</v>
      </c>
      <c r="D20" s="2215" t="s">
        <v>3053</v>
      </c>
      <c r="E20" s="35">
        <f t="shared" si="7"/>
        <v>0</v>
      </c>
      <c r="F20" s="36"/>
      <c r="G20" s="37">
        <f t="shared" si="8"/>
        <v>67.680000000000007</v>
      </c>
      <c r="H20" s="38">
        <f t="shared" si="9"/>
        <v>67.680000000000007</v>
      </c>
      <c r="I20" s="39">
        <v>67.680000000000007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9">
        <f t="shared" si="11"/>
        <v>0</v>
      </c>
      <c r="AW20" s="1799">
        <f t="shared" si="12"/>
        <v>0</v>
      </c>
      <c r="AX20" s="1799" t="str">
        <f t="shared" si="13"/>
        <v>海淀区白家疃尚峰园3号楼1层109</v>
      </c>
      <c r="AY20" s="42">
        <f t="shared" si="14"/>
        <v>0</v>
      </c>
      <c r="AZ20" s="35">
        <f t="shared" si="15"/>
        <v>67.680000000000007</v>
      </c>
      <c r="BA20" s="35">
        <f t="shared" si="16"/>
        <v>67.680000000000007</v>
      </c>
      <c r="BB20" s="35">
        <f t="shared" si="17"/>
        <v>67.680000000000007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57">
      <c r="A21" s="9"/>
      <c r="B21" s="34"/>
      <c r="C21" s="34" t="s">
        <v>3045</v>
      </c>
      <c r="D21" s="2215" t="s">
        <v>3053</v>
      </c>
      <c r="E21" s="35">
        <f t="shared" si="7"/>
        <v>0</v>
      </c>
      <c r="F21" s="36"/>
      <c r="G21" s="37">
        <f t="shared" si="8"/>
        <v>83.19</v>
      </c>
      <c r="H21" s="38">
        <f t="shared" si="9"/>
        <v>83.19</v>
      </c>
      <c r="I21" s="39">
        <v>83.19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9">
        <f t="shared" si="11"/>
        <v>0</v>
      </c>
      <c r="AW21" s="1799">
        <f t="shared" si="12"/>
        <v>0</v>
      </c>
      <c r="AX21" s="1799" t="str">
        <f t="shared" si="13"/>
        <v>海淀区白家疃尚峰园3号楼1层110</v>
      </c>
      <c r="AY21" s="42">
        <f t="shared" si="14"/>
        <v>0</v>
      </c>
      <c r="AZ21" s="35">
        <f t="shared" si="15"/>
        <v>83.19</v>
      </c>
      <c r="BA21" s="35">
        <f t="shared" si="16"/>
        <v>83.19</v>
      </c>
      <c r="BB21" s="35">
        <f t="shared" si="17"/>
        <v>83.19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57">
      <c r="A22" s="9"/>
      <c r="B22" s="34"/>
      <c r="C22" s="34" t="s">
        <v>3046</v>
      </c>
      <c r="D22" s="2215" t="s">
        <v>3053</v>
      </c>
      <c r="E22" s="35">
        <f t="shared" si="7"/>
        <v>0</v>
      </c>
      <c r="F22" s="36"/>
      <c r="G22" s="37">
        <f t="shared" si="8"/>
        <v>66.430000000000007</v>
      </c>
      <c r="H22" s="38">
        <f t="shared" si="9"/>
        <v>66.430000000000007</v>
      </c>
      <c r="I22" s="39">
        <v>66.430000000000007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9">
        <f t="shared" si="11"/>
        <v>0</v>
      </c>
      <c r="AW22" s="1799">
        <f t="shared" si="12"/>
        <v>0</v>
      </c>
      <c r="AX22" s="1799" t="str">
        <f t="shared" si="13"/>
        <v>海淀区白家疃尚峰园3号楼1层111</v>
      </c>
      <c r="AY22" s="42">
        <f t="shared" si="14"/>
        <v>0</v>
      </c>
      <c r="AZ22" s="35">
        <f t="shared" si="15"/>
        <v>66.430000000000007</v>
      </c>
      <c r="BA22" s="35">
        <f t="shared" si="16"/>
        <v>66.430000000000007</v>
      </c>
      <c r="BB22" s="35">
        <f t="shared" si="17"/>
        <v>66.430000000000007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57">
      <c r="A23" s="9"/>
      <c r="B23" s="34"/>
      <c r="C23" s="34" t="s">
        <v>3047</v>
      </c>
      <c r="D23" s="2215" t="s">
        <v>3053</v>
      </c>
      <c r="E23" s="35">
        <f t="shared" si="7"/>
        <v>0</v>
      </c>
      <c r="F23" s="36"/>
      <c r="G23" s="37">
        <f t="shared" si="8"/>
        <v>83.19</v>
      </c>
      <c r="H23" s="38">
        <f t="shared" si="9"/>
        <v>83.19</v>
      </c>
      <c r="I23" s="39">
        <v>83.19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9">
        <f t="shared" si="11"/>
        <v>0</v>
      </c>
      <c r="AW23" s="1799">
        <f t="shared" si="12"/>
        <v>0</v>
      </c>
      <c r="AX23" s="1799" t="str">
        <f t="shared" si="13"/>
        <v>海淀区白家疃尚峰园3号楼1层112</v>
      </c>
      <c r="AY23" s="42">
        <f t="shared" si="14"/>
        <v>0</v>
      </c>
      <c r="AZ23" s="35">
        <f t="shared" si="15"/>
        <v>83.19</v>
      </c>
      <c r="BA23" s="35">
        <f t="shared" si="16"/>
        <v>83.19</v>
      </c>
      <c r="BB23" s="35">
        <f t="shared" si="17"/>
        <v>83.19</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57">
      <c r="A24" s="9"/>
      <c r="B24" s="34"/>
      <c r="C24" s="34" t="s">
        <v>3048</v>
      </c>
      <c r="D24" s="2215" t="s">
        <v>3053</v>
      </c>
      <c r="E24" s="35">
        <f t="shared" si="7"/>
        <v>0</v>
      </c>
      <c r="F24" s="36"/>
      <c r="G24" s="37">
        <f t="shared" si="8"/>
        <v>331.02</v>
      </c>
      <c r="H24" s="38">
        <f t="shared" si="9"/>
        <v>331.02</v>
      </c>
      <c r="I24" s="39">
        <v>331.02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9">
        <f t="shared" si="11"/>
        <v>0</v>
      </c>
      <c r="AW24" s="1799">
        <f t="shared" si="12"/>
        <v>0</v>
      </c>
      <c r="AX24" s="1799" t="str">
        <f t="shared" si="13"/>
        <v>海淀区白家疃尚水园4号楼1层103</v>
      </c>
      <c r="AY24" s="42">
        <f t="shared" si="14"/>
        <v>0</v>
      </c>
      <c r="AZ24" s="35">
        <f t="shared" si="15"/>
        <v>331.02</v>
      </c>
      <c r="BA24" s="35">
        <f t="shared" si="16"/>
        <v>331.02</v>
      </c>
      <c r="BB24" s="35">
        <f t="shared" si="17"/>
        <v>331.02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57">
      <c r="A25" s="9"/>
      <c r="B25" s="34"/>
      <c r="C25" s="34" t="s">
        <v>3049</v>
      </c>
      <c r="D25" s="2215" t="s">
        <v>3053</v>
      </c>
      <c r="E25" s="35">
        <f t="shared" si="7"/>
        <v>0</v>
      </c>
      <c r="F25" s="36"/>
      <c r="G25" s="37">
        <f t="shared" si="8"/>
        <v>331.02</v>
      </c>
      <c r="H25" s="38">
        <f t="shared" si="9"/>
        <v>331.02</v>
      </c>
      <c r="I25" s="39">
        <v>331.02</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9">
        <f t="shared" si="11"/>
        <v>0</v>
      </c>
      <c r="AW25" s="1799">
        <f t="shared" si="12"/>
        <v>0</v>
      </c>
      <c r="AX25" s="1799" t="str">
        <f t="shared" si="13"/>
        <v>海淀区白家疃尚水园4号楼1层111</v>
      </c>
      <c r="AY25" s="42">
        <f t="shared" si="14"/>
        <v>0</v>
      </c>
      <c r="AZ25" s="35">
        <f t="shared" si="15"/>
        <v>331.02</v>
      </c>
      <c r="BA25" s="35">
        <f t="shared" si="16"/>
        <v>331.02</v>
      </c>
      <c r="BB25" s="35">
        <f t="shared" si="17"/>
        <v>331.02</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57">
      <c r="A26" s="9"/>
      <c r="B26" s="34"/>
      <c r="C26" s="34" t="s">
        <v>3050</v>
      </c>
      <c r="D26" s="2215" t="s">
        <v>3053</v>
      </c>
      <c r="E26" s="35">
        <f t="shared" si="7"/>
        <v>0</v>
      </c>
      <c r="F26" s="36"/>
      <c r="G26" s="37">
        <f t="shared" si="8"/>
        <v>341.55</v>
      </c>
      <c r="H26" s="38">
        <f t="shared" si="9"/>
        <v>341.55</v>
      </c>
      <c r="I26" s="39">
        <v>341.55</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9">
        <f t="shared" si="11"/>
        <v>0</v>
      </c>
      <c r="AW26" s="1799">
        <f t="shared" si="12"/>
        <v>0</v>
      </c>
      <c r="AX26" s="1799" t="str">
        <f t="shared" si="13"/>
        <v>海淀区白家疃尚水园4号楼1层113</v>
      </c>
      <c r="AY26" s="42">
        <f t="shared" si="14"/>
        <v>0</v>
      </c>
      <c r="AZ26" s="35">
        <f t="shared" si="15"/>
        <v>341.55</v>
      </c>
      <c r="BA26" s="35">
        <f t="shared" si="16"/>
        <v>341.55</v>
      </c>
      <c r="BB26" s="35">
        <f t="shared" si="17"/>
        <v>341.55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57">
      <c r="A27" s="9"/>
      <c r="B27" s="34"/>
      <c r="C27" s="34" t="s">
        <v>3051</v>
      </c>
      <c r="D27" s="2215" t="s">
        <v>3053</v>
      </c>
      <c r="E27" s="35">
        <f t="shared" si="7"/>
        <v>0</v>
      </c>
      <c r="F27" s="36"/>
      <c r="G27" s="37">
        <f t="shared" si="8"/>
        <v>316.2</v>
      </c>
      <c r="H27" s="38">
        <f t="shared" si="9"/>
        <v>316.2</v>
      </c>
      <c r="I27" s="39">
        <v>316.2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9">
        <f t="shared" si="11"/>
        <v>0</v>
      </c>
      <c r="AW27" s="1799">
        <f t="shared" si="12"/>
        <v>0</v>
      </c>
      <c r="AX27" s="1799" t="str">
        <f t="shared" si="13"/>
        <v>海淀区白家疃尚水园4号楼1层116</v>
      </c>
      <c r="AY27" s="42">
        <f t="shared" si="14"/>
        <v>0</v>
      </c>
      <c r="AZ27" s="35">
        <f t="shared" si="15"/>
        <v>316.2</v>
      </c>
      <c r="BA27" s="35">
        <f t="shared" si="16"/>
        <v>316.2</v>
      </c>
      <c r="BB27" s="35">
        <f t="shared" si="17"/>
        <v>316.2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57">
      <c r="A28" s="9"/>
      <c r="B28" s="34"/>
      <c r="C28" s="34" t="s">
        <v>3052</v>
      </c>
      <c r="D28" s="2215" t="s">
        <v>3053</v>
      </c>
      <c r="E28" s="35">
        <f t="shared" si="7"/>
        <v>0</v>
      </c>
      <c r="F28" s="36"/>
      <c r="G28" s="37">
        <f t="shared" si="8"/>
        <v>210.38</v>
      </c>
      <c r="H28" s="38">
        <f t="shared" si="9"/>
        <v>210.38</v>
      </c>
      <c r="I28" s="39">
        <v>210.38</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9">
        <f t="shared" si="11"/>
        <v>0</v>
      </c>
      <c r="AW28" s="1799">
        <f t="shared" si="12"/>
        <v>0</v>
      </c>
      <c r="AX28" s="1799" t="str">
        <f t="shared" si="13"/>
        <v>海淀区白家疃尚水园4号楼1层117</v>
      </c>
      <c r="AY28" s="42">
        <f t="shared" si="14"/>
        <v>0</v>
      </c>
      <c r="AZ28" s="35">
        <f t="shared" si="15"/>
        <v>210.38</v>
      </c>
      <c r="BA28" s="35">
        <f t="shared" si="16"/>
        <v>210.38</v>
      </c>
      <c r="BB28" s="35">
        <f t="shared" si="17"/>
        <v>210.38</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t="s">
        <v>3053</v>
      </c>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t="s">
        <v>3053</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28.5">
      <c r="A3" s="3025"/>
      <c r="B3" s="3025"/>
      <c r="C3" s="3025"/>
      <c r="D3" s="3026"/>
      <c r="E3" s="30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36" t="s">
        <v>1935</v>
      </c>
      <c r="B2" s="3036"/>
      <c r="C2" s="3036"/>
      <c r="D2" s="970" t="s">
        <v>1911</v>
      </c>
      <c r="E2" s="2229" t="s">
        <v>1912</v>
      </c>
      <c r="F2" s="1395"/>
      <c r="G2" s="2230"/>
      <c r="H2" s="2231"/>
      <c r="I2" s="2232" t="s">
        <v>1936</v>
      </c>
      <c r="J2" s="1395"/>
      <c r="K2" s="1395"/>
      <c r="L2" s="1395"/>
      <c r="M2" s="1395"/>
      <c r="N2" s="1430"/>
      <c r="O2" s="1395"/>
      <c r="P2" s="1395"/>
    </row>
    <row r="3" spans="1:16" ht="15.75" thickBot="1">
      <c r="A3" s="3037" t="s">
        <v>1909</v>
      </c>
      <c r="B3" s="3037"/>
      <c r="C3" s="3037"/>
      <c r="D3" s="46">
        <f>'数据-基础表'!AY6</f>
        <v>0</v>
      </c>
      <c r="E3" s="46">
        <f>'数据-基础表'!AZ5</f>
        <v>2300.98</v>
      </c>
      <c r="F3" s="1395"/>
      <c r="G3" s="1402"/>
      <c r="H3" s="1250" t="s">
        <v>1910</v>
      </c>
      <c r="I3" s="55" t="e">
        <f>ROUND('数据-基础表'!B3/'数据-基础表'!A3,2)</f>
        <v>#DIV/0!</v>
      </c>
      <c r="J3" s="1395"/>
      <c r="K3" s="1395"/>
      <c r="L3" s="1395"/>
      <c r="M3" s="1395"/>
      <c r="N3" s="1430"/>
      <c r="O3" s="1395"/>
      <c r="P3" s="1395"/>
    </row>
    <row r="4" spans="1:16" ht="15">
      <c r="A4" s="3038"/>
      <c r="B4" s="3039"/>
      <c r="C4" s="3040"/>
      <c r="D4" s="2233" t="s">
        <v>1911</v>
      </c>
      <c r="E4" s="2234" t="s">
        <v>1912</v>
      </c>
      <c r="F4" s="1395"/>
      <c r="G4" s="2235" t="s">
        <v>1937</v>
      </c>
      <c r="H4" s="1250" t="s">
        <v>1917</v>
      </c>
      <c r="I4" s="55" t="e">
        <f>ROUND(SUMIF('数据-基础表'!I9:AS9,"地上",'数据-基础表'!I5:AS5)/'数据-基础表'!A3,2)</f>
        <v>#DIV/0!</v>
      </c>
      <c r="J4" s="1395"/>
      <c r="K4" s="1395"/>
      <c r="L4" s="1395"/>
      <c r="M4" s="1395"/>
      <c r="N4" s="1430"/>
      <c r="O4" s="1395"/>
      <c r="P4" s="1395"/>
    </row>
    <row r="5" spans="1:16">
      <c r="A5" s="47" t="s">
        <v>1913</v>
      </c>
      <c r="B5" s="3041" t="s">
        <v>1914</v>
      </c>
      <c r="C5" s="3041"/>
      <c r="D5" s="48">
        <f>ROUND($D$3*E5/$E$3,2)</f>
        <v>0</v>
      </c>
      <c r="E5" s="49">
        <f>SUMIF('数据-基础表'!$11:$11,"住宅",'数据-基础表'!$5:$5)</f>
        <v>0</v>
      </c>
      <c r="F5" s="1395"/>
      <c r="G5" s="1402"/>
      <c r="H5" s="1250" t="s">
        <v>1910</v>
      </c>
      <c r="I5" s="55" t="e">
        <f>ROUND(E31/D31,2)</f>
        <v>#DIV/0!</v>
      </c>
      <c r="J5" s="1395"/>
      <c r="K5" s="1395"/>
      <c r="L5" s="1395"/>
      <c r="M5" s="1395"/>
      <c r="N5" s="1395"/>
      <c r="O5" s="1395"/>
      <c r="P5" s="1395"/>
    </row>
    <row r="6" spans="1:16" ht="15" thickBot="1">
      <c r="A6" s="2236"/>
      <c r="B6" s="3041" t="s">
        <v>1915</v>
      </c>
      <c r="C6" s="3041"/>
      <c r="D6" s="48">
        <f>ROUND($D$3*E6/$E$3,2)</f>
        <v>0</v>
      </c>
      <c r="E6" s="49">
        <f>E3-E5</f>
        <v>2300.98</v>
      </c>
      <c r="F6" s="1395"/>
      <c r="G6" s="2237" t="s">
        <v>1916</v>
      </c>
      <c r="H6" s="1402" t="s">
        <v>1917</v>
      </c>
      <c r="I6" s="942" t="e">
        <f>ROUND(F31/D31,2)</f>
        <v>#DIV/0!</v>
      </c>
      <c r="J6" s="1395"/>
      <c r="K6" s="1395"/>
      <c r="L6" s="1395"/>
      <c r="M6" s="1395"/>
      <c r="N6" s="1395"/>
      <c r="O6" s="1395"/>
      <c r="P6" s="1395"/>
    </row>
    <row r="7" spans="1:16" ht="15">
      <c r="A7" s="3033"/>
      <c r="B7" s="3034"/>
      <c r="C7" s="3035"/>
      <c r="D7" s="2233" t="s">
        <v>1911</v>
      </c>
      <c r="E7" s="2238" t="s">
        <v>1918</v>
      </c>
      <c r="F7" s="1395"/>
      <c r="G7" s="2230" t="s">
        <v>1919</v>
      </c>
      <c r="H7" s="64"/>
      <c r="I7" s="421"/>
      <c r="J7" s="1395"/>
      <c r="K7" s="1395"/>
      <c r="L7" s="1395"/>
      <c r="M7" s="1395"/>
      <c r="N7" s="1395"/>
      <c r="O7" s="1395"/>
      <c r="P7" s="1395"/>
    </row>
    <row r="8" spans="1:16">
      <c r="A8" s="47" t="s">
        <v>1920</v>
      </c>
      <c r="B8" s="50" t="s">
        <v>1921</v>
      </c>
      <c r="C8" s="48" t="s">
        <v>1922</v>
      </c>
      <c r="D8" s="48">
        <f t="shared" ref="D8:D15" si="0">ROUND($D$3*E8/$E$3,2)</f>
        <v>0</v>
      </c>
      <c r="E8" s="51">
        <f>SUMIF('数据-基础表'!BB10:BK10,"地上",'数据-基础表'!BB5:BK5)</f>
        <v>2300.98</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0</v>
      </c>
      <c r="E16" s="53">
        <f>SUM(E8:E15)</f>
        <v>2300.98</v>
      </c>
      <c r="F16" s="1395"/>
      <c r="G16" s="2239"/>
      <c r="H16" s="2242" t="s">
        <v>1939</v>
      </c>
      <c r="I16" s="2243"/>
      <c r="J16" s="1395"/>
      <c r="K16" s="3030" t="s">
        <v>1939</v>
      </c>
      <c r="L16" s="3031"/>
      <c r="M16" s="3031"/>
      <c r="N16" s="3031"/>
      <c r="O16" s="3031"/>
      <c r="P16" s="3032"/>
    </row>
    <row r="17" spans="1:19" ht="15">
      <c r="A17" s="2244" t="s">
        <v>1940</v>
      </c>
      <c r="B17" s="2245" t="s">
        <v>1941</v>
      </c>
      <c r="C17" s="2246" t="s">
        <v>1942</v>
      </c>
      <c r="D17" s="2247" t="s">
        <v>1930</v>
      </c>
      <c r="E17" s="2248" t="s">
        <v>1931</v>
      </c>
      <c r="F17" s="2249"/>
      <c r="G17" s="2250"/>
      <c r="H17" s="2251" t="s">
        <v>1943</v>
      </c>
      <c r="I17" s="2252" t="s">
        <v>1928</v>
      </c>
      <c r="J17" s="1395"/>
      <c r="K17" s="3027" t="s">
        <v>1944</v>
      </c>
      <c r="L17" s="3028"/>
      <c r="M17" s="3029"/>
      <c r="N17" s="3027" t="s">
        <v>1945</v>
      </c>
      <c r="O17" s="3028"/>
      <c r="P17" s="3029"/>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31" t="s">
        <v>3055</v>
      </c>
      <c r="D19" s="48">
        <f>ROUND($D$3*E19/$E$3,2)</f>
        <v>0</v>
      </c>
      <c r="E19" s="56">
        <f t="shared" ref="E19:E26" si="1">SUM(F19:G19)</f>
        <v>2300.98</v>
      </c>
      <c r="F19" s="57">
        <f>'数据-基础表'!I5</f>
        <v>2300.98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0</v>
      </c>
      <c r="S19" s="1251">
        <f t="shared" si="5"/>
        <v>2300.98</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0</v>
      </c>
      <c r="E27" s="1397">
        <f>IF(SUM(E19:E26)='数据-基础表'!BA5,SUM(E19:E26),IF(F27="地上面积有误","面积有误","地下面积有误"))</f>
        <v>2300.98</v>
      </c>
      <c r="F27" s="1396">
        <f>IF(SUM(F19:F26)=E8,SUM(F19:F26),"地上面积有误")</f>
        <v>2300.98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2300.98</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0</v>
      </c>
      <c r="E31" s="729">
        <f>E27+E30</f>
        <v>2300.98</v>
      </c>
      <c r="F31" s="730">
        <f>F27+F30</f>
        <v>2300.98</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39" activePane="bottomRight" state="frozen"/>
      <selection activeCell="C50" sqref="C50"/>
      <selection pane="topRight" activeCell="C50" sqref="C50"/>
      <selection pane="bottomLeft" activeCell="C50" sqref="C50"/>
      <selection pane="bottomRight" activeCell="B42" sqref="B42"/>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5"/>
      <c r="D1" s="2275"/>
      <c r="E1" s="1585"/>
      <c r="F1" s="1585"/>
      <c r="G1" s="1585"/>
      <c r="H1" s="1585"/>
      <c r="I1" s="1585"/>
      <c r="J1" s="1585"/>
      <c r="K1" s="169"/>
      <c r="L1" s="169"/>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8" t="s">
        <v>1965</v>
      </c>
      <c r="B2" s="1269">
        <f>项目基本情况!D3</f>
        <v>43040</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5" customFormat="1" ht="15" thickBot="1">
      <c r="A3" s="2033"/>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5"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6"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3060</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5" customFormat="1" ht="14.25">
      <c r="A6" s="2308" t="str">
        <f>'数据-汇总表'!C19</f>
        <v>办公</v>
      </c>
      <c r="B6" s="2309" t="str">
        <f>IF(A6=0,"","经营性")</f>
        <v>经营性</v>
      </c>
      <c r="C6" s="2310" t="s">
        <v>27</v>
      </c>
      <c r="D6" s="1054">
        <f>SUMIF(项目基本情况!D$12:I$12,C6,项目基本情况!D$14:I$14)</f>
        <v>50</v>
      </c>
      <c r="E6" s="1051">
        <f>IF(B6="","",SUMIF(项目基本情况!D$12:I$12,C6,项目基本情况!D$13:I$13))</f>
        <v>57160</v>
      </c>
      <c r="F6" s="72">
        <f>SUMIF(项目基本情况!D$12:I$12,C6,项目基本情况!D$15:I$15)</f>
        <v>38.68</v>
      </c>
      <c r="G6" s="73">
        <f>IF(ISERROR(ROUND(POWER(1+H6,D6-F6)*(POWER(1+H6,F6)-1)/(POWER(1+H6,D6)-1),3)),0,ROUND(POWER(1+H6,D6-F6)*(POWER(1+H6,F6)-1)/(POWER(1+H6,D6)-1),3))</f>
        <v>0.92</v>
      </c>
      <c r="H6" s="802">
        <f>I6-0.5%</f>
        <v>4.5000000000000005E-2</v>
      </c>
      <c r="I6" s="802">
        <v>0.05</v>
      </c>
      <c r="J6" s="74">
        <v>0.08</v>
      </c>
      <c r="K6" s="1254">
        <f>SUMIF('数据-汇总表'!C$19:C$33,A6,'数据-汇总表'!E$19:E$33)</f>
        <v>2300.98</v>
      </c>
      <c r="L6" s="803">
        <v>2000</v>
      </c>
      <c r="M6" s="75">
        <f t="shared" ref="M6:M14" si="0">ROUND(K6*L6/10000,0)</f>
        <v>460</v>
      </c>
      <c r="N6" s="801">
        <v>0.96699999999999997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2.8</v>
      </c>
      <c r="V6" s="79">
        <v>0.04</v>
      </c>
      <c r="W6" s="79">
        <v>0.1</v>
      </c>
      <c r="X6" s="1264"/>
      <c r="Y6" s="80">
        <f>N6</f>
        <v>0.96699999999999997</v>
      </c>
      <c r="Z6" s="81"/>
      <c r="AA6" s="74"/>
      <c r="AB6" s="74"/>
      <c r="AC6" s="1264"/>
      <c r="AD6" s="82"/>
      <c r="AE6" s="1265">
        <f ca="1">IF(AN6="",0,SUMIF(INDIRECT("'"&amp;AN6&amp;"'"&amp;"!E:E"),$AE$5,INDIRECT("'"&amp;AN6&amp;"'"&amp;"!F:F")))</f>
        <v>38.68</v>
      </c>
      <c r="AF6" s="1808"/>
      <c r="AG6" s="147">
        <f>IF(AF6="",0,AE6-AF6)</f>
        <v>0</v>
      </c>
      <c r="AH6" s="83"/>
      <c r="AI6" s="85">
        <v>365</v>
      </c>
      <c r="AJ6" s="86"/>
      <c r="AK6" s="87">
        <v>1.4999999999999999E-2</v>
      </c>
      <c r="AL6" s="88">
        <v>1.5E-3</v>
      </c>
      <c r="AM6" s="89">
        <v>0.01</v>
      </c>
      <c r="AN6" s="2311" t="s">
        <v>3086</v>
      </c>
      <c r="AO6" s="55">
        <f ca="1">SUMIF(INDIRECT("'"&amp;AN6&amp;"'"&amp;"!A:A"),"总价",INDIRECT("'"&amp;AN6&amp;"'"&amp;"!B:B"))</f>
        <v>5569</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5"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5"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5"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5"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5"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5"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5"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5"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5"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5" customFormat="1" ht="15.75" thickBot="1">
      <c r="A16" s="2315" t="s">
        <v>2013</v>
      </c>
      <c r="B16" s="97"/>
      <c r="C16" s="1008"/>
      <c r="D16" s="2316"/>
      <c r="E16" s="97"/>
      <c r="F16" s="97"/>
      <c r="G16" s="98">
        <f>ROUND(SUMPRODUCT(G6:G13,K6:K13)/SUMPRODUCT((G6:G13&gt;0)*(K6:K13)),3)</f>
        <v>0.92</v>
      </c>
      <c r="H16" s="99">
        <f>ROUND(SUMPRODUCT(H6:H13,K6:K13)/SUMPRODUCT((H6:H13&gt;0)*(K6:K13)),3)</f>
        <v>4.4999999999999998E-2</v>
      </c>
      <c r="I16" s="100"/>
      <c r="J16" s="100"/>
      <c r="K16" s="101">
        <f>SUM(K6:K15)</f>
        <v>2300.98</v>
      </c>
      <c r="L16" s="102">
        <f>ROUND(M16*10000/SUM(K6:K14),0)</f>
        <v>1999</v>
      </c>
      <c r="M16" s="102">
        <f>SUM(M6:M14)</f>
        <v>460</v>
      </c>
      <c r="N16" s="103">
        <f>ROUND(SUMPRODUCT(M6:M14,N6:N14)/M16,3)</f>
        <v>0.96699999999999997</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5"/>
      <c r="D17" s="2275"/>
      <c r="E17" s="2275"/>
      <c r="F17" s="1585"/>
      <c r="G17" s="1585"/>
      <c r="H17" s="1585"/>
      <c r="I17" s="1585"/>
      <c r="J17" s="1585"/>
      <c r="K17" s="169"/>
      <c r="L17" s="169"/>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2014</v>
      </c>
      <c r="B18" s="2282"/>
      <c r="C18" s="2279"/>
      <c r="D18" s="2280"/>
      <c r="E18" s="2279"/>
      <c r="F18" s="2279"/>
      <c r="G18" s="2279"/>
      <c r="H18" s="2279"/>
      <c r="I18" s="2279"/>
      <c r="J18" s="2279"/>
      <c r="K18" s="169"/>
      <c r="L18" s="169"/>
      <c r="M18" s="1585"/>
      <c r="N18" s="1585">
        <v>2015</v>
      </c>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8" t="s">
        <v>2015</v>
      </c>
      <c r="B19" s="112">
        <v>0</v>
      </c>
      <c r="C19" s="2279" t="s">
        <v>2016</v>
      </c>
      <c r="D19" s="2280"/>
      <c r="E19" s="2279"/>
      <c r="F19" s="2279"/>
      <c r="G19" s="2279"/>
      <c r="H19" s="2279"/>
      <c r="I19" s="2279"/>
      <c r="J19" s="2279"/>
      <c r="K19" s="169"/>
      <c r="L19" s="169"/>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9" t="s">
        <v>2017</v>
      </c>
      <c r="B20" s="113">
        <v>2</v>
      </c>
      <c r="C20" s="2279" t="s">
        <v>2018</v>
      </c>
      <c r="D20" s="2280"/>
      <c r="E20" s="2279"/>
      <c r="F20" s="2279"/>
      <c r="G20" s="2279"/>
      <c r="H20" s="2279"/>
      <c r="I20" s="2279"/>
      <c r="J20" s="2279"/>
      <c r="K20" s="169"/>
      <c r="L20" s="169"/>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0" t="s">
        <v>2019</v>
      </c>
      <c r="B21" s="113">
        <v>2</v>
      </c>
      <c r="C21" s="2279"/>
      <c r="D21" s="2280"/>
      <c r="E21" s="2279"/>
      <c r="F21" s="2279"/>
      <c r="G21" s="2279"/>
      <c r="H21" s="2279"/>
      <c r="I21" s="2279"/>
      <c r="J21" s="2279"/>
      <c r="K21" s="169"/>
      <c r="L21" s="169"/>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9" t="s">
        <v>2020</v>
      </c>
      <c r="B22" s="114">
        <f>B19+B20</f>
        <v>2</v>
      </c>
      <c r="C22" s="2279"/>
      <c r="D22" s="2280"/>
      <c r="E22" s="2279"/>
      <c r="F22" s="2279"/>
      <c r="G22" s="2279"/>
      <c r="H22" s="2279"/>
      <c r="I22" s="2279"/>
      <c r="J22" s="2279"/>
      <c r="K22" s="169"/>
      <c r="L22" s="169"/>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0" t="s">
        <v>2021</v>
      </c>
      <c r="B23" s="114">
        <f>B19+B21</f>
        <v>2</v>
      </c>
      <c r="C23" s="2279"/>
      <c r="D23" s="2280"/>
      <c r="E23" s="2279"/>
      <c r="F23" s="2279"/>
      <c r="G23" s="2279"/>
      <c r="H23" s="2279"/>
      <c r="I23" s="2279"/>
      <c r="J23" s="2279"/>
      <c r="K23" s="169"/>
      <c r="L23" s="169"/>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1" t="s">
        <v>2022</v>
      </c>
      <c r="B24" s="115">
        <f>B20-B21</f>
        <v>0</v>
      </c>
      <c r="C24" s="2279"/>
      <c r="D24" s="2280"/>
      <c r="E24" s="2279"/>
      <c r="F24" s="2279"/>
      <c r="G24" s="2279"/>
      <c r="H24" s="2279"/>
      <c r="I24" s="2279"/>
      <c r="J24" s="2279"/>
      <c r="K24" s="169"/>
      <c r="L24" s="169"/>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2"/>
      <c r="C25" s="2279"/>
      <c r="D25" s="2280"/>
      <c r="E25" s="2279"/>
      <c r="F25" s="2279"/>
      <c r="G25" s="2279"/>
      <c r="H25" s="2279"/>
      <c r="I25" s="2279"/>
      <c r="J25" s="2279"/>
      <c r="K25" s="169"/>
      <c r="L25" s="169"/>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8" t="s">
        <v>2023</v>
      </c>
      <c r="B26" s="2322" t="s">
        <v>2024</v>
      </c>
      <c r="C26" s="2323" t="s">
        <v>2025</v>
      </c>
      <c r="D26" s="2280"/>
      <c r="E26" s="2279"/>
      <c r="F26" s="2279"/>
      <c r="G26" s="2279"/>
      <c r="H26" s="2279"/>
      <c r="I26" s="2279"/>
      <c r="J26" s="2279"/>
      <c r="K26" s="169"/>
      <c r="L26" s="169"/>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6" customFormat="1" ht="27.75">
      <c r="A27" s="2324" t="s">
        <v>2026</v>
      </c>
      <c r="B27" s="116"/>
      <c r="C27" s="1768" t="s">
        <v>2027</v>
      </c>
      <c r="D27" s="2325"/>
      <c r="E27" s="1430"/>
      <c r="F27" s="1430"/>
      <c r="G27" s="2279"/>
      <c r="H27" s="2279"/>
      <c r="I27" s="2279"/>
      <c r="J27" s="2279"/>
      <c r="K27" s="169"/>
      <c r="L27" s="169"/>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200</v>
      </c>
      <c r="C28" s="2328"/>
      <c r="D28" s="2325"/>
      <c r="E28" s="1430"/>
      <c r="F28" s="1430"/>
      <c r="G28" s="2279"/>
      <c r="H28" s="2279"/>
      <c r="I28" s="2279"/>
      <c r="J28" s="2279"/>
      <c r="K28" s="169"/>
      <c r="L28" s="169"/>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8" t="s">
        <v>2030</v>
      </c>
      <c r="D29" s="2325"/>
      <c r="E29" s="1430"/>
      <c r="F29" s="1430"/>
      <c r="G29" s="2279"/>
      <c r="H29" s="2279"/>
      <c r="I29" s="2279"/>
      <c r="J29" s="2279"/>
      <c r="K29" s="169"/>
      <c r="L29" s="169"/>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9"/>
      <c r="L30" s="169"/>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200</v>
      </c>
      <c r="C31" s="1768"/>
      <c r="D31" s="2325"/>
      <c r="E31" s="1430"/>
      <c r="F31" s="1430"/>
      <c r="G31" s="2279"/>
      <c r="H31" s="2279"/>
      <c r="I31" s="2279"/>
      <c r="J31" s="2279"/>
      <c r="K31" s="169"/>
      <c r="L31" s="169"/>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c r="C32" s="2328"/>
      <c r="D32" s="2280"/>
      <c r="E32" s="2279"/>
      <c r="F32" s="2279"/>
      <c r="G32" s="2279"/>
      <c r="H32" s="2279"/>
      <c r="I32" s="2279"/>
      <c r="J32" s="2279"/>
      <c r="K32" s="169"/>
      <c r="L32" s="169"/>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7" t="s">
        <v>2035</v>
      </c>
      <c r="D33" s="2280"/>
      <c r="E33" s="2279"/>
      <c r="F33" s="2279"/>
      <c r="G33" s="2279"/>
      <c r="H33" s="2279"/>
      <c r="I33" s="2279"/>
      <c r="J33" s="2279"/>
      <c r="K33" s="169"/>
      <c r="L33" s="169"/>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0.05</v>
      </c>
      <c r="C34" s="1767" t="s">
        <v>2037</v>
      </c>
      <c r="D34" s="2280" t="s">
        <v>2038</v>
      </c>
      <c r="E34" s="732"/>
      <c r="F34" s="2279"/>
      <c r="G34" s="2279"/>
      <c r="H34" s="2279"/>
      <c r="I34" s="2279"/>
      <c r="J34" s="2279"/>
      <c r="K34" s="169"/>
      <c r="L34" s="169"/>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7" t="s">
        <v>2040</v>
      </c>
      <c r="D35" s="2325"/>
      <c r="E35" s="1430"/>
      <c r="F35" s="1430"/>
      <c r="G35" s="2279"/>
      <c r="H35" s="2279"/>
      <c r="I35" s="2279"/>
      <c r="J35" s="2279"/>
      <c r="K35" s="169"/>
      <c r="L35" s="169"/>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7" t="s">
        <v>2042</v>
      </c>
      <c r="D36" s="2280"/>
      <c r="E36" s="2279"/>
      <c r="F36" s="2279"/>
      <c r="G36" s="2279"/>
      <c r="H36" s="2279"/>
      <c r="I36" s="2279"/>
      <c r="J36" s="2279"/>
      <c r="K36" s="169"/>
      <c r="L36" s="169"/>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0" t="s">
        <v>2043</v>
      </c>
      <c r="B37" s="124">
        <v>0.02</v>
      </c>
      <c r="C37" s="1767" t="s">
        <v>2044</v>
      </c>
      <c r="D37" s="2280"/>
      <c r="E37" s="2279"/>
      <c r="F37" s="2279"/>
      <c r="G37" s="2279"/>
      <c r="H37" s="2279"/>
      <c r="I37" s="2279"/>
      <c r="J37" s="2279"/>
      <c r="K37" s="169"/>
      <c r="L37" s="169"/>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7" t="s">
        <v>2045</v>
      </c>
      <c r="B38" s="122">
        <v>0.02</v>
      </c>
      <c r="C38" s="1767" t="s">
        <v>2044</v>
      </c>
      <c r="D38" s="2280"/>
      <c r="E38" s="2279"/>
      <c r="F38" s="2279"/>
      <c r="G38" s="2279"/>
      <c r="H38" s="2279"/>
      <c r="I38" s="2279"/>
      <c r="J38" s="2279"/>
      <c r="K38" s="169"/>
      <c r="L38" s="169"/>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1" t="s">
        <v>2046</v>
      </c>
      <c r="B39" s="363">
        <f ca="1">存贷款利率!I1</f>
        <v>1.4999999999999999E-2</v>
      </c>
      <c r="C39" s="1767"/>
      <c r="D39" s="2280"/>
      <c r="E39" s="2279"/>
      <c r="F39" s="2279"/>
      <c r="G39" s="2279"/>
      <c r="H39" s="2279"/>
      <c r="I39" s="2279"/>
      <c r="J39" s="2279"/>
      <c r="K39" s="169"/>
      <c r="L39" s="169"/>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1" t="s">
        <v>2047</v>
      </c>
      <c r="B40" s="1303">
        <f ca="1">存贷款利率!G1</f>
        <v>4.7500000000000001E-2</v>
      </c>
      <c r="C40" s="1767" t="s">
        <v>2048</v>
      </c>
      <c r="D40" s="1585"/>
      <c r="E40" s="2280"/>
      <c r="F40" s="2279"/>
      <c r="G40" s="2279"/>
      <c r="H40" s="2279"/>
      <c r="I40" s="2279"/>
      <c r="J40" s="2279"/>
      <c r="K40" s="169"/>
      <c r="L40" s="169"/>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4" t="s">
        <v>2049</v>
      </c>
      <c r="B41" s="125">
        <f>B42+B43</f>
        <v>5.6000000000000001E-2</v>
      </c>
      <c r="C41" s="1768"/>
      <c r="D41" s="1585"/>
      <c r="E41" s="2280"/>
      <c r="F41" s="2279"/>
      <c r="G41" s="2279"/>
      <c r="H41" s="2279"/>
      <c r="I41" s="2279"/>
      <c r="J41" s="2279"/>
      <c r="K41" s="169"/>
      <c r="L41" s="169"/>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2" t="s">
        <v>2050</v>
      </c>
      <c r="B42" s="126">
        <v>0.05</v>
      </c>
      <c r="C42" s="2333">
        <f>IF(B2&lt;DATE(2016,5,1),0,B42)</f>
        <v>0.05</v>
      </c>
      <c r="D42" s="2280"/>
      <c r="E42" s="2279"/>
      <c r="F42" s="2279"/>
      <c r="G42" s="2279"/>
      <c r="H42" s="2279"/>
      <c r="I42" s="2279"/>
      <c r="J42" s="2279"/>
      <c r="K42" s="169"/>
      <c r="L42" s="169"/>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2" t="s">
        <v>2051</v>
      </c>
      <c r="B43" s="127">
        <f>B42*(B44+B45+B46)+B47</f>
        <v>6.000000000000001E-3</v>
      </c>
      <c r="C43" s="1768"/>
      <c r="D43" s="2280"/>
      <c r="E43" s="2279"/>
      <c r="F43" s="2279"/>
      <c r="G43" s="2279"/>
      <c r="H43" s="2279"/>
      <c r="I43" s="2279"/>
      <c r="J43" s="2279"/>
      <c r="K43" s="169"/>
      <c r="L43" s="169"/>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4" t="s">
        <v>2052</v>
      </c>
      <c r="B44" s="128">
        <v>7.0000000000000007E-2</v>
      </c>
      <c r="C44" s="1767" t="s">
        <v>2053</v>
      </c>
      <c r="D44" s="2280"/>
      <c r="E44" s="2279"/>
      <c r="F44" s="2279"/>
      <c r="G44" s="2279"/>
      <c r="H44" s="2279"/>
      <c r="I44" s="2279"/>
      <c r="J44" s="2279"/>
      <c r="K44" s="169"/>
      <c r="L44" s="169"/>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4" t="s">
        <v>2054</v>
      </c>
      <c r="B45" s="126">
        <v>0.03</v>
      </c>
      <c r="C45" s="1768" t="s">
        <v>2055</v>
      </c>
      <c r="D45" s="2280"/>
      <c r="E45" s="2279"/>
      <c r="F45" s="2279"/>
      <c r="G45" s="2279"/>
      <c r="H45" s="2279"/>
      <c r="I45" s="2279"/>
      <c r="J45" s="2279"/>
      <c r="K45" s="169"/>
      <c r="L45" s="169"/>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4" t="s">
        <v>2056</v>
      </c>
      <c r="B46" s="126">
        <v>0.02</v>
      </c>
      <c r="C46" s="1768" t="s">
        <v>2057</v>
      </c>
      <c r="D46" s="2280"/>
      <c r="E46" s="2279"/>
      <c r="F46" s="2279"/>
      <c r="G46" s="2279"/>
      <c r="H46" s="2279"/>
      <c r="I46" s="2279"/>
      <c r="J46" s="2279"/>
      <c r="K46" s="169"/>
      <c r="L46" s="169"/>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5" t="s">
        <v>2058</v>
      </c>
      <c r="B47" s="129"/>
      <c r="C47" s="1768" t="s">
        <v>2059</v>
      </c>
      <c r="D47" s="2280"/>
      <c r="E47" s="2279"/>
      <c r="F47" s="2279"/>
      <c r="G47" s="2279"/>
      <c r="H47" s="2279"/>
      <c r="I47" s="2279"/>
      <c r="J47" s="2279"/>
      <c r="K47" s="169"/>
      <c r="L47" s="169"/>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6" t="s">
        <v>2060</v>
      </c>
      <c r="B48" s="130">
        <v>0.03</v>
      </c>
      <c r="C48" s="1775" t="s">
        <v>2061</v>
      </c>
      <c r="D48" s="2280"/>
      <c r="E48" s="2279"/>
      <c r="F48" s="2279"/>
      <c r="G48" s="2279"/>
      <c r="H48" s="2279"/>
      <c r="I48" s="2279"/>
      <c r="J48" s="2279"/>
      <c r="K48" s="169"/>
      <c r="L48" s="169"/>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1" t="s">
        <v>2062</v>
      </c>
      <c r="B49" s="126">
        <v>5.0000000000000001E-4</v>
      </c>
      <c r="C49" s="1775" t="s">
        <v>2063</v>
      </c>
      <c r="D49" s="2280"/>
      <c r="E49" s="2279"/>
      <c r="F49" s="2279"/>
      <c r="G49" s="2279"/>
      <c r="H49" s="2279"/>
      <c r="I49" s="2279"/>
      <c r="J49" s="2279"/>
      <c r="K49" s="169"/>
      <c r="L49" s="169"/>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7" t="s">
        <v>2064</v>
      </c>
      <c r="B50" s="131">
        <v>1.2E-2</v>
      </c>
      <c r="C50" s="1430"/>
      <c r="D50" s="2280"/>
      <c r="E50" s="2279"/>
      <c r="F50" s="2279"/>
      <c r="G50" s="2279"/>
      <c r="H50" s="2279"/>
      <c r="I50" s="2279"/>
      <c r="J50" s="2279"/>
      <c r="K50" s="169"/>
      <c r="L50" s="169"/>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9" t="s">
        <v>2065</v>
      </c>
      <c r="B51" s="132">
        <v>0.12</v>
      </c>
      <c r="C51" s="1430"/>
      <c r="D51" s="2280"/>
      <c r="E51" s="2279"/>
      <c r="F51" s="2279"/>
      <c r="G51" s="2279"/>
      <c r="H51" s="2279"/>
      <c r="I51" s="2279"/>
      <c r="J51" s="2279"/>
      <c r="K51" s="169"/>
      <c r="L51" s="169"/>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7" t="s">
        <v>2066</v>
      </c>
      <c r="B52" s="133">
        <f>SUMIF(A54:A63,B53,B54:B63)</f>
        <v>3</v>
      </c>
      <c r="C52" s="1430"/>
      <c r="D52" s="2280"/>
      <c r="E52" s="2279"/>
      <c r="F52" s="2279"/>
      <c r="G52" s="2279"/>
      <c r="H52" s="2279"/>
      <c r="I52" s="2279"/>
      <c r="J52" s="2279"/>
      <c r="K52" s="169"/>
      <c r="L52" s="169"/>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7" t="s">
        <v>2067</v>
      </c>
      <c r="B53" s="2338" t="s">
        <v>523</v>
      </c>
      <c r="C53" s="1430" t="s">
        <v>2068</v>
      </c>
      <c r="D53" s="2339" t="s">
        <v>2069</v>
      </c>
      <c r="E53" s="2279"/>
      <c r="F53" s="2279"/>
      <c r="G53" s="2279"/>
      <c r="H53" s="2279"/>
      <c r="I53" s="2279"/>
      <c r="J53" s="2279"/>
      <c r="K53" s="169"/>
      <c r="L53" s="169"/>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0" t="s">
        <v>2070</v>
      </c>
      <c r="B54" s="84"/>
      <c r="C54" s="1430">
        <v>30</v>
      </c>
      <c r="D54" s="2280"/>
      <c r="E54" s="2279"/>
      <c r="F54" s="2279"/>
      <c r="G54" s="2279"/>
      <c r="H54" s="2279"/>
      <c r="I54" s="2279"/>
      <c r="J54" s="2279"/>
      <c r="K54" s="169"/>
      <c r="L54" s="169"/>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0" t="s">
        <v>2071</v>
      </c>
      <c r="B55" s="84"/>
      <c r="C55" s="1430">
        <v>24</v>
      </c>
      <c r="D55" s="2280"/>
      <c r="E55" s="2279"/>
      <c r="F55" s="2279"/>
      <c r="G55" s="2279"/>
      <c r="H55" s="2279"/>
      <c r="I55" s="2341"/>
      <c r="J55" s="2279"/>
      <c r="K55" s="169"/>
      <c r="L55" s="169"/>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0" t="s">
        <v>2072</v>
      </c>
      <c r="B56" s="84"/>
      <c r="C56" s="1430">
        <v>18</v>
      </c>
      <c r="D56" s="2280"/>
      <c r="E56" s="2279"/>
      <c r="F56" s="2279"/>
      <c r="G56" s="2279"/>
      <c r="H56" s="2279"/>
      <c r="I56" s="2279"/>
      <c r="J56" s="2279"/>
      <c r="K56" s="169"/>
      <c r="L56" s="169"/>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0" t="s">
        <v>2073</v>
      </c>
      <c r="B57" s="84"/>
      <c r="C57" s="1430">
        <v>12</v>
      </c>
      <c r="D57" s="2280"/>
      <c r="E57" s="2279"/>
      <c r="F57" s="2279"/>
      <c r="G57" s="2279"/>
      <c r="H57" s="2279"/>
      <c r="I57" s="2279"/>
      <c r="J57" s="2279"/>
      <c r="K57" s="169"/>
      <c r="L57" s="169"/>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0" t="s">
        <v>2074</v>
      </c>
      <c r="B58" s="84">
        <v>3</v>
      </c>
      <c r="C58" s="1430">
        <v>3</v>
      </c>
      <c r="D58" s="2280"/>
      <c r="E58" s="2279"/>
      <c r="F58" s="2279"/>
      <c r="G58" s="2279"/>
      <c r="H58" s="2279"/>
      <c r="I58" s="2279"/>
      <c r="J58" s="2279"/>
      <c r="K58" s="169"/>
      <c r="L58" s="169"/>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0" t="s">
        <v>2075</v>
      </c>
      <c r="B59" s="84"/>
      <c r="C59" s="1430">
        <v>1.5</v>
      </c>
      <c r="D59" s="2280"/>
      <c r="E59" s="2279"/>
      <c r="F59" s="2279"/>
      <c r="G59" s="2279"/>
      <c r="H59" s="2279"/>
      <c r="I59" s="2279"/>
      <c r="J59" s="2279"/>
      <c r="K59" s="169"/>
      <c r="L59" s="169"/>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0" t="s">
        <v>2076</v>
      </c>
      <c r="B60" s="84"/>
      <c r="C60" s="2279"/>
      <c r="D60" s="2280"/>
      <c r="E60" s="2279"/>
      <c r="F60" s="2279"/>
      <c r="G60" s="2279"/>
      <c r="H60" s="2279"/>
      <c r="I60" s="2279"/>
      <c r="J60" s="2279"/>
      <c r="K60" s="169"/>
      <c r="L60" s="169"/>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0" t="s">
        <v>2077</v>
      </c>
      <c r="B61" s="84"/>
      <c r="C61" s="2279"/>
      <c r="D61" s="2280"/>
      <c r="E61" s="2279"/>
      <c r="F61" s="2279"/>
      <c r="G61" s="2279"/>
      <c r="H61" s="2279"/>
      <c r="I61" s="2279"/>
      <c r="J61" s="2279"/>
      <c r="K61" s="169"/>
      <c r="L61" s="169"/>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0" t="s">
        <v>2078</v>
      </c>
      <c r="B62" s="84"/>
      <c r="C62" s="2279"/>
      <c r="D62" s="2280"/>
      <c r="E62" s="2279"/>
      <c r="F62" s="2279"/>
      <c r="G62" s="2279"/>
      <c r="H62" s="2279"/>
      <c r="I62" s="2279"/>
      <c r="J62" s="2279"/>
      <c r="K62" s="169"/>
      <c r="L62" s="169"/>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2" t="s">
        <v>2079</v>
      </c>
      <c r="B63" s="134"/>
      <c r="C63" s="2279"/>
      <c r="D63" s="2280"/>
      <c r="E63" s="2279"/>
      <c r="F63" s="2279"/>
      <c r="G63" s="2279"/>
      <c r="H63" s="2279"/>
      <c r="I63" s="2279"/>
      <c r="J63" s="2279"/>
      <c r="K63" s="169"/>
      <c r="L63" s="169"/>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42" t="s">
        <v>2080</v>
      </c>
      <c r="B1" s="3043"/>
      <c r="C1" s="3043"/>
      <c r="D1" s="3043"/>
      <c r="E1" s="3043"/>
      <c r="F1" s="3043"/>
      <c r="G1" s="3043"/>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42.75">
      <c r="A3" s="416" t="s">
        <v>2083</v>
      </c>
      <c r="B3" s="1271" t="s">
        <v>2084</v>
      </c>
      <c r="C3" s="2372"/>
      <c r="D3" s="2373"/>
      <c r="E3" s="432" t="s">
        <v>2083</v>
      </c>
      <c r="F3" s="2374" t="s">
        <v>2085</v>
      </c>
      <c r="G3" s="2375" t="s">
        <v>2086</v>
      </c>
      <c r="H3" s="2370"/>
      <c r="I3" s="2370"/>
      <c r="J3" s="2370"/>
      <c r="K3" s="2370"/>
      <c r="L3" s="2370"/>
      <c r="M3" s="2370"/>
      <c r="N3" s="2370"/>
      <c r="O3" s="2370"/>
      <c r="P3" s="2370"/>
      <c r="Q3" s="2370"/>
      <c r="R3" s="2370"/>
    </row>
    <row r="4" spans="1:29" ht="40.5">
      <c r="A4" s="432"/>
      <c r="B4" s="1799" t="s">
        <v>2087</v>
      </c>
      <c r="C4" s="2376"/>
      <c r="D4" s="2373"/>
      <c r="E4" s="2377"/>
      <c r="F4" s="42" t="s">
        <v>2088</v>
      </c>
      <c r="G4" s="2378" t="s">
        <v>2089</v>
      </c>
      <c r="H4" s="2370"/>
      <c r="I4" s="2370"/>
      <c r="J4" s="2370"/>
      <c r="K4" s="2370"/>
      <c r="L4" s="2370"/>
      <c r="M4" s="2370"/>
      <c r="N4" s="2370"/>
      <c r="O4" s="2370"/>
      <c r="P4" s="2370"/>
      <c r="Q4" s="2370"/>
      <c r="R4" s="2370"/>
    </row>
    <row r="5" spans="1:29" ht="54">
      <c r="A5" s="432"/>
      <c r="B5" s="1799" t="s">
        <v>2090</v>
      </c>
      <c r="C5" s="2942" t="s">
        <v>3112</v>
      </c>
      <c r="D5" s="2373"/>
      <c r="E5" s="2377"/>
      <c r="F5" s="1799" t="s">
        <v>2091</v>
      </c>
      <c r="G5" s="2378" t="s">
        <v>2092</v>
      </c>
      <c r="H5" s="2370"/>
      <c r="I5" s="2370"/>
      <c r="J5" s="2370"/>
      <c r="K5" s="2370"/>
      <c r="L5" s="2370"/>
      <c r="M5" s="2370"/>
      <c r="N5" s="2370"/>
      <c r="O5" s="2370"/>
      <c r="P5" s="2370"/>
      <c r="Q5" s="2370"/>
      <c r="R5" s="2370"/>
    </row>
    <row r="6" spans="1:29" ht="81">
      <c r="A6" s="432"/>
      <c r="B6" s="1799" t="s">
        <v>2093</v>
      </c>
      <c r="C6" s="2943" t="s">
        <v>3116</v>
      </c>
      <c r="D6" s="2373"/>
      <c r="E6" s="2377"/>
      <c r="F6" s="1799" t="s">
        <v>2094</v>
      </c>
      <c r="G6" s="2378" t="s">
        <v>2095</v>
      </c>
      <c r="H6" s="2370"/>
      <c r="I6" s="2370"/>
      <c r="J6" s="2370"/>
      <c r="K6" s="2370"/>
      <c r="L6" s="2370"/>
      <c r="M6" s="2370"/>
      <c r="N6" s="2370"/>
      <c r="O6" s="2370"/>
      <c r="P6" s="2370"/>
      <c r="Q6" s="2370"/>
      <c r="R6" s="2370"/>
    </row>
    <row r="7" spans="1:29" ht="95.25" thickBot="1">
      <c r="A7" s="432"/>
      <c r="B7" s="1799" t="s">
        <v>2091</v>
      </c>
      <c r="C7" s="2943" t="s">
        <v>3119</v>
      </c>
      <c r="D7" s="2379"/>
      <c r="E7" s="2380"/>
      <c r="F7" s="2381" t="s">
        <v>2096</v>
      </c>
      <c r="G7" s="2382" t="s">
        <v>2097</v>
      </c>
      <c r="H7" s="2370"/>
      <c r="I7" s="2370"/>
      <c r="J7" s="2370"/>
      <c r="K7" s="2370"/>
      <c r="L7" s="2370"/>
      <c r="M7" s="2370"/>
      <c r="N7" s="2370"/>
      <c r="O7" s="2370"/>
      <c r="P7" s="2370"/>
      <c r="Q7" s="2370"/>
      <c r="R7" s="2370"/>
    </row>
    <row r="8" spans="1:29" ht="15">
      <c r="A8" s="432"/>
      <c r="B8" s="1799" t="s">
        <v>2094</v>
      </c>
      <c r="C8" s="2943" t="s">
        <v>3113</v>
      </c>
      <c r="D8" s="2379"/>
      <c r="E8" s="2379"/>
      <c r="F8" s="1136"/>
      <c r="G8" s="1136"/>
      <c r="H8" s="2370"/>
      <c r="I8" s="2370"/>
      <c r="J8" s="2370"/>
      <c r="K8" s="2370"/>
      <c r="L8" s="2370"/>
      <c r="M8" s="2370"/>
      <c r="N8" s="2370"/>
      <c r="O8" s="2370"/>
      <c r="P8" s="2370"/>
      <c r="Q8" s="2370"/>
      <c r="R8" s="2370"/>
    </row>
    <row r="9" spans="1:29" ht="81">
      <c r="A9" s="432"/>
      <c r="B9" s="1799" t="s">
        <v>2098</v>
      </c>
      <c r="C9" s="2942" t="s">
        <v>3117</v>
      </c>
      <c r="D9" s="2373"/>
      <c r="E9" s="2379"/>
      <c r="F9" s="1136"/>
      <c r="G9" s="1136"/>
      <c r="H9" s="2370"/>
      <c r="I9" s="2370"/>
      <c r="J9" s="2370"/>
      <c r="K9" s="2370"/>
      <c r="L9" s="2370"/>
      <c r="M9" s="2370"/>
      <c r="N9" s="2370"/>
      <c r="O9" s="2370"/>
      <c r="P9" s="2370"/>
      <c r="Q9" s="2370"/>
      <c r="R9" s="2370"/>
    </row>
    <row r="10" spans="1:29" s="117" customFormat="1" ht="15.75" thickBot="1">
      <c r="A10" s="2383"/>
      <c r="B10" s="2384" t="s">
        <v>2099</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2100</v>
      </c>
      <c r="B13" s="2390"/>
      <c r="C13" s="2390"/>
      <c r="D13" s="2397"/>
      <c r="E13" s="2390"/>
      <c r="F13" s="2390"/>
      <c r="G13" s="2390"/>
    </row>
    <row r="14" spans="1:29" ht="15.75" thickBot="1">
      <c r="A14" s="2401"/>
      <c r="B14" s="2402"/>
      <c r="C14" s="2403" t="s">
        <v>2101</v>
      </c>
      <c r="D14" s="2373"/>
      <c r="E14" s="2404"/>
      <c r="F14" s="2404"/>
      <c r="G14" s="2367" t="s">
        <v>2102</v>
      </c>
    </row>
    <row r="15" spans="1:29" ht="42.75">
      <c r="A15" s="68" t="s">
        <v>2103</v>
      </c>
      <c r="B15" s="1270" t="s">
        <v>2084</v>
      </c>
      <c r="C15" s="2405">
        <f>C3</f>
        <v>0</v>
      </c>
      <c r="D15" s="2373"/>
      <c r="E15" s="2406" t="s">
        <v>2104</v>
      </c>
      <c r="F15" s="1270" t="s">
        <v>2105</v>
      </c>
      <c r="G15" s="135" t="str">
        <f>G3</f>
        <v>估价对象位于XX开发区，园区建设成熟度XX，产业集聚程度XX</v>
      </c>
    </row>
    <row r="16" spans="1:29" ht="42.75">
      <c r="A16" s="646"/>
      <c r="B16" s="2407" t="s">
        <v>2087</v>
      </c>
      <c r="C16" s="2408">
        <f>C4</f>
        <v>0</v>
      </c>
      <c r="D16" s="2373"/>
      <c r="E16" s="2409"/>
      <c r="F16" s="2410" t="s">
        <v>2088</v>
      </c>
      <c r="G16" s="136" t="str">
        <f>G4</f>
        <v>估价对象周边道路状况、公共交通通达情况、停车便捷程度，综合评价交通便捷度较好</v>
      </c>
    </row>
    <row r="17" spans="1:18" ht="57">
      <c r="A17" s="646"/>
      <c r="B17" s="2407" t="s">
        <v>2090</v>
      </c>
      <c r="C17" s="2408" t="str">
        <f>C5</f>
        <v>估价对象位于海淀区温泉镇，周边办公楼项目较少，入驻率一般，办公集聚程度一般。</v>
      </c>
      <c r="D17" s="2379"/>
      <c r="E17" s="2409"/>
      <c r="F17" s="2410" t="s">
        <v>2106</v>
      </c>
      <c r="G17" s="1573"/>
    </row>
    <row r="18" spans="1:18" ht="85.5">
      <c r="A18" s="646"/>
      <c r="B18" s="2410" t="s">
        <v>2093</v>
      </c>
      <c r="C18" s="136" t="str">
        <f>C6</f>
        <v>估价对象紧邻白家疃路，周边路网密集程度一般，行车出入便捷度一般。周边2公里范围内有522路、651路等公交，公共交通便捷度一般。综合评价交通便捷度一般。</v>
      </c>
      <c r="D18" s="2379"/>
      <c r="E18" s="2409"/>
      <c r="F18" s="2410" t="s">
        <v>2096</v>
      </c>
      <c r="G18" s="136" t="str">
        <f>G7</f>
        <v>该园区内是否有污染型企业，绿化情况，卫生条件，整体环境状况判断</v>
      </c>
    </row>
    <row r="19" spans="1:18" ht="28.5">
      <c r="A19" s="646"/>
      <c r="B19" s="2410" t="s">
        <v>2107</v>
      </c>
      <c r="C19" s="1573"/>
      <c r="D19" s="2373"/>
      <c r="E19" s="2409"/>
      <c r="F19" s="1799" t="s">
        <v>2091</v>
      </c>
      <c r="G19" s="136" t="str">
        <f>G5</f>
        <v>估价对象所在区域公共配套设施齐备情况</v>
      </c>
    </row>
    <row r="20" spans="1:18" ht="85.5">
      <c r="A20" s="646"/>
      <c r="B20" s="2410" t="s">
        <v>2108</v>
      </c>
      <c r="C20" s="2408" t="str">
        <f>C9</f>
        <v>估价对象周边约2公里范围有温泉公园，自然环境一般；周边约2公里范围内有北京行政学院等人文设施，人文环境一般；综合评价环境状况一般。</v>
      </c>
      <c r="D20" s="2379"/>
      <c r="E20" s="2409"/>
      <c r="F20" s="1799" t="s">
        <v>2109</v>
      </c>
      <c r="G20" s="136" t="str">
        <f>G6</f>
        <v>估价对象所在区域基础设施水平</v>
      </c>
    </row>
    <row r="21" spans="1:18" ht="99.75">
      <c r="A21" s="646"/>
      <c r="B21" s="1799" t="s">
        <v>2091</v>
      </c>
      <c r="C21" s="136" t="str">
        <f>C7</f>
        <v>周边2公里内的公共服务配套设施较为齐备，有购物场所（华联超市）、医院（北京中医药大学附属医院）、银行（民生银行）、学校（翠微小学）、餐饮（嘉和一品）等公共服务配套设施。</v>
      </c>
      <c r="D21" s="2373"/>
      <c r="E21" s="2409"/>
      <c r="F21" s="2410" t="s">
        <v>2110</v>
      </c>
      <c r="G21" s="2411"/>
    </row>
    <row r="22" spans="1:18" ht="13.5" customHeight="1">
      <c r="A22" s="646"/>
      <c r="B22" s="1799" t="s">
        <v>2094</v>
      </c>
      <c r="C22" s="136" t="str">
        <f>C8</f>
        <v>七通</v>
      </c>
      <c r="D22" s="2373"/>
      <c r="E22" s="2409"/>
      <c r="F22" s="2410" t="s">
        <v>2099</v>
      </c>
      <c r="G22" s="1573"/>
    </row>
    <row r="23" spans="1:18" s="2370" customFormat="1" ht="15.75" thickBot="1">
      <c r="A23" s="646"/>
      <c r="B23" s="2410" t="s">
        <v>2110</v>
      </c>
      <c r="C23" s="2411"/>
      <c r="D23" s="2398"/>
      <c r="E23" s="2412"/>
      <c r="F23" s="2413" t="s">
        <v>2111</v>
      </c>
      <c r="G23" s="2414"/>
      <c r="H23" s="2398"/>
      <c r="I23" s="2399"/>
      <c r="J23" s="2398"/>
      <c r="K23" s="2398"/>
      <c r="L23" s="2399"/>
      <c r="M23" s="2398"/>
      <c r="N23" s="2398"/>
      <c r="O23" s="2399"/>
      <c r="P23" s="2398"/>
      <c r="Q23" s="2398"/>
      <c r="R23" s="2400"/>
    </row>
    <row r="24" spans="1:18" s="2370" customFormat="1" ht="15.75" thickBot="1">
      <c r="A24" s="2415"/>
      <c r="B24" s="2413" t="s">
        <v>2112</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2" customWidth="1"/>
    <col min="2" max="9" width="15.75" style="1742" customWidth="1"/>
    <col min="10" max="16384" width="9" style="1742"/>
  </cols>
  <sheetData>
    <row r="1" spans="1:10" ht="16.5">
      <c r="A1" s="1747" t="s">
        <v>1366</v>
      </c>
      <c r="B1" s="1747">
        <f>SUM(B14:B23)</f>
        <v>2300.98</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43040</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6958</v>
      </c>
      <c r="C5" s="1747">
        <f ca="1">ROUND(B5*10000/$B$1,0)</f>
        <v>30239</v>
      </c>
      <c r="D5" s="1747" t="e">
        <f ca="1">ROUND(B5*10000/$B$2,0)</f>
        <v>#DIV/0!</v>
      </c>
      <c r="E5" s="1746"/>
      <c r="F5" s="1744"/>
      <c r="G5" s="1744"/>
    </row>
    <row r="6" spans="1:10" ht="16.5">
      <c r="A6" s="1747" t="s">
        <v>1357</v>
      </c>
      <c r="B6" s="1747">
        <f ca="1">SUM(G14:G23)</f>
        <v>6958</v>
      </c>
      <c r="C6" s="1747">
        <f ca="1">ROUND(B6*10000/$B$1,0)</f>
        <v>30239</v>
      </c>
      <c r="D6" s="1747" t="e">
        <f ca="1">ROUND(B6*10000/$B$2,0)</f>
        <v>#DIV/0!</v>
      </c>
      <c r="E6" s="1746"/>
      <c r="F6" s="1744"/>
      <c r="G6" s="1744"/>
    </row>
    <row r="7" spans="1:10" ht="16.5">
      <c r="A7" s="1747" t="s">
        <v>1365</v>
      </c>
      <c r="B7" s="1747">
        <f>SUM(H14:H23)</f>
        <v>0</v>
      </c>
      <c r="C7" s="1747">
        <f>ROUND(B7*10000/$B$1,0)</f>
        <v>0</v>
      </c>
      <c r="D7" s="1747" t="e">
        <f>ROUND(B7*10000/$B$2,0)</f>
        <v>#DIV/0!</v>
      </c>
      <c r="E7" s="1746"/>
      <c r="F7" s="1744"/>
      <c r="G7" s="1744"/>
    </row>
    <row r="8" spans="1:10" ht="16.5">
      <c r="A8" s="1747" t="s">
        <v>1286</v>
      </c>
      <c r="B8" s="1747">
        <f>SUM(I14:I23)</f>
        <v>0</v>
      </c>
      <c r="C8" s="1747">
        <f>ROUND(B8*10000/$B$1,0)</f>
        <v>0</v>
      </c>
      <c r="D8" s="1747" t="e">
        <f>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'数据-汇总表'!E3</f>
        <v>2300.98</v>
      </c>
      <c r="C14" s="1745">
        <f>'数据-汇总表'!D3</f>
        <v>0</v>
      </c>
      <c r="D14" s="1745">
        <f ca="1">结果表!H118</f>
        <v>6958</v>
      </c>
      <c r="E14" s="1745">
        <f ca="1">ROUND(D14*10000/B14,0)</f>
        <v>30239</v>
      </c>
      <c r="F14" s="1745" t="e">
        <f ca="1">ROUND(D14*10000/C14,0)</f>
        <v>#DIV/0!</v>
      </c>
      <c r="G14" s="1745">
        <f ca="1">结果表!D122</f>
        <v>6958</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3" zoomScaleNormal="100" zoomScaleSheetLayoutView="100" zoomScalePageLayoutView="80" workbookViewId="0">
      <selection activeCell="I118" sqref="I118"/>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2113</v>
      </c>
      <c r="B1" s="2421"/>
      <c r="C1" s="2422"/>
      <c r="D1" s="2421"/>
      <c r="E1" s="2421"/>
      <c r="F1" s="2423" t="s">
        <v>2114</v>
      </c>
      <c r="G1" s="2072" t="s">
        <v>3087</v>
      </c>
      <c r="H1" s="2424" t="str">
        <f>IF(G1="现房","——","估价对象范围")</f>
        <v>——</v>
      </c>
      <c r="I1" s="2425"/>
    </row>
    <row r="2" spans="1:12" ht="21.75" customHeight="1" thickBot="1">
      <c r="A2" s="3116" t="str">
        <f>项目基本情况!S2</f>
        <v>北京市北京市海淀区白家疃尚峰园3号楼101号等17套房地产</v>
      </c>
      <c r="B2" s="3117"/>
      <c r="C2" s="3117"/>
      <c r="D2" s="3117"/>
      <c r="E2" s="3117"/>
      <c r="F2" s="3117"/>
      <c r="G2" s="3117"/>
      <c r="H2" s="3117"/>
      <c r="I2" s="3118"/>
    </row>
    <row r="3" spans="1:12" ht="12.75">
      <c r="A3" s="3119" t="s">
        <v>2115</v>
      </c>
      <c r="B3" s="3120"/>
      <c r="C3" s="3120"/>
      <c r="D3" s="3120"/>
      <c r="E3" s="3120"/>
      <c r="F3" s="3120"/>
      <c r="G3" s="3120"/>
      <c r="H3" s="3120"/>
      <c r="I3" s="3120"/>
    </row>
    <row r="4" spans="1:12" ht="14.25">
      <c r="A4" s="2428" t="s">
        <v>2116</v>
      </c>
      <c r="B4" s="2429" t="s">
        <v>2117</v>
      </c>
      <c r="C4" s="2430" t="s">
        <v>3088</v>
      </c>
      <c r="D4" s="2430" t="s">
        <v>3086</v>
      </c>
      <c r="E4" s="3100" t="s">
        <v>2118</v>
      </c>
      <c r="F4" s="3113"/>
      <c r="G4" s="3113"/>
      <c r="H4" s="3113"/>
      <c r="I4" s="3101"/>
      <c r="K4" s="2431" t="str">
        <f>IF(ISNUMBER(FIND("比较法",结果表!C4)),"比较法",IF(ISNUMBER(FIND("成本法",结果表!C4)),"成本法",IF(ISNUMBER(FIND("假设开发法",结果表!C4)),"假设开发法",IF(ISNUMBER(FIND("收益法",结果表!C4)),"收益法","基准地价系数修正法"))))</f>
        <v>基准地价系数修正法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91" t="s">
        <v>2119</v>
      </c>
      <c r="B5" s="3017">
        <v>25</v>
      </c>
      <c r="C5" s="3121"/>
      <c r="D5" s="3109"/>
      <c r="E5" s="140" t="s">
        <v>2120</v>
      </c>
      <c r="F5" s="2432"/>
      <c r="G5" s="2432"/>
      <c r="H5" s="2432"/>
      <c r="I5" s="1835"/>
    </row>
    <row r="6" spans="1:12" ht="12.75">
      <c r="A6" s="3091"/>
      <c r="B6" s="3017"/>
      <c r="C6" s="3123"/>
      <c r="D6" s="3109"/>
      <c r="E6" s="140" t="s">
        <v>2121</v>
      </c>
      <c r="F6" s="2432"/>
      <c r="G6" s="2432"/>
      <c r="H6" s="2432"/>
      <c r="I6" s="1835"/>
    </row>
    <row r="7" spans="1:12" ht="12.75">
      <c r="A7" s="3091"/>
      <c r="B7" s="3017"/>
      <c r="C7" s="3122"/>
      <c r="D7" s="3109"/>
      <c r="E7" s="140" t="s">
        <v>2122</v>
      </c>
      <c r="F7" s="2432"/>
      <c r="G7" s="2432"/>
      <c r="H7" s="2432"/>
      <c r="I7" s="1835"/>
    </row>
    <row r="8" spans="1:12" ht="12.75">
      <c r="A8" s="3091" t="s">
        <v>2123</v>
      </c>
      <c r="B8" s="3017">
        <v>15</v>
      </c>
      <c r="C8" s="3121"/>
      <c r="D8" s="3109"/>
      <c r="E8" s="140" t="s">
        <v>2124</v>
      </c>
      <c r="F8" s="2432"/>
      <c r="G8" s="2432"/>
      <c r="H8" s="2432"/>
      <c r="I8" s="1835"/>
    </row>
    <row r="9" spans="1:12" ht="12.75">
      <c r="A9" s="3091"/>
      <c r="B9" s="3017"/>
      <c r="C9" s="3122"/>
      <c r="D9" s="3109"/>
      <c r="E9" s="140" t="s">
        <v>2125</v>
      </c>
      <c r="F9" s="2432"/>
      <c r="G9" s="2432"/>
      <c r="H9" s="2432"/>
      <c r="I9" s="1835"/>
    </row>
    <row r="10" spans="1:12" ht="12.75">
      <c r="A10" s="3091" t="s">
        <v>2126</v>
      </c>
      <c r="B10" s="3017">
        <v>15</v>
      </c>
      <c r="C10" s="3121"/>
      <c r="D10" s="3109"/>
      <c r="E10" s="140" t="s">
        <v>2127</v>
      </c>
      <c r="F10" s="2432"/>
      <c r="G10" s="2432"/>
      <c r="H10" s="2432"/>
      <c r="I10" s="1835"/>
    </row>
    <row r="11" spans="1:12" ht="12.75">
      <c r="A11" s="3091"/>
      <c r="B11" s="3017"/>
      <c r="C11" s="3122"/>
      <c r="D11" s="3109"/>
      <c r="E11" s="140" t="s">
        <v>2128</v>
      </c>
      <c r="F11" s="2432"/>
      <c r="G11" s="2432"/>
      <c r="H11" s="2432"/>
      <c r="I11" s="1835"/>
    </row>
    <row r="12" spans="1:12" ht="12.75">
      <c r="A12" s="3091" t="s">
        <v>2129</v>
      </c>
      <c r="B12" s="3017">
        <v>15</v>
      </c>
      <c r="C12" s="3121"/>
      <c r="D12" s="3109"/>
      <c r="E12" s="140" t="s">
        <v>2130</v>
      </c>
      <c r="F12" s="2432"/>
      <c r="G12" s="2432"/>
      <c r="H12" s="2432"/>
      <c r="I12" s="1835"/>
    </row>
    <row r="13" spans="1:12" ht="12.75">
      <c r="A13" s="3091"/>
      <c r="B13" s="3017"/>
      <c r="C13" s="3122"/>
      <c r="D13" s="3109"/>
      <c r="E13" s="140" t="s">
        <v>2131</v>
      </c>
      <c r="F13" s="2432"/>
      <c r="G13" s="2432"/>
      <c r="H13" s="2432"/>
      <c r="I13" s="1835"/>
    </row>
    <row r="14" spans="1:12" ht="12.75">
      <c r="A14" s="3091" t="s">
        <v>2132</v>
      </c>
      <c r="B14" s="3017">
        <v>30</v>
      </c>
      <c r="C14" s="3121">
        <v>7</v>
      </c>
      <c r="D14" s="3109">
        <f>10-C14</f>
        <v>3</v>
      </c>
      <c r="E14" s="140" t="s">
        <v>2133</v>
      </c>
      <c r="F14" s="2432"/>
      <c r="G14" s="2432"/>
      <c r="H14" s="2432"/>
      <c r="I14" s="1835"/>
    </row>
    <row r="15" spans="1:12" ht="12.75">
      <c r="A15" s="3091"/>
      <c r="B15" s="3017"/>
      <c r="C15" s="3123"/>
      <c r="D15" s="3109"/>
      <c r="E15" s="140" t="s">
        <v>2134</v>
      </c>
      <c r="F15" s="2432"/>
      <c r="G15" s="2432"/>
      <c r="H15" s="2432"/>
      <c r="I15" s="1835"/>
    </row>
    <row r="16" spans="1:12" ht="12.75">
      <c r="A16" s="3091"/>
      <c r="B16" s="3017"/>
      <c r="C16" s="3122"/>
      <c r="D16" s="3109"/>
      <c r="E16" s="140" t="s">
        <v>2135</v>
      </c>
      <c r="F16" s="2432"/>
      <c r="G16" s="2432"/>
      <c r="H16" s="2432"/>
      <c r="I16" s="1835"/>
    </row>
    <row r="17" spans="1:35" ht="15">
      <c r="A17" s="2433" t="s">
        <v>2136</v>
      </c>
      <c r="B17" s="64"/>
      <c r="C17" s="141">
        <f>SUM(C5:C16)</f>
        <v>7</v>
      </c>
      <c r="D17" s="141">
        <f>SUM(D5:D16)</f>
        <v>3</v>
      </c>
      <c r="E17" s="138"/>
      <c r="F17" s="138"/>
      <c r="G17" s="138"/>
      <c r="H17" s="138"/>
      <c r="I17" s="138"/>
      <c r="K17" s="2431"/>
      <c r="L17" s="2434" t="s">
        <v>2137</v>
      </c>
      <c r="M17" s="2434" t="s">
        <v>2138</v>
      </c>
    </row>
    <row r="18" spans="1:35" ht="15.75" thickBot="1">
      <c r="A18" s="2435" t="s">
        <v>2139</v>
      </c>
      <c r="B18" s="2436"/>
      <c r="C18" s="142">
        <f>ROUND(C17/SUM(C17:D17),2)</f>
        <v>0.7</v>
      </c>
      <c r="D18" s="142">
        <f>1-C18</f>
        <v>0.30000000000000004</v>
      </c>
      <c r="E18" s="138"/>
      <c r="F18" s="138"/>
      <c r="G18" s="138"/>
      <c r="H18" s="138"/>
      <c r="I18" s="138"/>
      <c r="K18" s="2431" t="s">
        <v>2140</v>
      </c>
      <c r="L18" s="2431">
        <f>IF(C1="",'数据-汇总表'!E3,SUMIF(项目类型,C1,'数据-汇总表'!E17:E26)+SUMIF(项目类型,C1,'数据-汇总表'!I17:I26))</f>
        <v>2300.98</v>
      </c>
      <c r="M18" s="2431">
        <f>IF(C1="",'数据-汇总表'!E3,SUMIF(项目类型,C1,'数据-汇总表'!E17:E26))</f>
        <v>2300.98</v>
      </c>
    </row>
    <row r="19" spans="1:35" ht="15">
      <c r="A19" s="2437" t="s">
        <v>2141</v>
      </c>
      <c r="B19" s="2438" t="s">
        <v>2142</v>
      </c>
      <c r="C19" s="143">
        <f ca="1">SUMIF(INDIRECT("'"&amp;C4&amp;"'"&amp;"!A:A"),结果表!B19,INDIRECT("'"&amp;C4&amp;"'"&amp;"!B:B"))</f>
        <v>7553</v>
      </c>
      <c r="D19" s="144">
        <f ca="1">SUMIF(INDIRECT("'"&amp;D4&amp;"'"&amp;"!A:A"),结果表!B19,INDIRECT("'"&amp;D4&amp;"'"&amp;"!B:B"))</f>
        <v>5569</v>
      </c>
      <c r="E19" s="2437" t="s">
        <v>2143</v>
      </c>
      <c r="F19" s="2438" t="s">
        <v>2142</v>
      </c>
      <c r="G19" s="145">
        <f ca="1">ROUND(C19*$C$18+D19*$D$18,0)</f>
        <v>6958</v>
      </c>
      <c r="H19" s="2439" t="s">
        <v>2144</v>
      </c>
      <c r="I19" s="138"/>
      <c r="K19" s="2431" t="s">
        <v>2145</v>
      </c>
      <c r="L19" s="2431">
        <f>IF(C1="",'数据-汇总表'!D3,SUMIF(项目类型,C1,'数据-汇总表'!D17:D26)+SUMIF(项目类型,C1,'数据-汇总表'!H17:H27))</f>
        <v>0</v>
      </c>
      <c r="M19" s="2431">
        <f>IF(C1="",'数据-汇总表'!D3,SUMIF(项目类型,C1,'数据-汇总表'!D17:D26))</f>
        <v>0</v>
      </c>
    </row>
    <row r="20" spans="1:35" ht="15">
      <c r="A20" s="2440"/>
      <c r="B20" s="1250" t="s">
        <v>2146</v>
      </c>
      <c r="C20" s="146">
        <f ca="1">SUMIF(INDIRECT("'"&amp;C4&amp;"'"&amp;"!A:A"),结果表!B20,INDIRECT("'"&amp;C4&amp;"'"&amp;"!B:B"))</f>
        <v>32825</v>
      </c>
      <c r="D20" s="147">
        <f ca="1">SUMIF(INDIRECT("'"&amp;D4&amp;"'"&amp;"!A:A"),结果表!B20,INDIRECT("'"&amp;D4&amp;"'"&amp;"!B:B"))</f>
        <v>24203</v>
      </c>
      <c r="E20" s="2440"/>
      <c r="F20" s="1250" t="s">
        <v>2146</v>
      </c>
      <c r="G20" s="148">
        <f ca="1">ROUND(C20*$C$18+D20*$D$18,0)</f>
        <v>30238</v>
      </c>
      <c r="H20" s="983" t="s">
        <v>2147</v>
      </c>
      <c r="I20" s="138"/>
    </row>
    <row r="21" spans="1:35" ht="15" customHeight="1" thickBot="1">
      <c r="A21" s="1003"/>
      <c r="B21" s="2441" t="s">
        <v>2148</v>
      </c>
      <c r="C21" s="789" t="e">
        <f ca="1">ROUND(C19*10000/L19,0)</f>
        <v>#DIV/0!</v>
      </c>
      <c r="D21" s="790" t="e">
        <f ca="1">ROUND(D19*10000/L19,0)</f>
        <v>#DIV/0!</v>
      </c>
      <c r="E21" s="1003"/>
      <c r="F21" s="2441" t="s">
        <v>2148</v>
      </c>
      <c r="G21" s="149" t="e">
        <f ca="1">ROUND(G19*10000/L19,0)</f>
        <v>#DIV/0!</v>
      </c>
      <c r="H21" s="2442" t="s">
        <v>2147</v>
      </c>
      <c r="I21" s="138"/>
    </row>
    <row r="22" spans="1:35" ht="15" thickBot="1">
      <c r="A22" s="2283" t="s">
        <v>2149</v>
      </c>
      <c r="B22" s="2443"/>
      <c r="C22" s="2444"/>
      <c r="D22" s="791">
        <f ca="1">IF(C19&lt;D19,D19/C19-1,C19/D19-1)</f>
        <v>0.3562578559885079</v>
      </c>
      <c r="E22" s="138"/>
      <c r="F22" s="138"/>
      <c r="G22" s="138"/>
      <c r="H22" s="138"/>
      <c r="I22" s="138"/>
    </row>
    <row r="23" spans="1:35" ht="13.5" thickBot="1">
      <c r="A23" s="2421"/>
      <c r="B23" s="2421"/>
      <c r="C23" s="2421"/>
      <c r="D23" s="2421"/>
      <c r="E23" s="138"/>
      <c r="F23" s="138"/>
      <c r="G23" s="138"/>
      <c r="H23" s="138"/>
      <c r="I23" s="138"/>
    </row>
    <row r="24" spans="1:35" ht="14.25">
      <c r="A24" s="3130" t="s">
        <v>2150</v>
      </c>
      <c r="B24" s="2438" t="s">
        <v>2142</v>
      </c>
      <c r="C24" s="145">
        <f>IF(B30=0,0,D30)</f>
        <v>0</v>
      </c>
      <c r="D24" s="2445"/>
      <c r="E24" s="138"/>
      <c r="F24" s="138"/>
      <c r="G24" s="138"/>
      <c r="H24" s="138"/>
      <c r="I24" s="138"/>
    </row>
    <row r="25" spans="1:35" ht="14.25">
      <c r="A25" s="3131"/>
      <c r="B25" s="1250" t="s">
        <v>2146</v>
      </c>
      <c r="C25" s="150">
        <f>IF(B30=0,0,C30)</f>
        <v>0</v>
      </c>
      <c r="D25" s="2446"/>
      <c r="E25" s="138"/>
      <c r="F25" s="138"/>
      <c r="G25" s="138"/>
      <c r="H25" s="138"/>
      <c r="I25" s="138"/>
    </row>
    <row r="26" spans="1:35" ht="13.5" customHeight="1">
      <c r="A26" s="2447" t="s">
        <v>2151</v>
      </c>
      <c r="B26" s="151" t="s">
        <v>2152</v>
      </c>
      <c r="C26" s="151" t="s">
        <v>2153</v>
      </c>
      <c r="D26" s="152" t="s">
        <v>2154</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3" t="s">
        <v>2155</v>
      </c>
      <c r="B30" s="153">
        <f>SUM(B27:B29)</f>
        <v>0</v>
      </c>
      <c r="C30" s="153" t="e">
        <f>ROUND(D30*10000/B30,0)</f>
        <v>#DIV/0!</v>
      </c>
      <c r="D30" s="153">
        <f>SUM(D27:D29)</f>
        <v>0</v>
      </c>
      <c r="E30" s="138"/>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2156</v>
      </c>
      <c r="B32" s="2451"/>
      <c r="C32" s="154">
        <f ca="1">IF(D32="总价",G19-C24,G20-C25)</f>
        <v>6958</v>
      </c>
      <c r="D32" s="2452" t="s">
        <v>2157</v>
      </c>
      <c r="E32" s="138"/>
      <c r="F32" s="138"/>
      <c r="G32" s="138"/>
      <c r="H32" s="138"/>
      <c r="I32" s="138"/>
    </row>
    <row r="33" spans="1:15" ht="15">
      <c r="A33" s="960" t="s">
        <v>2158</v>
      </c>
      <c r="B33" s="2453"/>
      <c r="C33" s="2454"/>
      <c r="D33" s="2455"/>
      <c r="E33" s="2456" t="s">
        <v>2159</v>
      </c>
      <c r="F33" s="2457" t="str">
        <f>IF(D32="楼面单价","取值（单价）","取值（总价）")</f>
        <v>取值（总价）</v>
      </c>
      <c r="G33" s="138"/>
      <c r="H33" s="138"/>
      <c r="I33" s="138"/>
    </row>
    <row r="34" spans="1:15" ht="15">
      <c r="A34" s="2458"/>
      <c r="B34" s="2459" t="s">
        <v>2160</v>
      </c>
      <c r="C34" s="158" t="e">
        <f ca="1">IF(C33="自定义",F34,C32-C35)</f>
        <v>#REF!</v>
      </c>
      <c r="D34" s="1058" t="e">
        <f ca="1">IF(C33="自定义",ROUND(C34/C32,3),IF(C33="收益比率",SUMIF(INDIRECT("'"&amp;D33&amp;"'"&amp;"!b:b"),"土地收益比率",INDIRECT("'"&amp;D33&amp;"'"&amp;"!c:c")),SUMIF(INDIRECT("'"&amp;D33&amp;"'"&amp;"!b:b"),"土地成本比率",INDIRECT("'"&amp;D33&amp;"'"&amp;"!c:c"))))</f>
        <v>#REF!</v>
      </c>
      <c r="E34" s="2460" t="s">
        <v>2161</v>
      </c>
      <c r="F34" s="1740"/>
      <c r="G34" s="138"/>
      <c r="H34" s="138"/>
      <c r="I34" s="138"/>
    </row>
    <row r="35" spans="1:15" ht="15.75" thickBot="1">
      <c r="A35" s="2461"/>
      <c r="B35" s="2462" t="s">
        <v>2162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3" t="s">
        <v>2163</v>
      </c>
      <c r="F35" s="164"/>
      <c r="G35" s="138"/>
      <c r="H35" s="138"/>
      <c r="I35" s="138"/>
    </row>
    <row r="36" spans="1:15" ht="15.75" thickBot="1">
      <c r="A36" s="3110" t="s">
        <v>2164</v>
      </c>
      <c r="B36" s="2464" t="s">
        <v>2165</v>
      </c>
      <c r="C36" s="155"/>
      <c r="D36" s="2465"/>
      <c r="E36" s="2466"/>
      <c r="F36" s="2467"/>
      <c r="G36" s="138"/>
      <c r="H36" s="138"/>
      <c r="I36" s="138"/>
    </row>
    <row r="37" spans="1:15" ht="15.75" thickBot="1">
      <c r="A37" s="3111"/>
      <c r="B37" s="2269" t="s">
        <v>2166</v>
      </c>
      <c r="C37" s="157"/>
      <c r="D37" s="1395"/>
      <c r="E37" s="1395"/>
      <c r="F37" s="2467"/>
      <c r="G37" s="138"/>
      <c r="H37" s="138"/>
      <c r="I37" s="138"/>
    </row>
    <row r="38" spans="1:15" ht="15.75" thickBot="1">
      <c r="A38" s="3112"/>
      <c r="B38" s="2468" t="s">
        <v>2167</v>
      </c>
      <c r="C38" s="727"/>
      <c r="D38" s="2469" t="s">
        <v>2168</v>
      </c>
      <c r="E38" s="1395"/>
      <c r="F38" s="2467"/>
      <c r="G38" s="138"/>
      <c r="H38" s="138"/>
      <c r="I38" s="138"/>
    </row>
    <row r="39" spans="1:15" ht="15">
      <c r="A39" s="2440" t="s">
        <v>2169</v>
      </c>
      <c r="B39" s="2470" t="s">
        <v>2170</v>
      </c>
      <c r="C39" s="2471" t="s">
        <v>2171</v>
      </c>
      <c r="D39" s="2471" t="s">
        <v>2172</v>
      </c>
      <c r="E39" s="2472" t="s">
        <v>2173</v>
      </c>
      <c r="F39" s="2467"/>
      <c r="G39" s="138"/>
      <c r="H39" s="138"/>
      <c r="I39" s="138"/>
    </row>
    <row r="40" spans="1:15" ht="14.25">
      <c r="A40" s="2473" t="s">
        <v>2174</v>
      </c>
      <c r="B40" s="159"/>
      <c r="C40" s="160"/>
      <c r="D40" s="160"/>
      <c r="E40" s="161"/>
      <c r="F40" s="2467"/>
      <c r="G40" s="138"/>
      <c r="H40" s="138"/>
      <c r="I40" s="138"/>
    </row>
    <row r="41" spans="1:15" ht="14.25">
      <c r="A41" s="2473" t="s">
        <v>2175</v>
      </c>
      <c r="B41" s="159"/>
      <c r="C41" s="160"/>
      <c r="D41" s="160"/>
      <c r="E41" s="161"/>
      <c r="F41" s="2467"/>
      <c r="G41" s="138"/>
      <c r="H41" s="138"/>
      <c r="I41" s="138"/>
    </row>
    <row r="42" spans="1:15" ht="15" thickBot="1">
      <c r="A42" s="2474"/>
      <c r="B42" s="162"/>
      <c r="C42" s="163"/>
      <c r="D42" s="163"/>
      <c r="E42" s="164"/>
      <c r="F42" s="2467"/>
      <c r="G42" s="138"/>
      <c r="H42" s="138"/>
      <c r="I42" s="138"/>
    </row>
    <row r="43" spans="1:15" ht="12.75">
      <c r="A43" s="2167"/>
      <c r="B43" s="2167"/>
      <c r="C43" s="2167"/>
      <c r="D43" s="2167"/>
      <c r="E43" s="2167"/>
      <c r="F43" s="2475"/>
      <c r="G43" s="2475"/>
      <c r="H43" s="2475"/>
      <c r="I43" s="2476"/>
    </row>
    <row r="44" spans="1:15" ht="18.75" hidden="1">
      <c r="A44" s="2477" t="s">
        <v>2176</v>
      </c>
      <c r="B44" s="2478"/>
      <c r="C44" s="2478"/>
      <c r="D44" s="2479"/>
      <c r="E44" s="2479"/>
      <c r="F44" s="2480"/>
      <c r="G44" s="2480"/>
      <c r="H44" s="2480"/>
      <c r="I44" s="2480"/>
      <c r="J44" s="2481" t="s">
        <v>2177</v>
      </c>
      <c r="K44" s="2482"/>
      <c r="L44" s="2482"/>
      <c r="M44" s="2482"/>
      <c r="N44" s="2482"/>
      <c r="O44" s="2482"/>
    </row>
    <row r="45" spans="1:15" ht="14.25" hidden="1" customHeight="1" thickBot="1">
      <c r="A45" s="3127" t="s">
        <v>2178</v>
      </c>
      <c r="B45" s="3128"/>
      <c r="C45" s="3129"/>
      <c r="D45" s="165">
        <f ca="1">ROUND(H101*F45,0)</f>
        <v>6958</v>
      </c>
      <c r="E45" s="166" t="s">
        <v>2179</v>
      </c>
      <c r="F45" s="167">
        <v>1</v>
      </c>
      <c r="G45" s="168" t="s">
        <v>2180</v>
      </c>
      <c r="H45" s="138"/>
      <c r="I45" s="138"/>
      <c r="J45" s="3046" t="s">
        <v>2181</v>
      </c>
      <c r="K45" s="3046"/>
      <c r="L45" s="3046"/>
      <c r="M45" s="3046"/>
      <c r="N45" s="3046"/>
      <c r="O45" s="3046"/>
    </row>
    <row r="46" spans="1:15" ht="14.25" hidden="1" customHeight="1">
      <c r="A46" s="3124" t="s">
        <v>2182</v>
      </c>
      <c r="B46" s="3125"/>
      <c r="C46" s="3125"/>
      <c r="D46" s="3125"/>
      <c r="E46" s="3125"/>
      <c r="F46" s="3125"/>
      <c r="G46" s="3126"/>
      <c r="H46" s="2483"/>
      <c r="I46" s="169"/>
      <c r="J46" s="1813">
        <v>1</v>
      </c>
      <c r="K46" s="3046" t="s">
        <v>2183</v>
      </c>
      <c r="L46" s="3046"/>
      <c r="M46" s="3047"/>
      <c r="N46" s="3047"/>
      <c r="O46" s="3047"/>
    </row>
    <row r="47" spans="1:15" ht="12" hidden="1" customHeight="1">
      <c r="A47" s="170" t="s">
        <v>2184</v>
      </c>
      <c r="B47" s="171"/>
      <c r="C47" s="172"/>
      <c r="D47" s="173" t="s">
        <v>2185</v>
      </c>
      <c r="E47" s="24" t="s">
        <v>2186</v>
      </c>
      <c r="F47" s="174" t="s">
        <v>2187</v>
      </c>
      <c r="G47" s="175" t="s">
        <v>2188</v>
      </c>
      <c r="H47" s="2483"/>
      <c r="I47" s="169"/>
      <c r="J47" s="1813">
        <v>2</v>
      </c>
      <c r="K47" s="3046" t="s">
        <v>2189</v>
      </c>
      <c r="L47" s="3046"/>
      <c r="M47" s="3048">
        <f>'数据-取费表'!B2</f>
        <v>43040</v>
      </c>
      <c r="N47" s="3048"/>
      <c r="O47" s="3048"/>
    </row>
    <row r="48" spans="1:15" ht="25.5" hidden="1">
      <c r="A48" s="3114" t="s">
        <v>2190</v>
      </c>
      <c r="B48" s="3115"/>
      <c r="C48" s="3115"/>
      <c r="D48" s="140">
        <f>IF(H48="情况1",0,IF(H48="情况2",D52,IF(H48="情况3",D53,IF(H48="情况4",D54))))</f>
        <v>0</v>
      </c>
      <c r="E48" s="1802" t="str">
        <f>IF(H48="情况4","(销售额-原购置价)×税（费）率","销售额×税（费）率")</f>
        <v>销售额×税（费）率</v>
      </c>
      <c r="F48" s="176" t="str">
        <f>IF(H48="情况1","免征",'数据-取费表'!B41)</f>
        <v>免征</v>
      </c>
      <c r="G48" s="2484" t="s">
        <v>2191</v>
      </c>
      <c r="H48" s="2485" t="s">
        <v>2192</v>
      </c>
      <c r="I48" s="2483"/>
      <c r="J48" s="1813">
        <v>3</v>
      </c>
      <c r="K48" s="3046" t="s">
        <v>2193</v>
      </c>
      <c r="L48" s="3046"/>
      <c r="M48" s="3049">
        <f ca="1">H101</f>
        <v>6958</v>
      </c>
      <c r="N48" s="3049"/>
      <c r="O48" s="3049"/>
    </row>
    <row r="49" spans="1:35" ht="25.5" hidden="1" customHeight="1">
      <c r="A49" s="177" t="s">
        <v>2194</v>
      </c>
      <c r="B49" s="3094" t="s">
        <v>2195</v>
      </c>
      <c r="C49" s="3094"/>
      <c r="D49" s="178">
        <v>0</v>
      </c>
      <c r="E49" s="23" t="s">
        <v>2196</v>
      </c>
      <c r="F49" s="28" t="s">
        <v>34</v>
      </c>
      <c r="G49" s="3075"/>
      <c r="H49" s="138"/>
      <c r="I49" s="2486"/>
      <c r="J49" s="1813">
        <v>4</v>
      </c>
      <c r="K49" s="3046" t="str">
        <f>IF(项目基本情况!E8="房地产抵押价值","房地产抵押价值","抵押担保权已注销时的房地产抵押价值")</f>
        <v>房地产抵押价值</v>
      </c>
      <c r="L49" s="3046"/>
      <c r="M49" s="3049">
        <f ca="1">IF(项目基本情况!E8="房地产抵押价值",H107,H109)</f>
        <v>6958</v>
      </c>
      <c r="N49" s="3049"/>
      <c r="O49" s="3049"/>
    </row>
    <row r="50" spans="1:35" ht="25.5" hidden="1" customHeight="1">
      <c r="A50" s="179"/>
      <c r="B50" s="3094" t="s">
        <v>2197</v>
      </c>
      <c r="C50" s="3094"/>
      <c r="D50" s="180"/>
      <c r="E50" s="31"/>
      <c r="F50" s="181"/>
      <c r="G50" s="3076"/>
      <c r="H50" s="138"/>
      <c r="I50" s="2486"/>
      <c r="J50" s="3046" t="s">
        <v>2198</v>
      </c>
      <c r="K50" s="3046"/>
      <c r="L50" s="3046"/>
      <c r="M50" s="3046"/>
      <c r="N50" s="3046"/>
      <c r="O50" s="3046"/>
    </row>
    <row r="51" spans="1:35" ht="12" hidden="1" customHeight="1">
      <c r="A51" s="182"/>
      <c r="B51" s="3094" t="s">
        <v>2199</v>
      </c>
      <c r="C51" s="3094"/>
      <c r="D51" s="183"/>
      <c r="E51" s="30"/>
      <c r="F51" s="181"/>
      <c r="G51" s="3077"/>
      <c r="H51" s="138"/>
      <c r="I51" s="2486"/>
      <c r="J51" s="2487" t="s">
        <v>2200</v>
      </c>
      <c r="K51" s="3046" t="s">
        <v>2201</v>
      </c>
      <c r="L51" s="3046"/>
      <c r="M51" s="2487" t="s">
        <v>2202</v>
      </c>
      <c r="N51" s="2487" t="s">
        <v>2203</v>
      </c>
      <c r="O51" s="2487" t="s">
        <v>2204</v>
      </c>
    </row>
    <row r="52" spans="1:35" ht="24" hidden="1" customHeight="1">
      <c r="A52" s="184" t="s">
        <v>2205</v>
      </c>
      <c r="B52" s="3094" t="s">
        <v>2206</v>
      </c>
      <c r="C52" s="3094"/>
      <c r="D52" s="183">
        <f ca="1">ROUND(D45*'数据-取费表'!B41/(1+'数据-取费表'!C42),0)</f>
        <v>371</v>
      </c>
      <c r="E52" s="11" t="s">
        <v>2207</v>
      </c>
      <c r="F52" s="185">
        <f>'数据-取费表'!B41</f>
        <v>5.6000000000000001E-2</v>
      </c>
      <c r="G52" s="2488"/>
      <c r="H52" s="138"/>
      <c r="I52" s="2486"/>
      <c r="J52" s="1813">
        <v>1</v>
      </c>
      <c r="K52" s="3069" t="s">
        <v>2208</v>
      </c>
      <c r="L52" s="3069"/>
      <c r="M52" s="1755">
        <f>D48</f>
        <v>0</v>
      </c>
      <c r="N52" s="1813" t="str">
        <f>E48</f>
        <v>销售额×税（费）率</v>
      </c>
      <c r="O52" s="1756" t="str">
        <f>F48</f>
        <v>免征</v>
      </c>
    </row>
    <row r="53" spans="1:35" ht="12" hidden="1" customHeight="1">
      <c r="A53" s="184" t="s">
        <v>2209</v>
      </c>
      <c r="B53" s="3095" t="s">
        <v>2210</v>
      </c>
      <c r="C53" s="3096"/>
      <c r="D53" s="183">
        <f ca="1">ROUND(D45*'数据-取费表'!B41/(1+'数据-取费表'!C42),0)</f>
        <v>371</v>
      </c>
      <c r="E53" s="11" t="s">
        <v>2207</v>
      </c>
      <c r="F53" s="185">
        <f>'数据-取费表'!B41</f>
        <v>5.6000000000000001E-2</v>
      </c>
      <c r="G53" s="2488"/>
      <c r="H53" s="138"/>
      <c r="I53" s="2486"/>
      <c r="J53" s="1813">
        <v>2</v>
      </c>
      <c r="K53" s="3069" t="s">
        <v>2211</v>
      </c>
      <c r="L53" s="3069"/>
      <c r="M53" s="1755">
        <f t="shared" ref="M53:O54" ca="1" si="0">D55</f>
        <v>3</v>
      </c>
      <c r="N53" s="1813" t="str">
        <f t="shared" si="0"/>
        <v>销售额×税（费）率</v>
      </c>
      <c r="O53" s="1756">
        <f t="shared" si="0"/>
        <v>5.0000000000000001E-4</v>
      </c>
    </row>
    <row r="54" spans="1:35" ht="12" hidden="1" customHeight="1">
      <c r="A54" s="184" t="s">
        <v>2212</v>
      </c>
      <c r="B54" s="3095" t="s">
        <v>2213</v>
      </c>
      <c r="C54" s="3096"/>
      <c r="D54" s="183">
        <f ca="1">C68</f>
        <v>371</v>
      </c>
      <c r="E54" s="30" t="s">
        <v>2214</v>
      </c>
      <c r="F54" s="185">
        <f>'数据-取费表'!B41</f>
        <v>5.6000000000000001E-2</v>
      </c>
      <c r="G54" s="2488"/>
      <c r="H54" s="2489"/>
      <c r="I54" s="2486"/>
      <c r="J54" s="1813">
        <v>3</v>
      </c>
      <c r="K54" s="3069" t="s">
        <v>2215</v>
      </c>
      <c r="L54" s="3069"/>
      <c r="M54" s="1755">
        <f t="shared" ca="1" si="0"/>
        <v>3938</v>
      </c>
      <c r="N54" s="1813" t="str">
        <f t="shared" si="0"/>
        <v>增值额×税（费）率</v>
      </c>
      <c r="O54" s="1757" t="str">
        <f t="shared" si="0"/>
        <v>——</v>
      </c>
    </row>
    <row r="55" spans="1:35" ht="24" hidden="1" customHeight="1">
      <c r="A55" s="3133" t="s">
        <v>2216</v>
      </c>
      <c r="B55" s="3115"/>
      <c r="C55" s="3115"/>
      <c r="D55" s="186">
        <f ca="1">IF(H55="个人住宅",0,ROUND(D45*I55,0))</f>
        <v>3</v>
      </c>
      <c r="E55" s="11" t="s">
        <v>2217</v>
      </c>
      <c r="F55" s="185">
        <f>IF(H55="正常",I55,"免征")</f>
        <v>5.0000000000000001E-4</v>
      </c>
      <c r="G55" s="2488"/>
      <c r="H55" s="2485" t="s">
        <v>2218</v>
      </c>
      <c r="I55" s="187">
        <f>'数据-取费表'!B49</f>
        <v>5.0000000000000001E-4</v>
      </c>
      <c r="J55" s="1813" t="str">
        <f>IF(H59="非个人房产","",4)</f>
        <v/>
      </c>
      <c r="K55" s="3069" t="str">
        <f>IF(H59="非个人房产","——","个人所得税")</f>
        <v>——</v>
      </c>
      <c r="L55" s="3069"/>
      <c r="M55" s="1758" t="str">
        <f>D59</f>
        <v>——</v>
      </c>
      <c r="N55" s="1811" t="str">
        <f>E59</f>
        <v>——</v>
      </c>
      <c r="O55" s="1759" t="str">
        <f>F59</f>
        <v>——</v>
      </c>
    </row>
    <row r="56" spans="1:35" ht="24.75" hidden="1">
      <c r="A56" s="3133" t="s">
        <v>2219</v>
      </c>
      <c r="B56" s="3115"/>
      <c r="C56" s="3115"/>
      <c r="D56" s="186">
        <f ca="1">IF(H56="个人住宅",D57,D58)</f>
        <v>3938</v>
      </c>
      <c r="E56" s="11" t="s">
        <v>2220</v>
      </c>
      <c r="F56" s="185" t="str">
        <f>IF(H56="正常",F58,"免征")</f>
        <v>——</v>
      </c>
      <c r="G56" s="2490" t="s">
        <v>2221</v>
      </c>
      <c r="H56" s="2491" t="s">
        <v>2218</v>
      </c>
      <c r="I56" s="2492"/>
      <c r="J56" s="1813" t="str">
        <f>IF(项目基本情况!K6="上海银行",IF(J55="",4,J55+1),"")</f>
        <v/>
      </c>
      <c r="K56" s="3052" t="str">
        <f>IF(项目基本情况!K6="上海银行","其他处置费用","")</f>
        <v/>
      </c>
      <c r="L56" s="3053"/>
      <c r="M56" s="1755" t="str">
        <f>IF(项目基本情况!K6="上海银行",M69,"")</f>
        <v/>
      </c>
      <c r="N56" s="3055" t="str">
        <f>IF(项目基本情况!K6="上海银行","包含处置中涉及的律师、诉讼、拍卖、评估等费用","")</f>
        <v/>
      </c>
      <c r="O56" s="3056"/>
    </row>
    <row r="57" spans="1:35" ht="12.75" hidden="1">
      <c r="A57" s="184" t="s">
        <v>2194</v>
      </c>
      <c r="B57" s="3100" t="s">
        <v>2222</v>
      </c>
      <c r="C57" s="3101"/>
      <c r="D57" s="188">
        <v>0</v>
      </c>
      <c r="E57" s="23" t="s">
        <v>2196</v>
      </c>
      <c r="F57" s="156"/>
      <c r="G57" s="2488"/>
      <c r="H57" s="2492"/>
      <c r="I57" s="2492"/>
      <c r="J57" s="3069">
        <f>IF(AND(J55="",J56=""),4,IF(项目基本情况!K6="上海银行",结果表!J56+1,结果表!J55+1))</f>
        <v>4</v>
      </c>
      <c r="K57" s="3069" t="s">
        <v>2223</v>
      </c>
      <c r="L57" s="2493" t="s">
        <v>2224</v>
      </c>
      <c r="M57" s="1760"/>
      <c r="N57" s="1761">
        <f ca="1">SUMIF(M52:M56,"&lt;9e307")</f>
        <v>3941</v>
      </c>
      <c r="O57" s="2494"/>
      <c r="P57" s="1754">
        <f ca="1">N57/M49</f>
        <v>0.5663983903420523</v>
      </c>
    </row>
    <row r="58" spans="1:35" ht="24.75" hidden="1">
      <c r="A58" s="184" t="s">
        <v>2205</v>
      </c>
      <c r="B58" s="3100" t="s">
        <v>2225</v>
      </c>
      <c r="C58" s="3113"/>
      <c r="D58" s="186">
        <f ca="1">IF(H58="转让取得",C81,C97)</f>
        <v>3938</v>
      </c>
      <c r="E58" s="11" t="s">
        <v>2220</v>
      </c>
      <c r="F58" s="24" t="s">
        <v>34</v>
      </c>
      <c r="G58" s="2488"/>
      <c r="H58" s="2491" t="s">
        <v>2226</v>
      </c>
      <c r="I58" s="2492"/>
      <c r="J58" s="3069"/>
      <c r="K58" s="3069"/>
      <c r="L58" s="2493" t="s">
        <v>2227</v>
      </c>
      <c r="M58" s="1762"/>
      <c r="N58" s="2495" t="str">
        <f ca="1">NUMBERSTRING(INT(N57*10000),2)&amp;"元整"</f>
        <v>叁仟玖佰肆拾壹万元整</v>
      </c>
      <c r="O58" s="2496"/>
    </row>
    <row r="59" spans="1:35" ht="24.75" hidden="1" thickBot="1">
      <c r="A59" s="3073" t="s">
        <v>2228</v>
      </c>
      <c r="B59" s="3074"/>
      <c r="C59" s="3074"/>
      <c r="D59" s="189" t="str">
        <f>IF(H59="非个人房产","——",IF(H59="个人住宅",0,ROUND(D45*I59,0)))</f>
        <v>——</v>
      </c>
      <c r="E59" s="190" t="str">
        <f>IF(H59="非个人房产","——","销售额×税（费）率")</f>
        <v>——</v>
      </c>
      <c r="F59" s="191" t="str">
        <f>IF(H59="非个人房产","——",IF(H59="个人住宅","免征",I59))</f>
        <v>——</v>
      </c>
      <c r="G59" s="2497" t="s">
        <v>2221</v>
      </c>
      <c r="H59" s="2491" t="s">
        <v>2229</v>
      </c>
      <c r="I59" s="192">
        <v>0.01</v>
      </c>
      <c r="J59" s="3071">
        <f>J57+1</f>
        <v>5</v>
      </c>
      <c r="K59" s="3069" t="s">
        <v>2230</v>
      </c>
      <c r="L59" s="1813" t="s">
        <v>2224</v>
      </c>
      <c r="M59" s="1763"/>
      <c r="N59" s="1764">
        <f ca="1">M49-N57</f>
        <v>3017</v>
      </c>
      <c r="O59" s="2498"/>
    </row>
    <row r="60" spans="1:35" ht="12" hidden="1" customHeight="1">
      <c r="A60" s="2499"/>
      <c r="B60" s="2421"/>
      <c r="C60" s="2421"/>
      <c r="D60" s="2421"/>
      <c r="E60" s="2168"/>
      <c r="F60" s="2492"/>
      <c r="G60" s="2492"/>
      <c r="H60" s="2500"/>
      <c r="I60" s="138"/>
      <c r="J60" s="3072"/>
      <c r="K60" s="3069"/>
      <c r="L60" s="2493" t="s">
        <v>2227</v>
      </c>
      <c r="M60" s="1762"/>
      <c r="N60" s="2495" t="str">
        <f ca="1">NUMBERSTRING(INT(N59*10000),2)&amp;"元整"</f>
        <v>叁仟零壹拾柒万元整</v>
      </c>
      <c r="O60" s="2496"/>
    </row>
    <row r="61" spans="1:35" ht="13.5" hidden="1" thickBot="1">
      <c r="A61" s="3132" t="s">
        <v>2231</v>
      </c>
      <c r="B61" s="3132"/>
      <c r="C61" s="3132"/>
      <c r="D61" s="3132"/>
      <c r="E61" s="3132"/>
      <c r="F61" s="2492"/>
      <c r="G61" s="2492"/>
      <c r="H61" s="2500"/>
      <c r="I61" s="138"/>
      <c r="J61" s="1813">
        <f>J59+1</f>
        <v>6</v>
      </c>
      <c r="K61" s="3069" t="s">
        <v>2232</v>
      </c>
      <c r="L61" s="3069"/>
      <c r="M61" s="1765"/>
      <c r="N61" s="1766">
        <f ca="1">ROUND(N59*10000/'数据-汇总表'!E3,0)</f>
        <v>13112</v>
      </c>
      <c r="O61" s="2501"/>
    </row>
    <row r="62" spans="1:35" ht="12.75" hidden="1">
      <c r="A62" s="3089" t="s">
        <v>2233</v>
      </c>
      <c r="B62" s="3090"/>
      <c r="C62" s="1805"/>
      <c r="D62" s="1805" t="s">
        <v>2234</v>
      </c>
      <c r="E62" s="193" t="s">
        <v>2235</v>
      </c>
      <c r="F62" s="2492"/>
      <c r="G62" s="2492"/>
      <c r="H62" s="2500"/>
      <c r="I62" s="138"/>
    </row>
    <row r="63" spans="1:35" ht="12.75" hidden="1">
      <c r="A63" s="204" t="s">
        <v>775</v>
      </c>
      <c r="B63" s="194" t="s">
        <v>2236</v>
      </c>
      <c r="C63" s="195">
        <f ca="1">ROUND((C64+C65)/(1+'数据-取费表'!C42),0)</f>
        <v>6627</v>
      </c>
      <c r="D63" s="196"/>
      <c r="E63" s="197"/>
      <c r="F63" s="2492"/>
      <c r="G63" s="2492"/>
      <c r="H63" s="2500"/>
      <c r="I63" s="138"/>
      <c r="J63" s="3054" t="s">
        <v>2237</v>
      </c>
      <c r="K63" s="2502" t="s">
        <v>2238</v>
      </c>
      <c r="L63" s="1753">
        <f ca="1">IF(M49&gt;10000,M49*0.5%,IF(AND(M49&gt;1000,M49&lt;=10000),M49*1%,IF(AND(M49&gt;100,M49&lt;=1000),M49*3%,IF(AND(M49&gt;10,M49&lt;=100),M49*5%,M49*8%))))</f>
        <v>69.58</v>
      </c>
      <c r="M63" s="24">
        <f ca="1">ROUND(L63,1)</f>
        <v>69.599999999999994</v>
      </c>
      <c r="Z63" s="2426"/>
      <c r="AI63" s="2427"/>
    </row>
    <row r="64" spans="1:35" ht="14.25" hidden="1" customHeight="1">
      <c r="A64" s="198" t="s">
        <v>770</v>
      </c>
      <c r="B64" s="199" t="s">
        <v>2239</v>
      </c>
      <c r="C64" s="200">
        <f ca="1">D45</f>
        <v>6958</v>
      </c>
      <c r="D64" s="201" t="s">
        <v>32</v>
      </c>
      <c r="E64" s="202"/>
      <c r="F64" s="2492"/>
      <c r="G64" s="2492"/>
      <c r="H64" s="2500"/>
      <c r="I64" s="138"/>
      <c r="J64" s="3054"/>
      <c r="K64" s="2502" t="s">
        <v>2240</v>
      </c>
      <c r="L64" s="1753">
        <f ca="1">IF(M49&gt;2000,M49*0.5%,IF(AND(M49&gt;1000,M49&lt;=2000),M49*0.6%,IF(AND(M49&gt;500,M49&lt;=1000),M49*0.7%,IF(AND(M49&gt;200,M49&lt;=500),M49*0.8%,IF(AND(M49&gt;100,M49&lt;=200),M49*0.9%,IF(AND(M49&gt;50,M49&lt;=100),M49*1%,IF(AND(M49&gt;20,M49&lt;=50),M49*1.5%,IF(AND(M49&gt;10,M49&lt;=20),M49*2%,IF(AND(M49&gt;1,M49&lt;=10),M49*2.5%)))))))))</f>
        <v>34.79</v>
      </c>
      <c r="M64" s="24">
        <f t="shared" ref="M64:M65" ca="1" si="1">ROUND(L64,1)</f>
        <v>34.799999999999997</v>
      </c>
      <c r="N64" s="138" t="s">
        <v>2241</v>
      </c>
      <c r="Z64" s="2426"/>
      <c r="AI64" s="2427"/>
    </row>
    <row r="65" spans="1:35" ht="14.25" hidden="1" customHeight="1">
      <c r="A65" s="198" t="s">
        <v>771</v>
      </c>
      <c r="B65" s="199" t="s">
        <v>2242</v>
      </c>
      <c r="C65" s="203"/>
      <c r="D65" s="201"/>
      <c r="E65" s="202"/>
      <c r="F65" s="2492"/>
      <c r="G65" s="2492"/>
      <c r="H65" s="2500"/>
      <c r="I65" s="138"/>
      <c r="J65" s="3054"/>
      <c r="K65" s="2502" t="s">
        <v>2243</v>
      </c>
      <c r="L65" s="1753">
        <f ca="1">IF(M49&gt;1000,M49*0.1%,IF(AND(M49&gt;500,M49&lt;=1000),M49*0.5%,IF(AND(M49&gt;50,M49&lt;=500),M49*1%,IF(AND(M49&gt;1,M49&lt;=50),M49*1.5%))))</f>
        <v>6.9580000000000002</v>
      </c>
      <c r="M65" s="24">
        <f t="shared" ca="1" si="1"/>
        <v>7</v>
      </c>
      <c r="N65" s="138" t="s">
        <v>2241</v>
      </c>
      <c r="Z65" s="2426"/>
      <c r="AI65" s="2427"/>
    </row>
    <row r="66" spans="1:35" ht="14.25" hidden="1" customHeight="1">
      <c r="A66" s="204" t="s">
        <v>772</v>
      </c>
      <c r="B66" s="205" t="s">
        <v>2244</v>
      </c>
      <c r="C66" s="206"/>
      <c r="D66" s="207" t="s">
        <v>32</v>
      </c>
      <c r="E66" s="1777" t="s">
        <v>1372</v>
      </c>
      <c r="F66" s="2492"/>
      <c r="G66" s="2492"/>
      <c r="H66" s="2500"/>
      <c r="I66" s="138"/>
      <c r="J66" s="3054"/>
      <c r="K66" s="2502" t="s">
        <v>2245</v>
      </c>
      <c r="L66" s="1753">
        <f ca="1">M49*0.5%</f>
        <v>34.79</v>
      </c>
      <c r="M66" s="24">
        <f ca="1">IF(L66&gt;0.5,0.5,ROUND(L66,0))</f>
        <v>0.5</v>
      </c>
      <c r="N66" s="138" t="s">
        <v>2246</v>
      </c>
      <c r="Z66" s="2426"/>
      <c r="AI66" s="2427"/>
    </row>
    <row r="67" spans="1:35" ht="14.25" hidden="1" customHeight="1">
      <c r="A67" s="204" t="s">
        <v>773</v>
      </c>
      <c r="B67" s="205" t="s">
        <v>2247</v>
      </c>
      <c r="C67" s="208">
        <f ca="1">C63-C66</f>
        <v>6627</v>
      </c>
      <c r="D67" s="201" t="s">
        <v>32</v>
      </c>
      <c r="E67" s="202"/>
      <c r="F67" s="2492"/>
      <c r="G67" s="2492"/>
      <c r="H67" s="2500"/>
      <c r="I67" s="138"/>
      <c r="J67" s="3054"/>
      <c r="K67" s="2502" t="s">
        <v>2248</v>
      </c>
      <c r="L67" s="1753">
        <f ca="1">IF(M49&gt;=10000,(8.25+(M49-10000)*0.01%),IF(AND(M49&gt;=8000,M49&lt;10000),(7.85+(M49-8000)*0.02%),IF(AND(M49&gt;=5000,M49&lt;8000),(6.65+(M49-5000)*0.04%),IF(AND(M49&gt;=2000,M49&lt;5000),(4.25+(PM49-2000)*0.08%),IF(AND(M49&gt;=1000,M49&lt;2000),(2.75+(M49-1000)*0.15%),IF(AND(M49&gt;=100,M49&lt;1000),(0.5+(M49-100)*0.25%),IF(AND(M49&gt;0,M49&lt;100),M49*0.5%)))))))</f>
        <v>7.4332000000000003</v>
      </c>
      <c r="M67" s="24">
        <f ca="1">ROUND(L67*0.9,1)</f>
        <v>6.7</v>
      </c>
      <c r="Z67" s="2426"/>
      <c r="AI67" s="2427"/>
    </row>
    <row r="68" spans="1:35" ht="14.25" hidden="1" customHeight="1" thickBot="1">
      <c r="A68" s="209" t="s">
        <v>774</v>
      </c>
      <c r="B68" s="210" t="s">
        <v>2249</v>
      </c>
      <c r="C68" s="211">
        <f ca="1">IF(C67&lt;=0,0,ROUND(C67*D68,0))</f>
        <v>371</v>
      </c>
      <c r="D68" s="212">
        <f>'数据-取费表'!B41</f>
        <v>5.6000000000000001E-2</v>
      </c>
      <c r="E68" s="213"/>
      <c r="F68" s="2492"/>
      <c r="G68" s="2492"/>
      <c r="H68" s="2500"/>
      <c r="I68" s="138"/>
      <c r="J68" s="3054"/>
      <c r="K68" s="2502" t="s">
        <v>2250</v>
      </c>
      <c r="L68" s="1753">
        <f ca="1">IF(M49&gt;10000,M49*0.5%,IF(AND(M49&gt;5000,M49&lt;=10000),M49*1%,IF(AND(M49&gt;1000,M49&lt;=5000),M49*2%,IF(AND(M49&gt;200,M49&lt;=1000),M49*3%,M49*5%))))</f>
        <v>69.58</v>
      </c>
      <c r="M68" s="24">
        <f ca="1">ROUND(L68,1)</f>
        <v>69.599999999999994</v>
      </c>
      <c r="Z68" s="2426"/>
      <c r="AI68" s="2427"/>
    </row>
    <row r="69" spans="1:35" s="2449" customFormat="1" ht="16.5" hidden="1" customHeight="1">
      <c r="A69" s="2503"/>
      <c r="B69" s="2504"/>
      <c r="C69" s="2505"/>
      <c r="D69" s="2506"/>
      <c r="E69" s="2507"/>
      <c r="F69" s="2168"/>
      <c r="G69" s="2168"/>
      <c r="H69" s="2167"/>
      <c r="I69" s="2421"/>
      <c r="J69" s="3054"/>
      <c r="K69" s="2502" t="s">
        <v>2251</v>
      </c>
      <c r="L69" s="2508"/>
      <c r="M69" s="24">
        <f ca="1">ROUND(SUM(M63:M68),0)</f>
        <v>188</v>
      </c>
      <c r="N69" s="1754">
        <f ca="1">M69/M49</f>
        <v>2.7019258407588388E-2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hidden="1" thickBot="1">
      <c r="A70" s="3098" t="s">
        <v>2252</v>
      </c>
      <c r="B70" s="3099"/>
      <c r="C70" s="3099"/>
      <c r="D70" s="3099"/>
      <c r="E70" s="3099"/>
      <c r="F70" s="3099"/>
      <c r="G70" s="3099"/>
      <c r="H70" s="3099"/>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hidden="1">
      <c r="A71" s="3089" t="s">
        <v>2233</v>
      </c>
      <c r="B71" s="3090"/>
      <c r="C71" s="1805"/>
      <c r="D71" s="1805" t="s">
        <v>2234</v>
      </c>
      <c r="E71" s="214" t="s">
        <v>2235</v>
      </c>
      <c r="F71" s="215"/>
      <c r="G71" s="215"/>
      <c r="H71" s="216"/>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hidden="1">
      <c r="A72" s="204" t="s">
        <v>775</v>
      </c>
      <c r="B72" s="205" t="s">
        <v>2253</v>
      </c>
      <c r="C72" s="208">
        <f ca="1">ROUND(D45/(1+'数据-取费表'!C42),0)</f>
        <v>6627</v>
      </c>
      <c r="D72" s="201" t="s">
        <v>32</v>
      </c>
      <c r="E72" s="1804"/>
      <c r="F72" s="1798"/>
      <c r="G72" s="1798"/>
      <c r="H72" s="217"/>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hidden="1">
      <c r="A73" s="204" t="s">
        <v>772</v>
      </c>
      <c r="B73" s="174" t="s">
        <v>2254</v>
      </c>
      <c r="C73" s="208">
        <f ca="1">C74+C78</f>
        <v>40</v>
      </c>
      <c r="D73" s="201" t="s">
        <v>32</v>
      </c>
      <c r="E73" s="1804"/>
      <c r="F73" s="1798"/>
      <c r="G73" s="1798"/>
      <c r="H73" s="217"/>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hidden="1">
      <c r="A74" s="218" t="s">
        <v>770</v>
      </c>
      <c r="B74" s="199" t="s">
        <v>2255</v>
      </c>
      <c r="C74" s="201">
        <f>ROUND(IF(G77="2016年5月1日后购买",C75/(1+'数据-取费表'!C42)+C76+C77,C75+C76+C77),0)</f>
        <v>0</v>
      </c>
      <c r="D74" s="201" t="s">
        <v>32</v>
      </c>
      <c r="E74" s="1804"/>
      <c r="F74" s="1798"/>
      <c r="G74" s="1798"/>
      <c r="H74" s="217"/>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hidden="1">
      <c r="A75" s="218" t="s">
        <v>776</v>
      </c>
      <c r="B75" s="199" t="s">
        <v>2256</v>
      </c>
      <c r="C75" s="219"/>
      <c r="D75" s="201" t="s">
        <v>32</v>
      </c>
      <c r="E75" s="220" t="s">
        <v>2257</v>
      </c>
      <c r="F75" s="2514" t="s">
        <v>2258</v>
      </c>
      <c r="G75" s="220" t="s">
        <v>2259</v>
      </c>
      <c r="H75" s="221"/>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hidden="1" customHeight="1">
      <c r="A76" s="218" t="s">
        <v>777</v>
      </c>
      <c r="B76" s="222" t="s">
        <v>2260</v>
      </c>
      <c r="C76" s="201">
        <f>IF(F75="购房发票",ROUND(C75*H75*D76,0),0)</f>
        <v>0</v>
      </c>
      <c r="D76" s="223">
        <v>0.05</v>
      </c>
      <c r="E76" s="3095" t="s">
        <v>2261</v>
      </c>
      <c r="F76" s="3094"/>
      <c r="G76" s="3094"/>
      <c r="H76" s="3097"/>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hidden="1" customHeight="1">
      <c r="A77" s="218" t="s">
        <v>778</v>
      </c>
      <c r="B77" s="199" t="s">
        <v>2262</v>
      </c>
      <c r="C77" s="201">
        <f>ROUND(IF(G77="个人住宅",0,IF(G77="2016年5月1日前购买",C75*D77,C75*D77/(1+'数据-取费表'!C42))),0)</f>
        <v>0</v>
      </c>
      <c r="D77" s="224">
        <f>'数据-取费表'!B48+'数据-取费表'!B49</f>
        <v>3.0499999999999999E-2</v>
      </c>
      <c r="E77" s="15" t="s">
        <v>2263</v>
      </c>
      <c r="F77" s="225"/>
      <c r="G77" s="2516" t="s">
        <v>2264</v>
      </c>
      <c r="H77" s="1809"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hidden="1" customHeight="1">
      <c r="A78" s="218" t="s">
        <v>771</v>
      </c>
      <c r="B78" s="199" t="s">
        <v>2265</v>
      </c>
      <c r="C78" s="226">
        <f ca="1">ROUND(D45*D78/(1+'数据-取费表'!C42),0)</f>
        <v>40</v>
      </c>
      <c r="D78" s="227">
        <f>'数据-取费表'!B43</f>
        <v>6.000000000000001E-3</v>
      </c>
      <c r="E78" s="3086" t="s">
        <v>2266</v>
      </c>
      <c r="F78" s="3087"/>
      <c r="G78" s="3087"/>
      <c r="H78" s="3088"/>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hidden="1">
      <c r="A79" s="2518" t="s">
        <v>779</v>
      </c>
      <c r="B79" s="205" t="s">
        <v>2267</v>
      </c>
      <c r="C79" s="208">
        <f ca="1">C72-C73</f>
        <v>6587</v>
      </c>
      <c r="D79" s="201" t="s">
        <v>32</v>
      </c>
      <c r="E79" s="1804"/>
      <c r="F79" s="1798"/>
      <c r="G79" s="1798"/>
      <c r="H79" s="217"/>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hidden="1">
      <c r="A80" s="2518" t="s">
        <v>780</v>
      </c>
      <c r="B80" s="205" t="s">
        <v>2268</v>
      </c>
      <c r="C80" s="228">
        <f ca="1">IF(C79&lt;=0,0,C79/C73)</f>
        <v>164.67500000000001</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7"/>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hidden="1" thickBot="1">
      <c r="A81" s="2519" t="s">
        <v>781</v>
      </c>
      <c r="B81" s="210" t="s">
        <v>2269</v>
      </c>
      <c r="C81" s="229">
        <f ca="1">ROUND(IF(C79&lt;=0,0,IF(C80&gt;=200%,C79*60%-C73*35%,IF(C80&gt;=100%,C79*50%-C73*15%,IF(C80&gt;=50%,C79*40%-C73*5%,IF(C80&lt;50%,C79*30%,0))))),0)</f>
        <v>3938</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hidden="1"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hidden="1" thickBot="1">
      <c r="A83" s="3098" t="s">
        <v>2270</v>
      </c>
      <c r="B83" s="3099"/>
      <c r="C83" s="3099"/>
      <c r="D83" s="3099"/>
      <c r="E83" s="3099"/>
      <c r="F83" s="3099"/>
      <c r="G83" s="3099"/>
      <c r="H83" s="3099"/>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hidden="1">
      <c r="A84" s="3089" t="s">
        <v>2233</v>
      </c>
      <c r="B84" s="3090"/>
      <c r="C84" s="1805"/>
      <c r="D84" s="1805" t="s">
        <v>2234</v>
      </c>
      <c r="E84" s="214" t="s">
        <v>2235</v>
      </c>
      <c r="F84" s="215"/>
      <c r="G84" s="215"/>
      <c r="H84" s="234"/>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hidden="1">
      <c r="A85" s="204" t="s">
        <v>775</v>
      </c>
      <c r="B85" s="205" t="s">
        <v>2253</v>
      </c>
      <c r="C85" s="208">
        <f ca="1">ROUND(D45/(1+'数据-取费表'!C42),0)</f>
        <v>6627</v>
      </c>
      <c r="D85" s="201" t="s">
        <v>32</v>
      </c>
      <c r="E85" s="1804"/>
      <c r="F85" s="1798"/>
      <c r="G85" s="1798"/>
      <c r="H85" s="235"/>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hidden="1">
      <c r="A86" s="204" t="s">
        <v>772</v>
      </c>
      <c r="B86" s="174" t="s">
        <v>2254</v>
      </c>
      <c r="C86" s="208">
        <f ca="1">IF(H88="仅含出让金",C87+C90+C91+C92+C93+C94,C87+C91+C92+C93+C94)</f>
        <v>40</v>
      </c>
      <c r="D86" s="236"/>
      <c r="E86" s="1804"/>
      <c r="F86" s="1798"/>
      <c r="G86" s="1798"/>
      <c r="H86" s="235"/>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hidden="1">
      <c r="A87" s="218" t="s">
        <v>770</v>
      </c>
      <c r="B87" s="199" t="s">
        <v>2271</v>
      </c>
      <c r="C87" s="226">
        <f>C88+C89</f>
        <v>0</v>
      </c>
      <c r="D87" s="227"/>
      <c r="E87" s="1800"/>
      <c r="F87" s="1801"/>
      <c r="G87" s="1801"/>
      <c r="H87" s="1803"/>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hidden="1">
      <c r="A88" s="218" t="s">
        <v>776</v>
      </c>
      <c r="B88" s="199" t="s">
        <v>2272</v>
      </c>
      <c r="C88" s="237"/>
      <c r="D88" s="227"/>
      <c r="E88" s="238" t="s">
        <v>2273</v>
      </c>
      <c r="F88" s="1801"/>
      <c r="G88" s="239" t="s">
        <v>2274</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hidden="1">
      <c r="A89" s="218" t="s">
        <v>777</v>
      </c>
      <c r="B89" s="199" t="s">
        <v>2262</v>
      </c>
      <c r="C89" s="226">
        <f>ROUND(C88*D89,0)</f>
        <v>0</v>
      </c>
      <c r="D89" s="227">
        <f>'数据-取费表'!B48+'数据-取费表'!B49</f>
        <v>3.0499999999999999E-2</v>
      </c>
      <c r="E89" s="238" t="s">
        <v>2275</v>
      </c>
      <c r="F89" s="1801"/>
      <c r="G89" s="1801"/>
      <c r="H89" s="1803"/>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hidden="1">
      <c r="A90" s="218" t="s">
        <v>771</v>
      </c>
      <c r="B90" s="199" t="s">
        <v>2276</v>
      </c>
      <c r="C90" s="237"/>
      <c r="D90" s="227"/>
      <c r="E90" s="238" t="str">
        <f>IF(H88="-","土地取得成本中已包含该笔费用"," ")</f>
        <v xml:space="preserve"> </v>
      </c>
      <c r="F90" s="1801"/>
      <c r="G90" s="1801"/>
      <c r="H90" s="1803"/>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hidden="1" customHeight="1">
      <c r="A91" s="218" t="s">
        <v>2277</v>
      </c>
      <c r="B91" s="199" t="s">
        <v>2278</v>
      </c>
      <c r="C91" s="226">
        <f>IF(H91="——",成本法!C33,I91)</f>
        <v>0</v>
      </c>
      <c r="D91" s="227"/>
      <c r="E91" s="3086" t="s">
        <v>2279</v>
      </c>
      <c r="F91" s="3087"/>
      <c r="G91" s="3087"/>
      <c r="H91" s="2521" t="s">
        <v>2280</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hidden="1" customHeight="1">
      <c r="A92" s="218" t="s">
        <v>2281</v>
      </c>
      <c r="B92" s="199" t="s">
        <v>2282</v>
      </c>
      <c r="C92" s="226">
        <f>ROUND((C87+C90+C91)*D92,0)</f>
        <v>0</v>
      </c>
      <c r="D92" s="227">
        <v>0.1</v>
      </c>
      <c r="E92" s="3086" t="s">
        <v>2283</v>
      </c>
      <c r="F92" s="3087"/>
      <c r="G92" s="3087"/>
      <c r="H92" s="3088"/>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hidden="1" customHeight="1">
      <c r="A93" s="218" t="s">
        <v>2284</v>
      </c>
      <c r="B93" s="199" t="s">
        <v>2265</v>
      </c>
      <c r="C93" s="226">
        <f ca="1">ROUND(D45*D93/(1+'数据-取费表'!C42),0)</f>
        <v>40</v>
      </c>
      <c r="D93" s="227">
        <f>'数据-取费表'!B43</f>
        <v>6.000000000000001E-3</v>
      </c>
      <c r="E93" s="3086" t="s">
        <v>2266</v>
      </c>
      <c r="F93" s="3087"/>
      <c r="G93" s="3087"/>
      <c r="H93" s="3088"/>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hidden="1" customHeight="1">
      <c r="A94" s="218" t="s">
        <v>2285</v>
      </c>
      <c r="B94" s="199" t="s">
        <v>2286</v>
      </c>
      <c r="C94" s="237">
        <f>ROUND((C87+C90+C91)*D94,0)</f>
        <v>0</v>
      </c>
      <c r="D94" s="227">
        <v>0.2</v>
      </c>
      <c r="E94" s="3134" t="s">
        <v>2287</v>
      </c>
      <c r="F94" s="3135"/>
      <c r="G94" s="3135"/>
      <c r="H94" s="3136"/>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hidden="1">
      <c r="A95" s="2518" t="s">
        <v>779</v>
      </c>
      <c r="B95" s="205" t="s">
        <v>2267</v>
      </c>
      <c r="C95" s="208">
        <f ca="1">ROUND(C85-C86,0)</f>
        <v>6587</v>
      </c>
      <c r="D95" s="201" t="s">
        <v>32</v>
      </c>
      <c r="E95" s="1804"/>
      <c r="F95" s="1798"/>
      <c r="G95" s="1798"/>
      <c r="H95" s="235"/>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hidden="1">
      <c r="A96" s="2518" t="s">
        <v>780</v>
      </c>
      <c r="B96" s="205" t="s">
        <v>2268</v>
      </c>
      <c r="C96" s="228">
        <f ca="1">IF(C95&lt;=0,0,C95/C86)</f>
        <v>164.67500000000001</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5"/>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hidden="1" thickBot="1">
      <c r="A97" s="2519" t="s">
        <v>781</v>
      </c>
      <c r="B97" s="210" t="s">
        <v>2269</v>
      </c>
      <c r="C97" s="229">
        <f ca="1">ROUND(IF(C95&lt;=0,0,IF(C96&gt;=200%,C95*60%-C86*35%,IF(C96&gt;=100%,C95*50%-C86*15%,IF(C96&gt;=50%,C95*40%-C86*5%,IF(C96&lt;50%,C95*30%,0))))),0)</f>
        <v>3938</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2288</v>
      </c>
      <c r="B99" s="2421"/>
      <c r="C99" s="2421"/>
      <c r="D99" s="2421"/>
      <c r="E99" s="2168"/>
      <c r="F99" s="2168"/>
      <c r="G99" s="2168"/>
      <c r="H99" s="2167"/>
      <c r="I99" s="138"/>
    </row>
    <row r="100" spans="1:35" ht="18.75" customHeight="1">
      <c r="A100" s="3038" t="s">
        <v>2289</v>
      </c>
      <c r="B100" s="3039"/>
      <c r="C100" s="3039"/>
      <c r="D100" s="3070"/>
      <c r="E100" s="3039" t="s">
        <v>2290</v>
      </c>
      <c r="F100" s="3039"/>
      <c r="G100" s="3039"/>
      <c r="H100" s="3070"/>
      <c r="I100" s="138"/>
    </row>
    <row r="101" spans="1:35" ht="18.75" customHeight="1">
      <c r="A101" s="3078" t="s">
        <v>2291</v>
      </c>
      <c r="B101" s="3079"/>
      <c r="C101" s="736" t="str">
        <f>C4</f>
        <v>典型户型修正</v>
      </c>
      <c r="D101" s="737" t="str">
        <f>D4</f>
        <v>收益法</v>
      </c>
      <c r="E101" s="3050" t="s">
        <v>2292</v>
      </c>
      <c r="F101" s="3051"/>
      <c r="G101" s="2523" t="s">
        <v>2293</v>
      </c>
      <c r="H101" s="1048">
        <f ca="1">H118</f>
        <v>6958</v>
      </c>
      <c r="I101" s="138"/>
    </row>
    <row r="102" spans="1:35" ht="18.75" customHeight="1">
      <c r="A102" s="3080" t="s">
        <v>2294</v>
      </c>
      <c r="B102" s="2523" t="s">
        <v>2293</v>
      </c>
      <c r="C102" s="736">
        <f ca="1">C19</f>
        <v>7553</v>
      </c>
      <c r="D102" s="737">
        <f ca="1">D19</f>
        <v>5569</v>
      </c>
      <c r="E102" s="3050"/>
      <c r="F102" s="3051"/>
      <c r="G102" s="2523" t="s">
        <v>2295</v>
      </c>
      <c r="H102" s="372">
        <f ca="1">I118</f>
        <v>30239</v>
      </c>
      <c r="I102" s="138"/>
    </row>
    <row r="103" spans="1:35" ht="42.75" customHeight="1">
      <c r="A103" s="3080"/>
      <c r="B103" s="2523" t="s">
        <v>2295</v>
      </c>
      <c r="C103" s="738">
        <f ca="1">C20</f>
        <v>32825</v>
      </c>
      <c r="D103" s="739">
        <f ca="1">D20</f>
        <v>24203</v>
      </c>
      <c r="E103" s="3044" t="s">
        <v>2296</v>
      </c>
      <c r="F103" s="3045"/>
      <c r="G103" s="2524" t="s">
        <v>2297</v>
      </c>
      <c r="H103" s="1048">
        <f>IF(D36="正常操作",H104+H105+H106,H105+H106)</f>
        <v>0</v>
      </c>
      <c r="I103" s="138"/>
    </row>
    <row r="104" spans="1:35" ht="18.75" customHeight="1">
      <c r="A104" s="3080" t="s">
        <v>2298</v>
      </c>
      <c r="B104" s="2525" t="s">
        <v>2293</v>
      </c>
      <c r="C104" s="740">
        <f ca="1">H118</f>
        <v>6958</v>
      </c>
      <c r="D104" s="741"/>
      <c r="E104" s="2269" t="s">
        <v>2299</v>
      </c>
      <c r="F104" s="2260"/>
      <c r="G104" s="2524" t="s">
        <v>2297</v>
      </c>
      <c r="H104" s="1049">
        <f>IF(D36="同一抵押权人同一抵押物续贷",C36&amp;"（未扣减，详见特别提示）",C36)</f>
        <v>0</v>
      </c>
      <c r="I104" s="138"/>
    </row>
    <row r="105" spans="1:35" ht="18.75" customHeight="1" thickBot="1">
      <c r="A105" s="3092"/>
      <c r="B105" s="2526" t="s">
        <v>2295</v>
      </c>
      <c r="C105" s="742">
        <f ca="1">I118</f>
        <v>30239</v>
      </c>
      <c r="D105" s="743"/>
      <c r="E105" s="2269" t="s">
        <v>2300</v>
      </c>
      <c r="F105" s="2260"/>
      <c r="G105" s="2524" t="s">
        <v>2297</v>
      </c>
      <c r="H105" s="1049">
        <f>C37</f>
        <v>0</v>
      </c>
      <c r="I105" s="138"/>
    </row>
    <row r="106" spans="1:35" ht="18.75" customHeight="1">
      <c r="A106" s="2421" t="s">
        <v>2301</v>
      </c>
      <c r="B106" s="2421"/>
      <c r="C106" s="2421"/>
      <c r="D106" s="2421"/>
      <c r="E106" s="2527" t="s">
        <v>2302</v>
      </c>
      <c r="F106" s="2260"/>
      <c r="G106" s="2524" t="s">
        <v>2297</v>
      </c>
      <c r="H106" s="1049">
        <f>C38</f>
        <v>0</v>
      </c>
      <c r="I106" s="138"/>
    </row>
    <row r="107" spans="1:35" ht="18.75" customHeight="1">
      <c r="A107" s="138"/>
      <c r="B107" s="138"/>
      <c r="C107" s="138"/>
      <c r="D107" s="138"/>
      <c r="E107" s="3081" t="str">
        <f>IF(项目基本情况!E8="已注销","——","3.房地产抵押价值")</f>
        <v>3.房地产抵押价值</v>
      </c>
      <c r="F107" s="3051"/>
      <c r="G107" s="2523" t="s">
        <v>2293</v>
      </c>
      <c r="H107" s="1048">
        <f ca="1">IF(E107="——","——",H101-H103)</f>
        <v>6958</v>
      </c>
      <c r="I107" s="138"/>
    </row>
    <row r="108" spans="1:35" ht="18.75" customHeight="1">
      <c r="A108" s="138"/>
      <c r="B108" s="138"/>
      <c r="C108" s="138"/>
      <c r="D108" s="138"/>
      <c r="E108" s="3081"/>
      <c r="F108" s="3051"/>
      <c r="G108" s="2523" t="s">
        <v>2295</v>
      </c>
      <c r="H108" s="372">
        <f ca="1">ROUND(H107*10000/'数据-汇总表'!E3,0)</f>
        <v>30239</v>
      </c>
      <c r="I108" s="138"/>
    </row>
    <row r="109" spans="1:35" ht="18.75" customHeight="1">
      <c r="A109" s="138"/>
      <c r="B109" s="138"/>
      <c r="C109" s="138"/>
      <c r="D109" s="138"/>
      <c r="E109" s="3081" t="str">
        <f>IF(项目基本情况!E8="已注销及未注销","4.抵押担保权已注销时的房地产抵押价值",IF(项目基本情况!E8="已注销","3.抵押担保权已注销时的房地产抵押价值","——"))</f>
        <v>——</v>
      </c>
      <c r="F109" s="3051"/>
      <c r="G109" s="2523" t="s">
        <v>2293</v>
      </c>
      <c r="H109" s="349" t="str">
        <f>IF(E109="——","——",H101-H105-H106)</f>
        <v>——</v>
      </c>
      <c r="I109" s="138"/>
    </row>
    <row r="110" spans="1:35" ht="18.75" customHeight="1">
      <c r="A110" s="138"/>
      <c r="B110" s="138"/>
      <c r="C110" s="138"/>
      <c r="D110" s="138"/>
      <c r="E110" s="3081"/>
      <c r="F110" s="3051"/>
      <c r="G110" s="2523" t="s">
        <v>2295</v>
      </c>
      <c r="H110" s="372" t="str">
        <f>IF(H109="——","——",ROUND(H109*10000/'数据-汇总表'!E3,0))</f>
        <v>——</v>
      </c>
      <c r="I110" s="138"/>
    </row>
    <row r="111" spans="1:35" ht="18.75" customHeight="1">
      <c r="A111" s="138"/>
      <c r="B111" s="138"/>
      <c r="C111" s="138"/>
      <c r="D111" s="138"/>
      <c r="E111" s="3082" t="str">
        <f>IF(项目基本情况!E9="抵押净值",IF(OR(项目基本情况!E8="已注销",项目基本情况!E8="房地产抵押价值"),"4.抵押净值","5.抵押净值"),"——")</f>
        <v>——</v>
      </c>
      <c r="F111" s="3083"/>
      <c r="G111" s="2523" t="s">
        <v>2293</v>
      </c>
      <c r="H111" s="1048" t="str">
        <f>IF(E111="——","——",N59)</f>
        <v>——</v>
      </c>
      <c r="I111" s="138"/>
    </row>
    <row r="112" spans="1:35" ht="18.75" customHeight="1" thickBot="1">
      <c r="A112" s="138"/>
      <c r="B112" s="138"/>
      <c r="C112" s="138"/>
      <c r="D112" s="138"/>
      <c r="E112" s="3084"/>
      <c r="F112" s="3085"/>
      <c r="G112" s="2528" t="s">
        <v>2295</v>
      </c>
      <c r="H112" s="790" t="str">
        <f>IF(E111="——","——",N61)</f>
        <v>——</v>
      </c>
      <c r="I112" s="138"/>
    </row>
    <row r="113" spans="1:11" ht="18.75" customHeight="1">
      <c r="A113" s="138"/>
      <c r="B113" s="138"/>
      <c r="C113" s="138"/>
      <c r="D113" s="138"/>
      <c r="E113" s="3093" t="s">
        <v>2301</v>
      </c>
      <c r="F113" s="3093"/>
      <c r="G113" s="3093"/>
      <c r="H113" s="3093"/>
      <c r="I113" s="138"/>
    </row>
    <row r="114" spans="1:11" ht="3.75" customHeight="1">
      <c r="A114" s="2421"/>
      <c r="B114" s="2421"/>
      <c r="C114" s="2421"/>
      <c r="D114" s="2421"/>
      <c r="E114" s="2499"/>
      <c r="F114" s="2499"/>
      <c r="G114" s="2499"/>
      <c r="H114" s="2499"/>
      <c r="I114" s="2421"/>
    </row>
    <row r="115" spans="1:11" ht="18.75" customHeight="1">
      <c r="A115" s="3106" t="s">
        <v>2303</v>
      </c>
      <c r="B115" s="3107"/>
      <c r="C115" s="3107"/>
      <c r="D115" s="3107"/>
      <c r="E115" s="3107"/>
      <c r="F115" s="3107"/>
      <c r="G115" s="3107"/>
      <c r="H115" s="3107"/>
      <c r="I115" s="3108"/>
    </row>
    <row r="116" spans="1:11" ht="27" customHeight="1">
      <c r="A116" s="3017" t="s">
        <v>2304</v>
      </c>
      <c r="B116" s="3060" t="s">
        <v>2305</v>
      </c>
      <c r="C116" s="3060" t="s">
        <v>2306</v>
      </c>
      <c r="D116" s="3066" t="s">
        <v>2307</v>
      </c>
      <c r="E116" s="3067"/>
      <c r="F116" s="3102" t="s">
        <v>2308</v>
      </c>
      <c r="G116" s="3102"/>
      <c r="H116" s="3017" t="s">
        <v>2309</v>
      </c>
      <c r="I116" s="3017"/>
      <c r="J116" s="795">
        <v>7989</v>
      </c>
      <c r="K116" s="795">
        <f ca="1">J116-H118</f>
        <v>1031</v>
      </c>
    </row>
    <row r="117" spans="1:11" ht="18.75" customHeight="1">
      <c r="A117" s="3017"/>
      <c r="B117" s="3061"/>
      <c r="C117" s="3061"/>
      <c r="D117" s="1799" t="s">
        <v>2310</v>
      </c>
      <c r="E117" s="1799" t="s">
        <v>2311</v>
      </c>
      <c r="F117" s="1799" t="s">
        <v>2310</v>
      </c>
      <c r="G117" s="1799" t="s">
        <v>2312</v>
      </c>
      <c r="H117" s="1799" t="s">
        <v>2310</v>
      </c>
      <c r="I117" s="1799" t="s">
        <v>2312</v>
      </c>
      <c r="J117" s="795">
        <v>7974</v>
      </c>
    </row>
    <row r="118" spans="1:11" ht="24.75" customHeight="1">
      <c r="A118" s="2529" t="str">
        <f>项目基本情况!S2</f>
        <v>北京市北京市海淀区白家疃尚峰园3号楼101号等17套房地产</v>
      </c>
      <c r="B118" s="1799">
        <f>M18</f>
        <v>2300.98</v>
      </c>
      <c r="C118" s="1799">
        <f>M19</f>
        <v>0</v>
      </c>
      <c r="D118" s="1799" t="e">
        <f ca="1">ROUND(IF(D32="总价",C34,E118*B118/10000),0)</f>
        <v>#REF!</v>
      </c>
      <c r="E118" s="1799" t="e">
        <f ca="1">ROUND(IF(C33="自定义",IF(D32="楼面单价",C34,D118*10000/B118),I118-G118),0)</f>
        <v>#REF!</v>
      </c>
      <c r="F118" s="1799" t="e">
        <f ca="1">ROUND(IF(D32="总价",C35,G118*B118/10000),0)</f>
        <v>#REF!</v>
      </c>
      <c r="G118" s="1799" t="e">
        <f ca="1">ROUND(IF(D32="楼面单价",C35,F118*10000/B118),0)</f>
        <v>#REF!</v>
      </c>
      <c r="H118" s="1799">
        <f ca="1">ROUND(IF(D32="总价",C32,I118*B118/10000),0)</f>
        <v>6958</v>
      </c>
      <c r="I118" s="1799">
        <f ca="1">ROUND(IF(D32="楼面单价",C32,H118*10000/B118),0)</f>
        <v>30239</v>
      </c>
    </row>
    <row r="119" spans="1:11" ht="18.75" customHeight="1">
      <c r="A119" s="3017" t="s">
        <v>2313</v>
      </c>
      <c r="B119" s="3017"/>
      <c r="C119" s="3017"/>
      <c r="D119" s="3062" t="e">
        <f ca="1">NUMBERSTRING(INT(D118*10000),2)&amp;"元整"</f>
        <v>#REF!</v>
      </c>
      <c r="E119" s="3063"/>
      <c r="F119" s="3062" t="e">
        <f ca="1">NUMBERSTRING(INT(F118*10000),2)&amp;"元整"</f>
        <v>#REF!</v>
      </c>
      <c r="G119" s="3063"/>
      <c r="H119" s="3062" t="str">
        <f ca="1">NUMBERSTRING(INT(H118*10000),2)&amp;"元整"</f>
        <v>陆仟玖佰伍拾捌万元整</v>
      </c>
      <c r="I119" s="3063"/>
    </row>
    <row r="120" spans="1:11" ht="18.75" customHeight="1">
      <c r="A120" s="3057" t="str">
        <f>IF(项目基本情况!B9="房地产市场价值","",MID(E103,3,LEN(E103)-2))</f>
        <v>估价师知悉的法定优先受偿款</v>
      </c>
      <c r="B120" s="3058"/>
      <c r="C120" s="3059"/>
      <c r="D120" s="3057">
        <f>H103</f>
        <v>0</v>
      </c>
      <c r="E120" s="3058"/>
      <c r="F120" s="3058"/>
      <c r="G120" s="3058"/>
      <c r="H120" s="3058"/>
      <c r="I120" s="3059"/>
      <c r="K120" s="2426" t="str">
        <f>IF(D120=0,"故，本次评估不存在"&amp;A120,"故，本次评估"&amp;A120&amp;"为人民币"&amp;D120&amp;"万元整。")</f>
        <v>故，本次评估不存在估价师知悉的法定优先受偿款</v>
      </c>
    </row>
    <row r="121" spans="1:11" ht="18.75" customHeight="1">
      <c r="A121" s="3103" t="s">
        <v>2313</v>
      </c>
      <c r="B121" s="3104"/>
      <c r="C121" s="3105"/>
      <c r="D121" s="3062" t="str">
        <f>IF(D120=0,"零元整",NUMBERSTRING(INT(D120*10000),2)&amp;"元整")</f>
        <v>零元整</v>
      </c>
      <c r="E121" s="3064"/>
      <c r="F121" s="3064"/>
      <c r="G121" s="3064"/>
      <c r="H121" s="3064"/>
      <c r="I121" s="3063"/>
    </row>
    <row r="122" spans="1:11" ht="18.75" customHeight="1">
      <c r="A122" s="3068" t="str">
        <f>IF(项目基本情况!B9="房地产市场价值","",MID(E107,3,LEN(E107)-2))</f>
        <v>房地产抵押价值</v>
      </c>
      <c r="B122" s="3068"/>
      <c r="C122" s="3068"/>
      <c r="D122" s="3057">
        <f ca="1">H107</f>
        <v>6958</v>
      </c>
      <c r="E122" s="3058"/>
      <c r="F122" s="3058"/>
      <c r="G122" s="3058"/>
      <c r="H122" s="3058"/>
      <c r="I122" s="3059"/>
    </row>
    <row r="123" spans="1:11" ht="18.75" customHeight="1">
      <c r="A123" s="3017" t="s">
        <v>2313</v>
      </c>
      <c r="B123" s="3017"/>
      <c r="C123" s="3017"/>
      <c r="D123" s="3062" t="str">
        <f ca="1">NUMBERSTRING(INT(D122*10000),2)&amp;"元整"</f>
        <v>陆仟玖佰伍拾捌万元整</v>
      </c>
      <c r="E123" s="3064"/>
      <c r="F123" s="3064"/>
      <c r="G123" s="3064"/>
      <c r="H123" s="3064"/>
      <c r="I123" s="3063"/>
    </row>
    <row r="124" spans="1:11" ht="18.75" customHeight="1">
      <c r="A124" s="3068" t="str">
        <f>IF(项目基本情况!B9="房地产市场价值","",MID(E109,3,LEN(E109)-2))</f>
        <v/>
      </c>
      <c r="B124" s="3068"/>
      <c r="C124" s="3068"/>
      <c r="D124" s="3057" t="str">
        <f>H109</f>
        <v>——</v>
      </c>
      <c r="E124" s="3058"/>
      <c r="F124" s="3058"/>
      <c r="G124" s="3058"/>
      <c r="H124" s="3058"/>
      <c r="I124" s="3059"/>
    </row>
    <row r="125" spans="1:11" ht="18.75" customHeight="1">
      <c r="A125" s="3017" t="s">
        <v>2313</v>
      </c>
      <c r="B125" s="3017"/>
      <c r="C125" s="3017"/>
      <c r="D125" s="3062" t="e">
        <f>NUMBERSTRING(INT(D124*10000),2)&amp;"元整"</f>
        <v>#VALUE!</v>
      </c>
      <c r="E125" s="3064"/>
      <c r="F125" s="3064"/>
      <c r="G125" s="3064"/>
      <c r="H125" s="3064"/>
      <c r="I125" s="3063"/>
    </row>
    <row r="126" spans="1:11" ht="18.75" customHeight="1">
      <c r="A126" s="3068" t="str">
        <f>IF(项目基本情况!B9="房地产市场价值","",MID(E111,3,LEN(E111)-2))</f>
        <v/>
      </c>
      <c r="B126" s="3068"/>
      <c r="C126" s="3068"/>
      <c r="D126" s="3057" t="str">
        <f>H111</f>
        <v>——</v>
      </c>
      <c r="E126" s="3058"/>
      <c r="F126" s="3058"/>
      <c r="G126" s="3058"/>
      <c r="H126" s="3058"/>
      <c r="I126" s="3059"/>
    </row>
    <row r="127" spans="1:11" ht="18.75" customHeight="1">
      <c r="A127" s="3017" t="s">
        <v>2313</v>
      </c>
      <c r="B127" s="3017"/>
      <c r="C127" s="3017"/>
      <c r="D127" s="3062" t="e">
        <f>NUMBERSTRING(INT(D126*10000),2)&amp;"元整"</f>
        <v>#VALUE!</v>
      </c>
      <c r="E127" s="3064"/>
      <c r="F127" s="3064"/>
      <c r="G127" s="3064"/>
      <c r="H127" s="3064"/>
      <c r="I127" s="3063"/>
    </row>
    <row r="128" spans="1:11" ht="21.75" customHeight="1">
      <c r="A128" s="3065" t="s">
        <v>2314</v>
      </c>
      <c r="B128" s="3065"/>
      <c r="C128" s="3065"/>
      <c r="D128" s="3065"/>
      <c r="E128" s="3065"/>
      <c r="F128" s="3065"/>
      <c r="G128" s="3065"/>
      <c r="H128" s="3065"/>
      <c r="I128" s="3065"/>
    </row>
    <row r="129" spans="1:35" ht="21.75" customHeight="1">
      <c r="A129" s="2530" t="s">
        <v>2315</v>
      </c>
      <c r="B129" s="2531"/>
      <c r="C129" s="2532" t="s">
        <v>2316</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2317</v>
      </c>
      <c r="G135" s="2547"/>
      <c r="H135" s="2547"/>
      <c r="I135" s="2548" t="s">
        <v>2318</v>
      </c>
    </row>
    <row r="136" spans="1:35" ht="21.75" customHeight="1">
      <c r="A136" s="795"/>
      <c r="B136" s="2549"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2320</v>
      </c>
    </row>
    <row r="139" spans="1:35" ht="21.75" customHeight="1">
      <c r="A139" s="795"/>
      <c r="B139" s="2549" t="s">
        <v>2321</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2320</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2322</v>
      </c>
      <c r="B1" s="1941"/>
      <c r="C1" s="243"/>
      <c r="D1" s="243"/>
      <c r="E1" s="243"/>
      <c r="F1" s="243"/>
      <c r="G1" s="1382">
        <f>MATCH(B1,'数据-取费表'!A6:A16,0)+5</f>
        <v>7</v>
      </c>
    </row>
    <row r="2" spans="1:9" s="245" customFormat="1" ht="18" customHeight="1">
      <c r="A2" s="246" t="s">
        <v>2323</v>
      </c>
      <c r="B2" s="247">
        <f ca="1">IF(D2="——",C52,C52-E2)</f>
        <v>770</v>
      </c>
      <c r="C2" s="244" t="s">
        <v>2324</v>
      </c>
      <c r="D2" s="2552" t="s">
        <v>70</v>
      </c>
      <c r="E2" s="1443" t="e">
        <f ca="1">SUMIF(INDIRECT("'"&amp;G2&amp;"'"&amp;"!A:A"),"承租人权益价值",INDIRECT("'"&amp;G2&amp;"'"&amp;"!c:c"))</f>
        <v>#REF!</v>
      </c>
      <c r="F2" s="2553" t="s">
        <v>2324</v>
      </c>
      <c r="G2" s="2554"/>
    </row>
    <row r="3" spans="1:9" s="245" customFormat="1" ht="18" customHeight="1" thickBot="1">
      <c r="A3" s="248" t="s">
        <v>2325</v>
      </c>
      <c r="B3" s="249">
        <f ca="1">ROUND(B2*10000/(IF(B1="",'数据-汇总表'!E3,INDIRECT("'数据-取费表'!k"&amp;$G$1))),0)</f>
        <v>3346</v>
      </c>
      <c r="C3" s="244" t="s">
        <v>2326</v>
      </c>
      <c r="D3" s="244"/>
      <c r="E3" s="244"/>
      <c r="F3" s="244"/>
      <c r="G3" s="244"/>
    </row>
    <row r="4" spans="1:9" s="253" customFormat="1" ht="15.75">
      <c r="A4" s="250" t="s">
        <v>2327</v>
      </c>
      <c r="B4" s="251"/>
      <c r="C4" s="251"/>
      <c r="D4" s="251"/>
      <c r="E4" s="251"/>
      <c r="F4" s="251"/>
      <c r="G4" s="252"/>
    </row>
    <row r="5" spans="1:9" s="259" customFormat="1" ht="13.5" customHeight="1">
      <c r="A5" s="300" t="s">
        <v>2328</v>
      </c>
      <c r="B5" s="255" t="s">
        <v>2329</v>
      </c>
      <c r="C5" s="256">
        <f>C6+C7+C8</f>
        <v>0</v>
      </c>
      <c r="D5" s="256" t="s">
        <v>2330</v>
      </c>
      <c r="E5" s="257" t="s">
        <v>2331</v>
      </c>
      <c r="F5" s="257" t="s">
        <v>2332</v>
      </c>
      <c r="G5" s="258"/>
    </row>
    <row r="6" spans="1:9" s="259" customFormat="1" ht="13.5" customHeight="1">
      <c r="A6" s="952" t="s">
        <v>2333</v>
      </c>
      <c r="B6" s="260" t="s">
        <v>2334</v>
      </c>
      <c r="C6" s="261"/>
      <c r="D6" s="262"/>
      <c r="E6" s="263"/>
      <c r="F6" s="263"/>
      <c r="G6" s="264"/>
    </row>
    <row r="7" spans="1:9" s="259" customFormat="1" ht="13.5" customHeight="1">
      <c r="A7" s="952" t="s">
        <v>2335</v>
      </c>
      <c r="B7" s="260" t="s">
        <v>2336</v>
      </c>
      <c r="C7" s="265">
        <f>ROUND(C6*F7,0)</f>
        <v>0</v>
      </c>
      <c r="D7" s="265"/>
      <c r="E7" s="263"/>
      <c r="F7" s="266">
        <f>'数据-取费表'!B48+'数据-取费表'!B49</f>
        <v>3.0499999999999999E-2</v>
      </c>
      <c r="G7" s="264"/>
    </row>
    <row r="8" spans="1:9" s="268" customFormat="1">
      <c r="A8" s="952" t="s">
        <v>2337</v>
      </c>
      <c r="B8" s="260" t="s">
        <v>2338</v>
      </c>
      <c r="C8" s="265">
        <f>IF(G8="已包含在土地购买价格中","0",IF(B1="",'数据-取费表'!B29,IF(G9="全部缴纳",C9+C10,H9)))</f>
        <v>0</v>
      </c>
      <c r="D8" s="267"/>
      <c r="E8" s="265"/>
      <c r="F8" s="266"/>
      <c r="G8" s="2555"/>
    </row>
    <row r="9" spans="1:9" s="259" customFormat="1" ht="13.5" customHeight="1">
      <c r="A9" s="953" t="s">
        <v>800</v>
      </c>
      <c r="B9" s="269" t="s">
        <v>2339</v>
      </c>
      <c r="C9" s="270">
        <f ca="1">ROUND(D9*E9/10000,0)</f>
        <v>0</v>
      </c>
      <c r="D9" s="1035">
        <f ca="1">IF(B1="",'数据-汇总表'!E5,IF(INDIRECT("'数据-取费表'!c"&amp;$G$1)="住宅",INDIRECT("'数据-取费表'!k"&amp;$G$1),0))</f>
        <v>0</v>
      </c>
      <c r="E9" s="270">
        <f>'数据-取费表'!B27</f>
        <v>0</v>
      </c>
      <c r="F9" s="266"/>
      <c r="G9" s="2556"/>
      <c r="H9" s="1393"/>
      <c r="I9" s="2557" t="s">
        <v>2340</v>
      </c>
    </row>
    <row r="10" spans="1:9" s="259" customFormat="1" ht="13.5" customHeight="1">
      <c r="A10" s="953" t="s">
        <v>801</v>
      </c>
      <c r="B10" s="269" t="s">
        <v>2341</v>
      </c>
      <c r="C10" s="270">
        <f ca="1">ROUND(D10*E10/10000,0)</f>
        <v>46</v>
      </c>
      <c r="D10" s="1035">
        <f ca="1">IF(B1="",'数据-汇总表'!E6,IF(INDIRECT("'数据-取费表'!c"&amp;$G$1)="住宅",INDIRECT("'数据-取费表'!s"&amp;$G$1),INDIRECT("'数据-取费表'!k"&amp;$G$1)+INDIRECT("'数据-取费表'!s"&amp;$G$1)))</f>
        <v>2300.98</v>
      </c>
      <c r="E10" s="270">
        <f>'数据-取费表'!B28</f>
        <v>200</v>
      </c>
      <c r="F10" s="266"/>
      <c r="G10" s="271"/>
    </row>
    <row r="11" spans="1:9" s="259" customFormat="1" ht="13.5" hidden="1" customHeight="1">
      <c r="A11" s="272" t="s">
        <v>7</v>
      </c>
      <c r="B11" s="260" t="s">
        <v>2342</v>
      </c>
      <c r="C11" s="256"/>
      <c r="D11" s="1037"/>
      <c r="E11" s="263"/>
      <c r="F11" s="263"/>
      <c r="G11" s="264"/>
    </row>
    <row r="12" spans="1:9" s="259" customFormat="1" ht="13.5" hidden="1" customHeight="1">
      <c r="A12" s="272" t="s">
        <v>8</v>
      </c>
      <c r="B12" s="260" t="s">
        <v>2343</v>
      </c>
      <c r="C12" s="256">
        <v>0</v>
      </c>
      <c r="D12" s="1037"/>
      <c r="E12" s="273"/>
      <c r="F12" s="266">
        <v>3.0499999999999999E-2</v>
      </c>
      <c r="G12" s="264"/>
    </row>
    <row r="13" spans="1:9" s="259" customFormat="1" ht="13.5" hidden="1" customHeight="1">
      <c r="A13" s="272" t="s">
        <v>9</v>
      </c>
      <c r="B13" s="260" t="s">
        <v>2344</v>
      </c>
      <c r="C13" s="256"/>
      <c r="D13" s="1037"/>
      <c r="E13" s="263"/>
      <c r="F13" s="263"/>
      <c r="G13" s="264"/>
    </row>
    <row r="14" spans="1:9" s="259" customFormat="1" ht="13.5" hidden="1" customHeight="1">
      <c r="A14" s="272" t="s">
        <v>10</v>
      </c>
      <c r="B14" s="260" t="s">
        <v>2345</v>
      </c>
      <c r="C14" s="256"/>
      <c r="D14" s="1037"/>
      <c r="E14" s="263"/>
      <c r="F14" s="263"/>
      <c r="G14" s="264" t="s">
        <v>2346</v>
      </c>
    </row>
    <row r="15" spans="1:9" s="259" customFormat="1" ht="13.5" hidden="1" customHeight="1">
      <c r="A15" s="272" t="s">
        <v>11</v>
      </c>
      <c r="B15" s="260" t="s">
        <v>2347</v>
      </c>
      <c r="C15" s="265"/>
      <c r="D15" s="1037"/>
      <c r="E15" s="263"/>
      <c r="F15" s="263"/>
      <c r="G15" s="264" t="s">
        <v>2348</v>
      </c>
    </row>
    <row r="16" spans="1:9" s="259" customFormat="1" ht="13.5" hidden="1" customHeight="1">
      <c r="A16" s="272" t="s">
        <v>12</v>
      </c>
      <c r="B16" s="260" t="s">
        <v>2345</v>
      </c>
      <c r="C16" s="265"/>
      <c r="D16" s="1037"/>
      <c r="E16" s="263"/>
      <c r="F16" s="263"/>
      <c r="G16" s="264"/>
    </row>
    <row r="17" spans="1:7" s="259" customFormat="1" ht="13.5" hidden="1" customHeight="1">
      <c r="A17" s="272" t="s">
        <v>13</v>
      </c>
      <c r="B17" s="260" t="s">
        <v>2349</v>
      </c>
      <c r="C17" s="274"/>
      <c r="D17" s="1038"/>
      <c r="E17" s="274"/>
      <c r="F17" s="274"/>
      <c r="G17" s="264" t="s">
        <v>2348</v>
      </c>
    </row>
    <row r="18" spans="1:7" s="259" customFormat="1" ht="13.5" hidden="1" customHeight="1">
      <c r="A18" s="272" t="s">
        <v>14</v>
      </c>
      <c r="B18" s="260" t="s">
        <v>2350</v>
      </c>
      <c r="C18" s="265">
        <v>0</v>
      </c>
      <c r="D18" s="1037"/>
      <c r="E18" s="263"/>
      <c r="F18" s="266">
        <v>3.0499999999999999E-2</v>
      </c>
      <c r="G18" s="264" t="s">
        <v>2351</v>
      </c>
    </row>
    <row r="19" spans="1:7" s="268" customFormat="1" ht="13.5" customHeight="1">
      <c r="A19" s="300" t="s">
        <v>2352</v>
      </c>
      <c r="B19" s="255" t="s">
        <v>2353</v>
      </c>
      <c r="C19" s="256">
        <f ca="1">IF(G19="已包含在土地取得成本中","0",ROUND(D19*E19/10000,0))</f>
        <v>46</v>
      </c>
      <c r="D19" s="1039">
        <f ca="1">D9+D10</f>
        <v>2300.98</v>
      </c>
      <c r="E19" s="256">
        <f>'数据-取费表'!B31</f>
        <v>200</v>
      </c>
      <c r="F19" s="276"/>
      <c r="G19" s="2555"/>
    </row>
    <row r="20" spans="1:7" s="259" customFormat="1" ht="13.5" customHeight="1">
      <c r="A20" s="300" t="s">
        <v>2354</v>
      </c>
      <c r="B20" s="255" t="s">
        <v>2355</v>
      </c>
      <c r="C20" s="277">
        <f ca="1">ROUND((C5+C19)*F20,0)</f>
        <v>1</v>
      </c>
      <c r="D20" s="277"/>
      <c r="E20" s="277"/>
      <c r="F20" s="278">
        <f>'数据-取费表'!B37</f>
        <v>0.02</v>
      </c>
      <c r="G20" s="279" t="s">
        <v>2356</v>
      </c>
    </row>
    <row r="21" spans="1:7" s="259" customFormat="1" ht="13.5" customHeight="1">
      <c r="A21" s="300" t="s">
        <v>2357</v>
      </c>
      <c r="B21" s="255" t="s">
        <v>2358</v>
      </c>
      <c r="C21" s="280">
        <f>F21</f>
        <v>0.02</v>
      </c>
      <c r="D21" s="281" t="s">
        <v>2359</v>
      </c>
      <c r="E21" s="277"/>
      <c r="F21" s="278">
        <f>'数据-取费表'!B38</f>
        <v>0.02</v>
      </c>
      <c r="G21" s="279" t="s">
        <v>2360</v>
      </c>
    </row>
    <row r="22" spans="1:7" s="259" customFormat="1" ht="13.5" customHeight="1">
      <c r="A22" s="300" t="s">
        <v>2361</v>
      </c>
      <c r="B22" s="255" t="s">
        <v>2362</v>
      </c>
      <c r="C22" s="1357">
        <f ca="1">ROUND(SUM(C23:C25),0)</f>
        <v>4</v>
      </c>
      <c r="D22" s="280">
        <f ca="1">C26</f>
        <v>1E-3</v>
      </c>
      <c r="E22" s="281" t="s">
        <v>2359</v>
      </c>
      <c r="F22" s="282">
        <f ca="1">'数据-取费表'!B40</f>
        <v>4.7500000000000001E-2</v>
      </c>
      <c r="G22" s="279" t="str">
        <f>IF('数据-取费表'!B22&lt;=1,"单利计息","复利计息")</f>
        <v>复利计息</v>
      </c>
    </row>
    <row r="23" spans="1:7" s="259" customFormat="1" ht="13.5" customHeight="1">
      <c r="A23" s="954" t="s">
        <v>2363</v>
      </c>
      <c r="B23" s="260" t="s">
        <v>2364</v>
      </c>
      <c r="C23" s="1358">
        <f ca="1">ROUND(IF('数据-取费表'!B22&lt;=1,C5*F22*'数据-取费表'!B23,C5*(POWER((1+F22),'数据-取费表'!B23)-1)),0)</f>
        <v>0</v>
      </c>
      <c r="D23" s="283"/>
      <c r="E23" s="283"/>
      <c r="F23" s="284"/>
      <c r="G23" s="285" t="s">
        <v>2365</v>
      </c>
    </row>
    <row r="24" spans="1:7" s="259" customFormat="1" ht="13.5" customHeight="1">
      <c r="A24" s="954" t="s">
        <v>2366</v>
      </c>
      <c r="B24" s="260" t="s">
        <v>2367</v>
      </c>
      <c r="C24" s="1358">
        <f ca="1">ROUND(IF('数据-取费表'!B22&lt;=1,C19*F22*('数据-取费表'!B19/2+'数据-取费表'!B21),C19*(POWER((1+F22),('数据-取费表'!B19/2+'数据-取费表'!B21))-1)),0)</f>
        <v>4</v>
      </c>
      <c r="D24" s="283"/>
      <c r="E24" s="283"/>
      <c r="F24" s="284"/>
      <c r="G24" s="285" t="s">
        <v>2368</v>
      </c>
    </row>
    <row r="25" spans="1:7" s="259" customFormat="1" ht="24">
      <c r="A25" s="954" t="s">
        <v>2369</v>
      </c>
      <c r="B25" s="260" t="s">
        <v>2370</v>
      </c>
      <c r="C25" s="1358">
        <f ca="1">ROUND(IF('数据-取费表'!B22&lt;=1,C20*F22*'数据-取费表'!B23/2,C20*(POWER((1+F22),'数据-取费表'!B23/2)-1)),0)</f>
        <v>0</v>
      </c>
      <c r="D25" s="283"/>
      <c r="E25" s="286"/>
      <c r="F25" s="284"/>
      <c r="G25" s="287" t="s">
        <v>2371</v>
      </c>
    </row>
    <row r="26" spans="1:7" s="259" customFormat="1">
      <c r="A26" s="954" t="s">
        <v>795</v>
      </c>
      <c r="B26" s="260" t="s">
        <v>2372</v>
      </c>
      <c r="C26" s="283">
        <f ca="1">ROUND(IF('数据-取费表'!B22&lt;=1,F21*F22*'数据-取费表'!B23/2,F21*(POWER((1+F22),'数据-取费表'!B23/2)-1)),4)</f>
        <v>1E-3</v>
      </c>
      <c r="D26" s="283"/>
      <c r="E26" s="286"/>
      <c r="F26" s="284"/>
      <c r="G26" s="288"/>
    </row>
    <row r="27" spans="1:7" s="259" customFormat="1" ht="24.75">
      <c r="A27" s="300" t="s">
        <v>2373</v>
      </c>
      <c r="B27" s="289" t="s">
        <v>2374</v>
      </c>
      <c r="C27" s="290">
        <f ca="1">C28</f>
        <v>9</v>
      </c>
      <c r="D27" s="280">
        <f ca="1">C29</f>
        <v>4.0000000000000001E-3</v>
      </c>
      <c r="E27" s="281" t="s">
        <v>2375</v>
      </c>
      <c r="F27" s="291">
        <f ca="1">IF(B1="",'数据-取费表'!Q16,INDIRECT("'数据-取费表'!q"&amp;$G$1))</f>
        <v>0.2</v>
      </c>
      <c r="G27" s="292" t="s">
        <v>2376</v>
      </c>
    </row>
    <row r="28" spans="1:7" s="259" customFormat="1" ht="13.5" customHeight="1">
      <c r="A28" s="954" t="s">
        <v>791</v>
      </c>
      <c r="B28" s="293" t="s">
        <v>2377</v>
      </c>
      <c r="C28" s="294">
        <f ca="1">ROUND((C5+C19+C20)*F27*'数据-取费表'!B21/'数据-取费表'!B20,0)</f>
        <v>9</v>
      </c>
      <c r="D28" s="280"/>
      <c r="E28" s="281"/>
      <c r="F28" s="291"/>
      <c r="G28" s="292"/>
    </row>
    <row r="29" spans="1:7" s="259" customFormat="1" ht="13.5" customHeight="1">
      <c r="A29" s="954" t="s">
        <v>792</v>
      </c>
      <c r="B29" s="293" t="s">
        <v>2378</v>
      </c>
      <c r="C29" s="283">
        <f ca="1">ROUND(C21*F27*'数据-取费表'!B21/'数据-取费表'!B20,4)</f>
        <v>4.0000000000000001E-3</v>
      </c>
      <c r="D29" s="280"/>
      <c r="E29" s="281"/>
      <c r="F29" s="291"/>
      <c r="G29" s="292"/>
    </row>
    <row r="30" spans="1:7" s="259" customFormat="1" ht="13.5" customHeight="1">
      <c r="A30" s="300" t="s">
        <v>2379</v>
      </c>
      <c r="B30" s="255" t="s">
        <v>2380</v>
      </c>
      <c r="C30" s="280">
        <f>ROUND(F30/(1+'数据-取费表'!C42),4)</f>
        <v>5.33E-2</v>
      </c>
      <c r="D30" s="281" t="s">
        <v>2375</v>
      </c>
      <c r="E30" s="286"/>
      <c r="F30" s="282">
        <f>'数据-取费表'!B41</f>
        <v>5.6000000000000001E-2</v>
      </c>
      <c r="G30" s="279" t="s">
        <v>2381</v>
      </c>
    </row>
    <row r="31" spans="1:7" ht="16.5" customHeight="1">
      <c r="A31" s="254">
        <v>1</v>
      </c>
      <c r="B31" s="255" t="s">
        <v>2382</v>
      </c>
      <c r="C31" s="256">
        <f ca="1">ROUND((C5+C19+C20+C22+C27)/(1-C21-D22-D27-C30),0)</f>
        <v>65</v>
      </c>
      <c r="D31" s="275"/>
      <c r="E31" s="256"/>
      <c r="F31" s="295"/>
      <c r="G31" s="279" t="s">
        <v>2383</v>
      </c>
    </row>
    <row r="32" spans="1:7" s="253" customFormat="1" ht="15.75">
      <c r="A32" s="297" t="s">
        <v>2384</v>
      </c>
      <c r="B32" s="298"/>
      <c r="C32" s="298"/>
      <c r="D32" s="298"/>
      <c r="E32" s="298"/>
      <c r="F32" s="298"/>
      <c r="G32" s="299"/>
    </row>
    <row r="33" spans="1:7" s="259" customFormat="1" ht="13.5" customHeight="1">
      <c r="A33" s="300" t="s">
        <v>782</v>
      </c>
      <c r="B33" s="255" t="s">
        <v>2385</v>
      </c>
      <c r="C33" s="301">
        <f ca="1">SUM(C34:C38)</f>
        <v>527</v>
      </c>
      <c r="D33" s="277"/>
      <c r="E33" s="257"/>
      <c r="F33" s="286"/>
      <c r="G33" s="279"/>
    </row>
    <row r="34" spans="1:7" s="303" customFormat="1" ht="13.5" customHeight="1">
      <c r="A34" s="954" t="s">
        <v>791</v>
      </c>
      <c r="B34" s="260" t="s">
        <v>2386</v>
      </c>
      <c r="C34" s="265">
        <f ca="1">IF(B1="",IF(F34=100%,'数据-取费表'!M16,'数据-取费表'!O16),IF(F34=100%,INDIRECT("'数据-取费表'!m"&amp;$G$1)+INDIRECT("'数据-取费表'!t"&amp;$G$1),INDIRECT("'数据-取费表'!o"&amp;$G$1)+INDIRECT("'数据-取费表'!aq"&amp;$G$1)))</f>
        <v>460</v>
      </c>
      <c r="D34" s="262"/>
      <c r="E34" s="265"/>
      <c r="F34" s="302">
        <f ca="1">IF('数据-取费表'!B24=0,1,IF(B1="",'数据-取费表'!N16,INDIRECT("'数据-取费表'!n"&amp;$G$1)))</f>
        <v>1</v>
      </c>
      <c r="G34" s="264" t="s">
        <v>2387</v>
      </c>
    </row>
    <row r="35" spans="1:7" ht="13.5" customHeight="1">
      <c r="A35" s="954" t="s">
        <v>796</v>
      </c>
      <c r="B35" s="260" t="s">
        <v>2388</v>
      </c>
      <c r="C35" s="265">
        <f ca="1">ROUND(C34*F35,0)</f>
        <v>14</v>
      </c>
      <c r="D35" s="265"/>
      <c r="E35" s="265"/>
      <c r="F35" s="304">
        <f>'数据-取费表'!B33</f>
        <v>0.03</v>
      </c>
      <c r="G35" s="264" t="s">
        <v>2389</v>
      </c>
    </row>
    <row r="36" spans="1:7" ht="24">
      <c r="A36" s="954" t="s">
        <v>797</v>
      </c>
      <c r="B36" s="260" t="s">
        <v>2390</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0.05</v>
      </c>
      <c r="G36" s="305" t="s">
        <v>2391</v>
      </c>
    </row>
    <row r="37" spans="1:7" s="303" customFormat="1" ht="13.5" customHeight="1">
      <c r="A37" s="954" t="s">
        <v>798</v>
      </c>
      <c r="B37" s="260" t="s">
        <v>2392</v>
      </c>
      <c r="C37" s="294">
        <f ca="1">ROUND(E37*D37*F34/10000,0)</f>
        <v>46</v>
      </c>
      <c r="D37" s="262">
        <f ca="1">D19</f>
        <v>2300.98</v>
      </c>
      <c r="E37" s="294">
        <f>'数据-取费表'!B35</f>
        <v>200</v>
      </c>
      <c r="F37" s="304"/>
      <c r="G37" s="306" t="s">
        <v>2393</v>
      </c>
    </row>
    <row r="38" spans="1:7" ht="13.5" customHeight="1">
      <c r="A38" s="954" t="s">
        <v>799</v>
      </c>
      <c r="B38" s="260" t="s">
        <v>2394</v>
      </c>
      <c r="C38" s="265">
        <f ca="1">ROUND(C34*F38,0)</f>
        <v>7</v>
      </c>
      <c r="D38" s="265"/>
      <c r="E38" s="265"/>
      <c r="F38" s="304">
        <f>'数据-取费表'!B36</f>
        <v>1.4999999999999999E-2</v>
      </c>
      <c r="G38" s="264" t="s">
        <v>2389</v>
      </c>
    </row>
    <row r="39" spans="1:7" s="259" customFormat="1" ht="13.5" customHeight="1">
      <c r="A39" s="300" t="s">
        <v>2395</v>
      </c>
      <c r="B39" s="255" t="s">
        <v>2396</v>
      </c>
      <c r="C39" s="277">
        <f ca="1">ROUND(C33*F20,0)</f>
        <v>11</v>
      </c>
      <c r="D39" s="277"/>
      <c r="E39" s="277"/>
      <c r="F39" s="278"/>
      <c r="G39" s="279" t="s">
        <v>2397</v>
      </c>
    </row>
    <row r="40" spans="1:7" s="259" customFormat="1" ht="13.5" customHeight="1">
      <c r="A40" s="300" t="s">
        <v>2398</v>
      </c>
      <c r="B40" s="255" t="s">
        <v>2399</v>
      </c>
      <c r="C40" s="1732">
        <f>F21</f>
        <v>0.02</v>
      </c>
      <c r="D40" s="281" t="s">
        <v>2400</v>
      </c>
      <c r="E40" s="277"/>
      <c r="F40" s="278"/>
      <c r="G40" s="279" t="s">
        <v>2401</v>
      </c>
    </row>
    <row r="41" spans="1:7" s="259" customFormat="1" ht="13.5" customHeight="1">
      <c r="A41" s="300" t="s">
        <v>2402</v>
      </c>
      <c r="B41" s="255" t="s">
        <v>2403</v>
      </c>
      <c r="C41" s="277">
        <f ca="1">ROUND(SUM(C42:C43),0)</f>
        <v>26</v>
      </c>
      <c r="D41" s="280">
        <f ca="1">C44</f>
        <v>1E-3</v>
      </c>
      <c r="E41" s="281" t="s">
        <v>2400</v>
      </c>
      <c r="F41" s="282"/>
      <c r="G41" s="279" t="str">
        <f>IF('数据-取费表'!B22&lt;=1,"单利计息","复利计息")</f>
        <v>复利计息</v>
      </c>
    </row>
    <row r="42" spans="1:7" ht="13.5" customHeight="1">
      <c r="A42" s="954" t="s">
        <v>791</v>
      </c>
      <c r="B42" s="260" t="s">
        <v>2404</v>
      </c>
      <c r="C42" s="283">
        <f ca="1">ROUND(IF('数据-取费表'!B22&lt;=1,C33*F22*'数据-取费表'!B21/2,C33*(POWER((1+F22),'数据-取费表'!B21/2)-1)),0)</f>
        <v>25</v>
      </c>
      <c r="D42" s="283"/>
      <c r="E42" s="283"/>
      <c r="F42" s="284"/>
      <c r="G42" s="3137" t="s">
        <v>2405</v>
      </c>
    </row>
    <row r="43" spans="1:7" ht="13.5" customHeight="1">
      <c r="A43" s="954" t="s">
        <v>792</v>
      </c>
      <c r="B43" s="260" t="s">
        <v>2406</v>
      </c>
      <c r="C43" s="283">
        <f ca="1">ROUND(IF('数据-取费表'!B22&lt;=1,C39*F22*'数据-取费表'!B21/2,C39*(POWER((1+F22),'数据-取费表'!B21/2)-1)),0)</f>
        <v>1</v>
      </c>
      <c r="D43" s="283"/>
      <c r="E43" s="283"/>
      <c r="F43" s="284"/>
      <c r="G43" s="3138"/>
    </row>
    <row r="44" spans="1:7" ht="13.5" customHeight="1">
      <c r="A44" s="954" t="s">
        <v>793</v>
      </c>
      <c r="B44" s="260" t="s">
        <v>2407</v>
      </c>
      <c r="C44" s="283">
        <f ca="1">ROUND(IF('数据-取费表'!B22&lt;=1,C40*F22*'数据-取费表'!B21/2,C40*(POWER((1+F22),'数据-取费表'!B21/2)-1)),4)</f>
        <v>1E-3</v>
      </c>
      <c r="D44" s="283"/>
      <c r="E44" s="283"/>
      <c r="F44" s="284"/>
      <c r="G44" s="3139"/>
    </row>
    <row r="45" spans="1:7" s="259" customFormat="1" ht="13.5" customHeight="1">
      <c r="A45" s="300" t="s">
        <v>2408</v>
      </c>
      <c r="B45" s="289" t="s">
        <v>2374</v>
      </c>
      <c r="C45" s="290">
        <f ca="1">C46</f>
        <v>108</v>
      </c>
      <c r="D45" s="280">
        <f ca="1">C47</f>
        <v>4.0000000000000001E-3</v>
      </c>
      <c r="E45" s="281" t="s">
        <v>2400</v>
      </c>
      <c r="F45" s="291"/>
      <c r="G45" s="292" t="s">
        <v>2409</v>
      </c>
    </row>
    <row r="46" spans="1:7" s="259" customFormat="1" ht="13.5" customHeight="1">
      <c r="A46" s="954" t="s">
        <v>791</v>
      </c>
      <c r="B46" s="293" t="s">
        <v>2410</v>
      </c>
      <c r="C46" s="294">
        <f ca="1">ROUND((C33+C39)*F27,0)</f>
        <v>108</v>
      </c>
      <c r="D46" s="308"/>
      <c r="E46" s="281"/>
      <c r="F46" s="291"/>
      <c r="G46" s="292"/>
    </row>
    <row r="47" spans="1:7" s="259" customFormat="1" ht="13.5" customHeight="1">
      <c r="A47" s="954" t="s">
        <v>792</v>
      </c>
      <c r="B47" s="293" t="s">
        <v>2411</v>
      </c>
      <c r="C47" s="283">
        <f ca="1">ROUND(C40*F27,4)</f>
        <v>4.0000000000000001E-3</v>
      </c>
      <c r="D47" s="308"/>
      <c r="E47" s="281"/>
      <c r="F47" s="291"/>
      <c r="G47" s="292"/>
    </row>
    <row r="48" spans="1:7" s="259" customFormat="1" ht="13.5" customHeight="1">
      <c r="A48" s="300" t="s">
        <v>2373</v>
      </c>
      <c r="B48" s="255" t="s">
        <v>2412</v>
      </c>
      <c r="C48" s="1732">
        <f>ROUND(F30/(1+'数据-取费表'!C42),4)</f>
        <v>5.33E-2</v>
      </c>
      <c r="D48" s="281" t="s">
        <v>2400</v>
      </c>
      <c r="E48" s="277"/>
      <c r="F48" s="282"/>
      <c r="G48" s="279" t="s">
        <v>2413</v>
      </c>
    </row>
    <row r="49" spans="1:7" ht="16.5" customHeight="1">
      <c r="A49" s="300" t="s">
        <v>2379</v>
      </c>
      <c r="B49" s="255" t="s">
        <v>2414</v>
      </c>
      <c r="C49" s="277">
        <f ca="1">ROUND((C33+C39+C41+C45)/(1-C40-D41-D45-C48),0)</f>
        <v>729</v>
      </c>
      <c r="D49" s="277"/>
      <c r="E49" s="277"/>
      <c r="F49" s="309"/>
      <c r="G49" s="279" t="s">
        <v>2415</v>
      </c>
    </row>
    <row r="50" spans="1:7" s="303" customFormat="1" ht="24">
      <c r="A50" s="300" t="s">
        <v>2416</v>
      </c>
      <c r="B50" s="255" t="s">
        <v>2417</v>
      </c>
      <c r="C50" s="277"/>
      <c r="D50" s="277"/>
      <c r="E50" s="277"/>
      <c r="F50" s="309">
        <f>IF('数据-取费表'!B24=0,'数据-取费表'!N16,1)</f>
        <v>0.96699999999999997</v>
      </c>
      <c r="G50" s="292" t="s">
        <v>2418</v>
      </c>
    </row>
    <row r="51" spans="1:7" ht="16.5" customHeight="1">
      <c r="A51" s="300" t="s">
        <v>2419</v>
      </c>
      <c r="B51" s="255" t="s">
        <v>2420</v>
      </c>
      <c r="C51" s="277">
        <f ca="1">ROUND(C49*F50,0)</f>
        <v>705</v>
      </c>
      <c r="D51" s="277"/>
      <c r="E51" s="277"/>
      <c r="F51" s="309"/>
      <c r="G51" s="279" t="s">
        <v>2421</v>
      </c>
    </row>
    <row r="52" spans="1:7" s="253" customFormat="1" ht="16.5" thickBot="1">
      <c r="A52" s="310" t="s">
        <v>2422</v>
      </c>
      <c r="B52" s="311"/>
      <c r="C52" s="312">
        <f ca="1">C31+C51</f>
        <v>770</v>
      </c>
      <c r="D52" s="311"/>
      <c r="E52" s="311"/>
      <c r="F52" s="311"/>
      <c r="G52" s="313"/>
    </row>
    <row r="55" spans="1:7" ht="15">
      <c r="B55" s="315" t="s">
        <v>2423</v>
      </c>
      <c r="C55" s="316"/>
    </row>
    <row r="56" spans="1:7">
      <c r="B56" s="318" t="s">
        <v>1515</v>
      </c>
      <c r="C56" s="320">
        <f ca="1">1-C57</f>
        <v>8.3999999999999964E-2</v>
      </c>
    </row>
    <row r="57" spans="1:7">
      <c r="B57" s="318" t="s">
        <v>1516</v>
      </c>
      <c r="C57" s="319">
        <f ca="1">ROUND(C51/C52,3)</f>
        <v>0.91600000000000004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1" t="str">
        <f>项目基本情况!B1</f>
        <v>北京市北京市海淀区白家疃尚峰园3号楼101号等17套房地产抵押价值预评估</v>
      </c>
      <c r="C37" s="2951"/>
      <c r="D37" s="2951"/>
      <c r="E37" s="2951"/>
      <c r="F37" s="2951"/>
      <c r="G37" s="2951"/>
      <c r="H37" s="2951"/>
      <c r="I37" s="2951"/>
    </row>
    <row r="38" spans="1:9">
      <c r="A38" s="1019"/>
      <c r="B38" s="1019"/>
    </row>
    <row r="39" spans="1:9">
      <c r="A39" s="1017" t="s">
        <v>818</v>
      </c>
      <c r="B39" s="1017" t="s">
        <v>820</v>
      </c>
    </row>
    <row r="40" spans="1:9">
      <c r="A40" s="1017"/>
      <c r="B40" s="1946" t="str">
        <f>项目基本情况!B5</f>
        <v>北京世纪正源房地产开发有限公司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刘梅（注册号：1120140022)、王鹏（注册号：1120050019)</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2322</v>
      </c>
      <c r="B1" s="1941"/>
      <c r="C1" s="2558" t="s">
        <v>2424</v>
      </c>
      <c r="D1" s="243"/>
      <c r="E1" s="243"/>
      <c r="F1" s="243"/>
      <c r="G1" s="1382">
        <f>MATCH(B1,'数据-取费表'!A6:A16,0)+5</f>
        <v>7</v>
      </c>
      <c r="H1" s="1285" t="str">
        <f>IF(ISERROR(FIND("住宅",B1)),"非住宅","住宅")</f>
        <v>非住宅</v>
      </c>
    </row>
    <row r="2" spans="1:8" s="245" customFormat="1" ht="18" customHeight="1">
      <c r="A2" s="246" t="s">
        <v>2323</v>
      </c>
      <c r="B2" s="247">
        <f ca="1">ROUND(IF(D2="——",C52/10000,C52/10000-E2),0)</f>
        <v>835</v>
      </c>
      <c r="C2" s="244" t="s">
        <v>2324</v>
      </c>
      <c r="D2" s="2552" t="s">
        <v>70</v>
      </c>
      <c r="E2" s="1443" t="e">
        <f ca="1">SUMIF(INDIRECT("'"&amp;G2&amp;"'"&amp;"!A:A"),"承租人权益价值",INDIRECT("'"&amp;G2&amp;"'"&amp;"!c:c"))</f>
        <v>#REF!</v>
      </c>
      <c r="F2" s="2553" t="s">
        <v>2324</v>
      </c>
      <c r="G2" s="2554"/>
    </row>
    <row r="3" spans="1:8" s="245" customFormat="1" ht="18" customHeight="1" thickBot="1">
      <c r="A3" s="248" t="s">
        <v>2325</v>
      </c>
      <c r="B3" s="249">
        <f ca="1">ROUND(B2*10000/(IF(B1="",'数据-汇总表'!E3,INDIRECT("'数据-取费表'!k"&amp;$G$1))),0)</f>
        <v>3629</v>
      </c>
      <c r="C3" s="244" t="s">
        <v>2326</v>
      </c>
      <c r="D3" s="244"/>
      <c r="E3" s="244"/>
      <c r="F3" s="244"/>
      <c r="G3" s="244"/>
    </row>
    <row r="4" spans="1:8" s="253" customFormat="1" ht="15.75">
      <c r="A4" s="250" t="s">
        <v>2327</v>
      </c>
      <c r="B4" s="251"/>
      <c r="C4" s="251"/>
      <c r="D4" s="251"/>
      <c r="E4" s="251"/>
      <c r="F4" s="251"/>
      <c r="G4" s="252"/>
    </row>
    <row r="5" spans="1:8" s="259" customFormat="1" ht="13.5" customHeight="1">
      <c r="A5" s="300" t="s">
        <v>2328</v>
      </c>
      <c r="B5" s="255" t="s">
        <v>2329</v>
      </c>
      <c r="C5" s="256">
        <f ca="1">C6+C7+C8</f>
        <v>460196</v>
      </c>
      <c r="D5" s="256" t="s">
        <v>2330</v>
      </c>
      <c r="E5" s="257" t="s">
        <v>2331</v>
      </c>
      <c r="F5" s="257" t="s">
        <v>2332</v>
      </c>
      <c r="G5" s="258"/>
    </row>
    <row r="6" spans="1:8" s="259" customFormat="1" ht="13.5" customHeight="1">
      <c r="A6" s="952" t="s">
        <v>2333</v>
      </c>
      <c r="B6" s="260" t="s">
        <v>2334</v>
      </c>
      <c r="C6" s="261"/>
      <c r="D6" s="262"/>
      <c r="E6" s="263"/>
      <c r="F6" s="263"/>
      <c r="G6" s="264"/>
    </row>
    <row r="7" spans="1:8" s="259" customFormat="1" ht="13.5" customHeight="1">
      <c r="A7" s="952" t="s">
        <v>2335</v>
      </c>
      <c r="B7" s="260" t="s">
        <v>2336</v>
      </c>
      <c r="C7" s="265">
        <f>ROUND(C6*F7,0)</f>
        <v>0</v>
      </c>
      <c r="D7" s="265"/>
      <c r="E7" s="263"/>
      <c r="F7" s="266">
        <f>'数据-取费表'!B48+'数据-取费表'!B49</f>
        <v>3.0499999999999999E-2</v>
      </c>
      <c r="G7" s="264"/>
    </row>
    <row r="8" spans="1:8" s="268" customFormat="1">
      <c r="A8" s="952" t="s">
        <v>2337</v>
      </c>
      <c r="B8" s="260" t="s">
        <v>2338</v>
      </c>
      <c r="C8" s="265">
        <f ca="1">IF(G8="已包含在土地购买价格中",0,C9+C10)</f>
        <v>460196</v>
      </c>
      <c r="D8" s="267"/>
      <c r="E8" s="265"/>
      <c r="F8" s="266"/>
      <c r="G8" s="2555"/>
    </row>
    <row r="9" spans="1:8" s="259" customFormat="1" ht="13.5" customHeight="1">
      <c r="A9" s="953" t="s">
        <v>800</v>
      </c>
      <c r="B9" s="269" t="s">
        <v>2339</v>
      </c>
      <c r="C9" s="270">
        <f ca="1">ROUND(D9*E9,0)</f>
        <v>0</v>
      </c>
      <c r="D9" s="1035">
        <f ca="1">IF(B1="",'数据-汇总表'!E5,IF(INDIRECT("'数据-取费表'!c"&amp;$G$1)="住宅",INDIRECT("'数据-取费表'!k"&amp;$G$1),0))</f>
        <v>0</v>
      </c>
      <c r="E9" s="270">
        <f>'数据-取费表'!B27</f>
        <v>0</v>
      </c>
      <c r="F9" s="266"/>
      <c r="G9" s="271"/>
    </row>
    <row r="10" spans="1:8" s="259" customFormat="1" ht="13.5" customHeight="1">
      <c r="A10" s="953" t="s">
        <v>801</v>
      </c>
      <c r="B10" s="269" t="s">
        <v>2341</v>
      </c>
      <c r="C10" s="270">
        <f ca="1">ROUND(D10*E10,0)</f>
        <v>460196</v>
      </c>
      <c r="D10" s="1035">
        <f ca="1">IF(B1="",'数据-汇总表'!E6,IF(INDIRECT("'数据-取费表'!c"&amp;$G$1)="住宅",INDIRECT("'数据-取费表'!s"&amp;$G$1),INDIRECT("'数据-取费表'!k"&amp;$G$1)+INDIRECT("'数据-取费表'!s"&amp;$G$1)))</f>
        <v>2300.98</v>
      </c>
      <c r="E10" s="270">
        <f>'数据-取费表'!B28</f>
        <v>200</v>
      </c>
      <c r="F10" s="266"/>
      <c r="G10" s="271"/>
    </row>
    <row r="11" spans="1:8" s="259" customFormat="1" ht="13.5" hidden="1" customHeight="1">
      <c r="A11" s="272" t="s">
        <v>7</v>
      </c>
      <c r="B11" s="260" t="s">
        <v>2342</v>
      </c>
      <c r="C11" s="256"/>
      <c r="D11" s="1037"/>
      <c r="E11" s="263"/>
      <c r="F11" s="263"/>
      <c r="G11" s="264"/>
    </row>
    <row r="12" spans="1:8" s="259" customFormat="1" ht="13.5" hidden="1" customHeight="1">
      <c r="A12" s="272" t="s">
        <v>8</v>
      </c>
      <c r="B12" s="260" t="s">
        <v>2425</v>
      </c>
      <c r="C12" s="256">
        <v>0</v>
      </c>
      <c r="D12" s="1037"/>
      <c r="E12" s="273"/>
      <c r="F12" s="266">
        <v>3.0499999999999999E-2</v>
      </c>
      <c r="G12" s="264"/>
    </row>
    <row r="13" spans="1:8" s="259" customFormat="1" ht="13.5" hidden="1" customHeight="1">
      <c r="A13" s="272" t="s">
        <v>9</v>
      </c>
      <c r="B13" s="260" t="s">
        <v>2426</v>
      </c>
      <c r="C13" s="256"/>
      <c r="D13" s="1037"/>
      <c r="E13" s="263"/>
      <c r="F13" s="263"/>
      <c r="G13" s="264"/>
    </row>
    <row r="14" spans="1:8" s="259" customFormat="1" ht="13.5" hidden="1" customHeight="1">
      <c r="A14" s="272" t="s">
        <v>10</v>
      </c>
      <c r="B14" s="260" t="s">
        <v>2338</v>
      </c>
      <c r="C14" s="256"/>
      <c r="D14" s="1037"/>
      <c r="E14" s="263"/>
      <c r="F14" s="263"/>
      <c r="G14" s="264" t="s">
        <v>2427</v>
      </c>
    </row>
    <row r="15" spans="1:8" s="259" customFormat="1" ht="13.5" hidden="1" customHeight="1">
      <c r="A15" s="272" t="s">
        <v>11</v>
      </c>
      <c r="B15" s="260" t="s">
        <v>2428</v>
      </c>
      <c r="C15" s="265"/>
      <c r="D15" s="1037"/>
      <c r="E15" s="263"/>
      <c r="F15" s="263"/>
      <c r="G15" s="264" t="s">
        <v>2429</v>
      </c>
    </row>
    <row r="16" spans="1:8" s="259" customFormat="1" ht="13.5" hidden="1" customHeight="1">
      <c r="A16" s="272" t="s">
        <v>12</v>
      </c>
      <c r="B16" s="260" t="s">
        <v>2338</v>
      </c>
      <c r="C16" s="265"/>
      <c r="D16" s="1037"/>
      <c r="E16" s="263"/>
      <c r="F16" s="263"/>
      <c r="G16" s="264"/>
    </row>
    <row r="17" spans="1:7" s="259" customFormat="1" ht="13.5" hidden="1" customHeight="1">
      <c r="A17" s="272" t="s">
        <v>13</v>
      </c>
      <c r="B17" s="260" t="s">
        <v>2430</v>
      </c>
      <c r="C17" s="274"/>
      <c r="D17" s="1038"/>
      <c r="E17" s="274"/>
      <c r="F17" s="274"/>
      <c r="G17" s="264" t="s">
        <v>2429</v>
      </c>
    </row>
    <row r="18" spans="1:7" s="259" customFormat="1" ht="13.5" hidden="1" customHeight="1">
      <c r="A18" s="272" t="s">
        <v>14</v>
      </c>
      <c r="B18" s="260" t="s">
        <v>2431</v>
      </c>
      <c r="C18" s="265">
        <v>0</v>
      </c>
      <c r="D18" s="1037"/>
      <c r="E18" s="263"/>
      <c r="F18" s="266">
        <v>3.0499999999999999E-2</v>
      </c>
      <c r="G18" s="264" t="s">
        <v>2432</v>
      </c>
    </row>
    <row r="19" spans="1:7" s="268" customFormat="1" ht="13.5" customHeight="1">
      <c r="A19" s="300" t="s">
        <v>2433</v>
      </c>
      <c r="B19" s="255" t="s">
        <v>2434</v>
      </c>
      <c r="C19" s="256">
        <f ca="1">IF(G19="已包含在土地取得成本中","0",ROUND(D19*E19,0))</f>
        <v>460196</v>
      </c>
      <c r="D19" s="1039">
        <f ca="1">D9+D10</f>
        <v>2300.98</v>
      </c>
      <c r="E19" s="256">
        <f>'数据-取费表'!B31</f>
        <v>200</v>
      </c>
      <c r="F19" s="276"/>
      <c r="G19" s="2555"/>
    </row>
    <row r="20" spans="1:7" s="259" customFormat="1" ht="13.5" customHeight="1">
      <c r="A20" s="300" t="s">
        <v>2435</v>
      </c>
      <c r="B20" s="255" t="s">
        <v>2436</v>
      </c>
      <c r="C20" s="277">
        <f ca="1">ROUND((C5+C19)*F20,0)</f>
        <v>18408</v>
      </c>
      <c r="D20" s="277"/>
      <c r="E20" s="277"/>
      <c r="F20" s="278">
        <f>'数据-取费表'!B37</f>
        <v>0.02</v>
      </c>
      <c r="G20" s="279" t="s">
        <v>2437</v>
      </c>
    </row>
    <row r="21" spans="1:7" s="259" customFormat="1" ht="13.5" customHeight="1">
      <c r="A21" s="300" t="s">
        <v>2438</v>
      </c>
      <c r="B21" s="255" t="s">
        <v>2439</v>
      </c>
      <c r="C21" s="280">
        <f>F21</f>
        <v>0.02</v>
      </c>
      <c r="D21" s="281" t="s">
        <v>2440</v>
      </c>
      <c r="E21" s="277"/>
      <c r="F21" s="278">
        <f>'数据-取费表'!B38</f>
        <v>0.02</v>
      </c>
      <c r="G21" s="279" t="s">
        <v>2441</v>
      </c>
    </row>
    <row r="22" spans="1:7" s="259" customFormat="1" ht="13.5" customHeight="1">
      <c r="A22" s="300" t="s">
        <v>2442</v>
      </c>
      <c r="B22" s="255" t="s">
        <v>2443</v>
      </c>
      <c r="C22" s="1383">
        <f ca="1">ROUND(SUM(C23:C25),0)</f>
        <v>90388</v>
      </c>
      <c r="D22" s="280">
        <f ca="1">C26</f>
        <v>1E-3</v>
      </c>
      <c r="E22" s="281" t="s">
        <v>2440</v>
      </c>
      <c r="F22" s="282">
        <f ca="1">'数据-取费表'!B40</f>
        <v>4.7500000000000001E-2</v>
      </c>
      <c r="G22" s="279" t="str">
        <f>IF('数据-取费表'!B22&lt;=1,"单利计息","复利计息")</f>
        <v>复利计息</v>
      </c>
    </row>
    <row r="23" spans="1:7" s="259" customFormat="1" ht="13.5" customHeight="1">
      <c r="A23" s="954" t="s">
        <v>2333</v>
      </c>
      <c r="B23" s="260" t="s">
        <v>2444</v>
      </c>
      <c r="C23" s="1384">
        <f ca="1">ROUND(IF('数据-取费表'!B22&lt;=1,C5*F22*'数据-取费表'!B22,C5*(POWER((1+F22),'数据-取费表'!B22)-1)),0)</f>
        <v>44757</v>
      </c>
      <c r="D23" s="283"/>
      <c r="E23" s="283"/>
      <c r="F23" s="284"/>
      <c r="G23" s="285" t="s">
        <v>2445</v>
      </c>
    </row>
    <row r="24" spans="1:7" s="259" customFormat="1" ht="13.5" customHeight="1">
      <c r="A24" s="954" t="s">
        <v>2335</v>
      </c>
      <c r="B24" s="260" t="s">
        <v>2446</v>
      </c>
      <c r="C24" s="1384">
        <f ca="1">ROUND(IF('数据-取费表'!B22&lt;=1,C19*F22*('数据-取费表'!B19/2+'数据-取费表'!B20),C19*(POWER((1+F22),('数据-取费表'!B19/2+'数据-取费表'!B20))-1)),0)</f>
        <v>44757</v>
      </c>
      <c r="D24" s="283"/>
      <c r="E24" s="283"/>
      <c r="F24" s="284"/>
      <c r="G24" s="285" t="s">
        <v>2447</v>
      </c>
    </row>
    <row r="25" spans="1:7" s="259" customFormat="1" ht="24">
      <c r="A25" s="954" t="s">
        <v>2337</v>
      </c>
      <c r="B25" s="260" t="s">
        <v>2448</v>
      </c>
      <c r="C25" s="1384">
        <f ca="1">ROUND(IF('数据-取费表'!B22&lt;=1,C20*F22*'数据-取费表'!B22/2,C20*(POWER((1+F22),'数据-取费表'!B22/2)-1)),0)</f>
        <v>874</v>
      </c>
      <c r="D25" s="283"/>
      <c r="E25" s="286"/>
      <c r="F25" s="284"/>
      <c r="G25" s="287" t="s">
        <v>2449</v>
      </c>
    </row>
    <row r="26" spans="1:7" s="259" customFormat="1">
      <c r="A26" s="954" t="s">
        <v>795</v>
      </c>
      <c r="B26" s="260" t="s">
        <v>2372</v>
      </c>
      <c r="C26" s="283">
        <f ca="1">ROUND(IF('数据-取费表'!B22&lt;=1,F21*F22*'数据-取费表'!B22/2,F21*(POWER((1+F22),'数据-取费表'!B22/2)-1)),4)</f>
        <v>1E-3</v>
      </c>
      <c r="D26" s="283"/>
      <c r="E26" s="286"/>
      <c r="F26" s="284"/>
      <c r="G26" s="288"/>
    </row>
    <row r="27" spans="1:7" s="259" customFormat="1" ht="24.75">
      <c r="A27" s="300" t="s">
        <v>2373</v>
      </c>
      <c r="B27" s="289" t="s">
        <v>2374</v>
      </c>
      <c r="C27" s="290">
        <f ca="1">C28</f>
        <v>187760</v>
      </c>
      <c r="D27" s="280">
        <f ca="1">C29</f>
        <v>4.0000000000000001E-3</v>
      </c>
      <c r="E27" s="281" t="s">
        <v>2375</v>
      </c>
      <c r="F27" s="291">
        <f ca="1">IF(B1="",'数据-取费表'!Q16,INDIRECT("'数据-取费表'!q"&amp;$G$1))</f>
        <v>0.2</v>
      </c>
      <c r="G27" s="292" t="s">
        <v>2376</v>
      </c>
    </row>
    <row r="28" spans="1:7" s="259" customFormat="1" ht="13.5" customHeight="1">
      <c r="A28" s="954" t="s">
        <v>791</v>
      </c>
      <c r="B28" s="293" t="s">
        <v>2377</v>
      </c>
      <c r="C28" s="294">
        <f ca="1">ROUND((C5+C19+C20)*F27,0)</f>
        <v>187760</v>
      </c>
      <c r="D28" s="280"/>
      <c r="E28" s="281"/>
      <c r="F28" s="291"/>
      <c r="G28" s="292"/>
    </row>
    <row r="29" spans="1:7" s="259" customFormat="1" ht="13.5" customHeight="1">
      <c r="A29" s="954" t="s">
        <v>792</v>
      </c>
      <c r="B29" s="293" t="s">
        <v>2378</v>
      </c>
      <c r="C29" s="283">
        <f ca="1">ROUND(C21*F27,4)</f>
        <v>4.0000000000000001E-3</v>
      </c>
      <c r="D29" s="280"/>
      <c r="E29" s="281"/>
      <c r="F29" s="291"/>
      <c r="G29" s="292"/>
    </row>
    <row r="30" spans="1:7" s="259" customFormat="1" ht="13.5" customHeight="1">
      <c r="A30" s="300" t="s">
        <v>2379</v>
      </c>
      <c r="B30" s="255" t="s">
        <v>2380</v>
      </c>
      <c r="C30" s="280">
        <f>ROUND(F30/(1+'数据-取费表'!C42),4)</f>
        <v>5.33E-2</v>
      </c>
      <c r="D30" s="281" t="s">
        <v>2375</v>
      </c>
      <c r="E30" s="286"/>
      <c r="F30" s="282">
        <f>'数据-取费表'!B41</f>
        <v>5.6000000000000001E-2</v>
      </c>
      <c r="G30" s="279" t="s">
        <v>2381</v>
      </c>
    </row>
    <row r="31" spans="1:7" ht="16.5" customHeight="1">
      <c r="A31" s="254">
        <v>1</v>
      </c>
      <c r="B31" s="255" t="s">
        <v>2382</v>
      </c>
      <c r="C31" s="256">
        <f ca="1">ROUND((C5+C19+C20+C22+C27)/(1-C21-D22-D27-C30),0)</f>
        <v>1320330</v>
      </c>
      <c r="D31" s="275"/>
      <c r="E31" s="256"/>
      <c r="F31" s="295"/>
      <c r="G31" s="279" t="s">
        <v>2383</v>
      </c>
    </row>
    <row r="32" spans="1:7" s="253" customFormat="1" ht="15.75">
      <c r="A32" s="297" t="s">
        <v>2450</v>
      </c>
      <c r="B32" s="298"/>
      <c r="C32" s="298"/>
      <c r="D32" s="298"/>
      <c r="E32" s="298"/>
      <c r="F32" s="298"/>
      <c r="G32" s="299"/>
    </row>
    <row r="33" spans="1:7" s="259" customFormat="1" ht="13.5" customHeight="1">
      <c r="A33" s="300" t="s">
        <v>782</v>
      </c>
      <c r="B33" s="255" t="s">
        <v>2451</v>
      </c>
      <c r="C33" s="301">
        <f ca="1">SUM(C34:C38)</f>
        <v>5269244</v>
      </c>
      <c r="D33" s="277"/>
      <c r="E33" s="257"/>
      <c r="F33" s="286"/>
      <c r="G33" s="279"/>
    </row>
    <row r="34" spans="1:7" s="303" customFormat="1" ht="13.5" customHeight="1">
      <c r="A34" s="954" t="s">
        <v>791</v>
      </c>
      <c r="B34" s="260" t="s">
        <v>2386</v>
      </c>
      <c r="C34" s="265">
        <f ca="1">ROUND(IF(B1="",SUMPRODUCT('数据-取费表'!K6:K14,'数据-取费表'!L6:L14),INDIRECT("'数据-取费表'!l"&amp;$G$1)*INDIRECT("'数据-取费表'!k"&amp;$G$1)+'数据-取费表'!L14*INDIRECT("'数据-取费表'!S"&amp;$G$1)),0)</f>
        <v>4601960</v>
      </c>
      <c r="D34" s="262"/>
      <c r="E34" s="265"/>
      <c r="F34" s="302"/>
      <c r="G34" s="264"/>
    </row>
    <row r="35" spans="1:7" ht="13.5" customHeight="1">
      <c r="A35" s="954" t="s">
        <v>796</v>
      </c>
      <c r="B35" s="260" t="s">
        <v>2388</v>
      </c>
      <c r="C35" s="265">
        <f ca="1">ROUND(C34*F35,0)</f>
        <v>138059</v>
      </c>
      <c r="D35" s="265"/>
      <c r="E35" s="265"/>
      <c r="F35" s="304">
        <f>'数据-取费表'!B33</f>
        <v>0.03</v>
      </c>
      <c r="G35" s="264" t="s">
        <v>2389</v>
      </c>
    </row>
    <row r="36" spans="1:7" ht="24">
      <c r="A36" s="954" t="s">
        <v>797</v>
      </c>
      <c r="B36" s="260" t="s">
        <v>2390</v>
      </c>
      <c r="C36" s="265">
        <f ca="1">ROUND(IF(B1="",SUM('数据-取费表'!AP6:AP13)*F36,IF(INDIRECT("'数据-取费表'!c"&amp;$G$1)="住宅",INDIRECT("'数据-取费表'!k"&amp;$G$1)*INDIRECT("'数据-取费表'!l"&amp;$G$1)*F36,0)),0)</f>
        <v>0</v>
      </c>
      <c r="D36" s="265"/>
      <c r="E36" s="265"/>
      <c r="F36" s="304">
        <f>'数据-取费表'!B34</f>
        <v>0.05</v>
      </c>
      <c r="G36" s="305" t="s">
        <v>2391</v>
      </c>
    </row>
    <row r="37" spans="1:7" s="303" customFormat="1" ht="13.5" customHeight="1">
      <c r="A37" s="954" t="s">
        <v>798</v>
      </c>
      <c r="B37" s="260" t="s">
        <v>2392</v>
      </c>
      <c r="C37" s="294">
        <f ca="1">ROUND(E37*D37,0)</f>
        <v>460196</v>
      </c>
      <c r="D37" s="262">
        <f ca="1">D19</f>
        <v>2300.98</v>
      </c>
      <c r="E37" s="294">
        <f>'数据-取费表'!B35</f>
        <v>200</v>
      </c>
      <c r="F37" s="304"/>
      <c r="G37" s="306"/>
    </row>
    <row r="38" spans="1:7" ht="13.5" customHeight="1">
      <c r="A38" s="954" t="s">
        <v>799</v>
      </c>
      <c r="B38" s="260" t="s">
        <v>2394</v>
      </c>
      <c r="C38" s="265">
        <f ca="1">ROUND(C34*F38,0)</f>
        <v>69029</v>
      </c>
      <c r="D38" s="265"/>
      <c r="E38" s="265"/>
      <c r="F38" s="304">
        <f>'数据-取费表'!B36</f>
        <v>1.4999999999999999E-2</v>
      </c>
      <c r="G38" s="264" t="s">
        <v>2389</v>
      </c>
    </row>
    <row r="39" spans="1:7" s="259" customFormat="1" ht="13.5" customHeight="1">
      <c r="A39" s="300" t="s">
        <v>2395</v>
      </c>
      <c r="B39" s="255" t="s">
        <v>2396</v>
      </c>
      <c r="C39" s="277">
        <f ca="1">ROUND(C33*F20,0)</f>
        <v>105385</v>
      </c>
      <c r="D39" s="277"/>
      <c r="E39" s="277"/>
      <c r="F39" s="278"/>
      <c r="G39" s="279" t="s">
        <v>2397</v>
      </c>
    </row>
    <row r="40" spans="1:7" s="259" customFormat="1" ht="13.5" customHeight="1">
      <c r="A40" s="300" t="s">
        <v>2398</v>
      </c>
      <c r="B40" s="255" t="s">
        <v>2399</v>
      </c>
      <c r="C40" s="1732">
        <f>F21</f>
        <v>0.02</v>
      </c>
      <c r="D40" s="281" t="s">
        <v>2400</v>
      </c>
      <c r="E40" s="277"/>
      <c r="F40" s="278"/>
      <c r="G40" s="279" t="s">
        <v>2401</v>
      </c>
    </row>
    <row r="41" spans="1:7" s="259" customFormat="1" ht="13.5" customHeight="1">
      <c r="A41" s="300" t="s">
        <v>2402</v>
      </c>
      <c r="B41" s="255" t="s">
        <v>2403</v>
      </c>
      <c r="C41" s="277">
        <f ca="1">ROUND(SUM(C42:C43),0)</f>
        <v>255295</v>
      </c>
      <c r="D41" s="280">
        <f ca="1">C44</f>
        <v>1E-3</v>
      </c>
      <c r="E41" s="281" t="s">
        <v>2400</v>
      </c>
      <c r="F41" s="282"/>
      <c r="G41" s="279" t="str">
        <f>IF('数据-取费表'!B22&lt;=1,"单利计息","复利计息")</f>
        <v>复利计息</v>
      </c>
    </row>
    <row r="42" spans="1:7" ht="13.5" customHeight="1">
      <c r="A42" s="954" t="s">
        <v>791</v>
      </c>
      <c r="B42" s="260" t="s">
        <v>2404</v>
      </c>
      <c r="C42" s="283">
        <f ca="1">ROUND(IF('数据-取费表'!B22&lt;=1,C33*F22*'数据-取费表'!B20/2,C33*(POWER((1+F22),'数据-取费表'!B20/2)-1)),0)</f>
        <v>250289</v>
      </c>
      <c r="D42" s="283"/>
      <c r="E42" s="283"/>
      <c r="F42" s="284"/>
      <c r="G42" s="3137" t="s">
        <v>2452</v>
      </c>
    </row>
    <row r="43" spans="1:7" ht="13.5" customHeight="1">
      <c r="A43" s="954" t="s">
        <v>792</v>
      </c>
      <c r="B43" s="260" t="s">
        <v>2406</v>
      </c>
      <c r="C43" s="283">
        <f ca="1">ROUND(IF('数据-取费表'!B22&lt;=1,C39*F22*'数据-取费表'!B20/2,C39*(POWER((1+F22),'数据-取费表'!B20/2)-1)),0)</f>
        <v>5006</v>
      </c>
      <c r="D43" s="283"/>
      <c r="E43" s="283"/>
      <c r="F43" s="284"/>
      <c r="G43" s="3138"/>
    </row>
    <row r="44" spans="1:7" ht="13.5" customHeight="1">
      <c r="A44" s="954" t="s">
        <v>793</v>
      </c>
      <c r="B44" s="260" t="s">
        <v>2407</v>
      </c>
      <c r="C44" s="283">
        <f ca="1">ROUND(IF('数据-取费表'!B22&lt;=1,C40*F22*'数据-取费表'!B20/2,C40*(POWER((1+F22),'数据-取费表'!B20/2)-1)),4)</f>
        <v>1E-3</v>
      </c>
      <c r="D44" s="283"/>
      <c r="E44" s="283"/>
      <c r="F44" s="284"/>
      <c r="G44" s="3139"/>
    </row>
    <row r="45" spans="1:7" s="259" customFormat="1" ht="13.5" customHeight="1">
      <c r="A45" s="300" t="s">
        <v>2408</v>
      </c>
      <c r="B45" s="289" t="s">
        <v>2374</v>
      </c>
      <c r="C45" s="290">
        <f ca="1">C46</f>
        <v>1074926</v>
      </c>
      <c r="D45" s="280">
        <f ca="1">C47</f>
        <v>4.0000000000000001E-3</v>
      </c>
      <c r="E45" s="281" t="s">
        <v>2400</v>
      </c>
      <c r="F45" s="291"/>
      <c r="G45" s="292" t="s">
        <v>2409</v>
      </c>
    </row>
    <row r="46" spans="1:7" s="259" customFormat="1" ht="13.5" customHeight="1">
      <c r="A46" s="954" t="s">
        <v>791</v>
      </c>
      <c r="B46" s="293" t="s">
        <v>2410</v>
      </c>
      <c r="C46" s="294">
        <f ca="1">ROUND((C33+C39)*F27,0)</f>
        <v>1074926</v>
      </c>
      <c r="D46" s="308"/>
      <c r="E46" s="281"/>
      <c r="F46" s="291"/>
      <c r="G46" s="292"/>
    </row>
    <row r="47" spans="1:7" s="259" customFormat="1" ht="13.5" customHeight="1">
      <c r="A47" s="954" t="s">
        <v>792</v>
      </c>
      <c r="B47" s="293" t="s">
        <v>2411</v>
      </c>
      <c r="C47" s="283">
        <f ca="1">ROUND(C40*F27,4)</f>
        <v>4.0000000000000001E-3</v>
      </c>
      <c r="D47" s="308"/>
      <c r="E47" s="281"/>
      <c r="F47" s="291"/>
      <c r="G47" s="292"/>
    </row>
    <row r="48" spans="1:7" s="259" customFormat="1" ht="13.5" customHeight="1">
      <c r="A48" s="300" t="s">
        <v>2373</v>
      </c>
      <c r="B48" s="255" t="s">
        <v>2412</v>
      </c>
      <c r="C48" s="307">
        <f>ROUND(F30/(1+'数据-取费表'!C42),4)</f>
        <v>5.33E-2</v>
      </c>
      <c r="D48" s="281" t="s">
        <v>2400</v>
      </c>
      <c r="E48" s="277"/>
      <c r="F48" s="282"/>
      <c r="G48" s="279" t="s">
        <v>2413</v>
      </c>
    </row>
    <row r="49" spans="1:7" ht="16.5" customHeight="1">
      <c r="A49" s="300" t="s">
        <v>2379</v>
      </c>
      <c r="B49" s="255" t="s">
        <v>2453</v>
      </c>
      <c r="C49" s="277">
        <f ca="1">ROUND((C33+C39+C41+C45)/(1-C40-D41-D45-C48),0)</f>
        <v>7274439</v>
      </c>
      <c r="D49" s="277"/>
      <c r="E49" s="277"/>
      <c r="F49" s="309"/>
      <c r="G49" s="279" t="s">
        <v>2415</v>
      </c>
    </row>
    <row r="50" spans="1:7" s="303" customFormat="1">
      <c r="A50" s="300" t="s">
        <v>2416</v>
      </c>
      <c r="B50" s="255" t="s">
        <v>2417</v>
      </c>
      <c r="C50" s="277"/>
      <c r="D50" s="277"/>
      <c r="E50" s="277"/>
      <c r="F50" s="309">
        <f>IF('数据-取费表'!B24=0,'数据-取费表'!N16,1)</f>
        <v>0.96699999999999997</v>
      </c>
      <c r="G50" s="292"/>
    </row>
    <row r="51" spans="1:7" ht="16.5" customHeight="1">
      <c r="A51" s="300" t="s">
        <v>2419</v>
      </c>
      <c r="B51" s="255" t="s">
        <v>2454</v>
      </c>
      <c r="C51" s="277">
        <f ca="1">ROUND(C49*F50,0)</f>
        <v>7034383</v>
      </c>
      <c r="D51" s="277"/>
      <c r="E51" s="277"/>
      <c r="F51" s="309"/>
      <c r="G51" s="279" t="s">
        <v>2421</v>
      </c>
    </row>
    <row r="52" spans="1:7" s="253" customFormat="1" ht="16.5" thickBot="1">
      <c r="A52" s="310" t="s">
        <v>2422</v>
      </c>
      <c r="B52" s="311"/>
      <c r="C52" s="312">
        <f ca="1">C31+C51</f>
        <v>8354713</v>
      </c>
      <c r="D52" s="311"/>
      <c r="E52" s="311"/>
      <c r="F52" s="311"/>
      <c r="G52" s="313"/>
    </row>
    <row r="55" spans="1:7" ht="15">
      <c r="B55" s="315" t="s">
        <v>2423</v>
      </c>
      <c r="C55" s="316"/>
    </row>
    <row r="56" spans="1:7">
      <c r="B56" s="318" t="s">
        <v>1515</v>
      </c>
      <c r="C56" s="320">
        <f ca="1">1-C57</f>
        <v>0.15800000000000003</v>
      </c>
    </row>
    <row r="57" spans="1:7">
      <c r="B57" s="318" t="s">
        <v>1516</v>
      </c>
      <c r="C57" s="319">
        <f ca="1">ROUND(C51/C52,3)</f>
        <v>0.84199999999999997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1" t="s">
        <v>2455</v>
      </c>
      <c r="B1" s="1585"/>
      <c r="C1" s="1586"/>
      <c r="D1" s="1584"/>
      <c r="E1" s="321"/>
      <c r="F1" s="321"/>
      <c r="G1" s="1585"/>
      <c r="H1" s="321"/>
      <c r="I1" s="321"/>
      <c r="J1" s="321"/>
      <c r="K1" s="321">
        <f>MATCH(C1,'数据-取费表'!A6:A16,0)+5</f>
        <v>7</v>
      </c>
    </row>
    <row r="2" spans="1:33" ht="18" customHeight="1">
      <c r="A2" s="246" t="s">
        <v>2323</v>
      </c>
      <c r="B2" s="249">
        <f ca="1">C32</f>
        <v>-54</v>
      </c>
      <c r="C2" s="321" t="s">
        <v>2456</v>
      </c>
      <c r="D2" s="321"/>
      <c r="E2" s="321"/>
      <c r="F2" s="321"/>
      <c r="G2" s="321"/>
      <c r="H2" s="321"/>
      <c r="I2" s="321"/>
      <c r="J2" s="321"/>
      <c r="K2" s="321"/>
    </row>
    <row r="3" spans="1:33" ht="18" customHeight="1" thickBot="1">
      <c r="A3" s="248" t="s">
        <v>2325</v>
      </c>
      <c r="B3" s="249">
        <f ca="1">ROUND(B2*10000/IF(C1="",'数据-汇总表'!E3,INDIRECT("'数据-取费表'!K"&amp;$K$1)),0)</f>
        <v>-235</v>
      </c>
      <c r="C3" s="321" t="s">
        <v>2457</v>
      </c>
      <c r="D3" s="321"/>
      <c r="E3" s="321"/>
      <c r="F3" s="321"/>
      <c r="G3" s="321"/>
      <c r="H3" s="321"/>
      <c r="I3" s="321"/>
      <c r="J3" s="321"/>
      <c r="K3" s="321"/>
    </row>
    <row r="4" spans="1:33" s="959" customFormat="1" ht="16.5" customHeight="1">
      <c r="A4" s="956" t="s">
        <v>2458</v>
      </c>
      <c r="B4" s="957"/>
      <c r="C4" s="999">
        <f>SUM(C8:K8)</f>
        <v>0</v>
      </c>
      <c r="D4" s="957"/>
      <c r="E4" s="957"/>
      <c r="F4" s="957"/>
      <c r="G4" s="957"/>
      <c r="H4" s="957"/>
      <c r="I4" s="957"/>
      <c r="J4" s="957"/>
      <c r="K4" s="958"/>
    </row>
    <row r="5" spans="1:33" s="963" customFormat="1" ht="24.75">
      <c r="A5" s="960" t="s">
        <v>2459</v>
      </c>
      <c r="B5" s="961" t="s">
        <v>2460</v>
      </c>
      <c r="C5" s="2559" t="s">
        <v>2461</v>
      </c>
      <c r="D5" s="2559" t="s">
        <v>2462</v>
      </c>
      <c r="E5" s="2559" t="s">
        <v>2463</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2465</v>
      </c>
      <c r="B7" s="140" t="s">
        <v>2466</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2467</v>
      </c>
      <c r="B8" s="178" t="s">
        <v>2468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2469</v>
      </c>
      <c r="B9" s="957"/>
      <c r="C9" s="957"/>
      <c r="D9" s="957"/>
      <c r="E9" s="957"/>
      <c r="F9" s="957"/>
      <c r="G9" s="957"/>
      <c r="H9" s="957"/>
      <c r="I9" s="957"/>
      <c r="J9" s="957"/>
      <c r="K9" s="958"/>
    </row>
    <row r="10" spans="1:33" s="973" customFormat="1" ht="13.5" customHeight="1">
      <c r="A10" s="960" t="s">
        <v>2470</v>
      </c>
      <c r="B10" s="8" t="s">
        <v>2471</v>
      </c>
      <c r="C10" s="969" t="s">
        <v>2472</v>
      </c>
      <c r="D10" s="970" t="s">
        <v>2473</v>
      </c>
      <c r="E10" s="970" t="s">
        <v>2474</v>
      </c>
      <c r="F10" s="970" t="s">
        <v>2475</v>
      </c>
      <c r="G10" s="8"/>
      <c r="H10" s="971"/>
      <c r="I10" s="971"/>
      <c r="J10" s="971"/>
      <c r="K10" s="972"/>
    </row>
    <row r="11" spans="1:33" s="978" customFormat="1" ht="13.5" customHeight="1">
      <c r="A11" s="974" t="s">
        <v>1335</v>
      </c>
      <c r="B11" s="975" t="s">
        <v>2476</v>
      </c>
      <c r="C11" s="324">
        <f ca="1">IF(C1="",'数据-取费表'!P16,INDIRECT("'数据-取费表'!p"&amp;$K$1)+INDIRECT("'数据-取费表'!ar"&amp;$K$1))</f>
        <v>0</v>
      </c>
      <c r="D11" s="976"/>
      <c r="E11" s="376"/>
      <c r="F11" s="977">
        <f ca="1">1-IF('数据-取费表'!B24=0,1,IF(C1="",'数据-取费表'!N16,INDIRECT("'数据-取费表'!n"&amp;$K$1)))</f>
        <v>0</v>
      </c>
      <c r="G11" s="8"/>
      <c r="H11" s="971"/>
      <c r="I11" s="971"/>
      <c r="J11" s="971"/>
      <c r="K11" s="972"/>
    </row>
    <row r="12" spans="1:33" s="978" customFormat="1" ht="13.5" customHeight="1">
      <c r="A12" s="974" t="s">
        <v>1336</v>
      </c>
      <c r="B12" s="975" t="s">
        <v>2477</v>
      </c>
      <c r="C12" s="24">
        <f ca="1">ROUND(C11*F12,0)</f>
        <v>0</v>
      </c>
      <c r="D12" s="976"/>
      <c r="E12" s="376"/>
      <c r="F12" s="979">
        <f>'数据-取费表'!B33</f>
        <v>0.03</v>
      </c>
      <c r="G12" s="8" t="s">
        <v>2478</v>
      </c>
      <c r="H12" s="971"/>
      <c r="I12" s="971"/>
      <c r="J12" s="971"/>
      <c r="K12" s="972"/>
    </row>
    <row r="13" spans="1:33" s="978" customFormat="1" ht="13.5" customHeight="1">
      <c r="A13" s="974" t="s">
        <v>1337</v>
      </c>
      <c r="B13" s="975" t="s">
        <v>2479</v>
      </c>
      <c r="C13" s="24">
        <f ca="1">ROUND(IF(C1="",SUMIF('数据-取费表'!C:C,"住宅",'数据-取费表'!P:P)*F13,IF(INDIRECT("'数据-取费表'!c"&amp;$K$1)="住宅",INDIRECT("'数据-取费表'!P"&amp;$K$1)*F13,0)),0)</f>
        <v>0</v>
      </c>
      <c r="D13" s="1036"/>
      <c r="E13" s="376"/>
      <c r="F13" s="979">
        <f>'数据-取费表'!B34</f>
        <v>0.05</v>
      </c>
      <c r="G13" s="8" t="s">
        <v>2480</v>
      </c>
      <c r="H13" s="971"/>
      <c r="I13" s="971"/>
      <c r="J13" s="971"/>
      <c r="K13" s="972"/>
    </row>
    <row r="14" spans="1:33" s="980" customFormat="1" ht="13.5" customHeight="1">
      <c r="A14" s="974" t="s">
        <v>1338</v>
      </c>
      <c r="B14" s="975" t="s">
        <v>2481</v>
      </c>
      <c r="C14" s="24">
        <f ca="1">ROUND(D14*E14*F11/10000,0)</f>
        <v>0</v>
      </c>
      <c r="D14" s="1036">
        <f ca="1">IF(C1="",'数据-汇总表'!E3,INDIRECT("'数据-取费表'!K"&amp;$K$1)+INDIRECT("'数据-取费表'!S"&amp;$K$1))</f>
        <v>2300.98</v>
      </c>
      <c r="E14" s="24">
        <f>'数据-取费表'!B35</f>
        <v>200</v>
      </c>
      <c r="F14" s="979"/>
      <c r="G14" s="8" t="s">
        <v>2482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2483</v>
      </c>
      <c r="C15" s="986">
        <f ca="1">ROUND(C11*F15,0)</f>
        <v>0</v>
      </c>
      <c r="D15" s="981"/>
      <c r="E15" s="986"/>
      <c r="F15" s="987">
        <f>'数据-取费表'!B36</f>
        <v>1.4999999999999999E-2</v>
      </c>
      <c r="G15" s="140" t="s">
        <v>2484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2485</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2486</v>
      </c>
      <c r="C17" s="24">
        <f ca="1">ROUND(D17*E17/10000,0)</f>
        <v>0</v>
      </c>
      <c r="D17" s="1036">
        <f ca="1">D14</f>
        <v>2300.98</v>
      </c>
      <c r="E17" s="24">
        <f>'数据-取费表'!B32</f>
        <v>0</v>
      </c>
      <c r="F17" s="981"/>
      <c r="G17" s="140" t="s">
        <v>2487</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2488</v>
      </c>
      <c r="C18" s="24">
        <f ca="1">C19+C20-IF(C1="",'数据-取费表'!B29,IF(G18="已全部缴纳",C19+C20,H18))</f>
        <v>46</v>
      </c>
      <c r="D18" s="1036"/>
      <c r="E18" s="24"/>
      <c r="F18" s="979"/>
      <c r="G18" s="2561"/>
      <c r="H18" s="1581"/>
      <c r="I18" s="2562" t="s">
        <v>2489</v>
      </c>
      <c r="J18" s="982"/>
      <c r="K18" s="983"/>
    </row>
    <row r="19" spans="1:33" s="978" customFormat="1" ht="13.5" customHeight="1">
      <c r="A19" s="974" t="s">
        <v>805</v>
      </c>
      <c r="B19" s="975" t="s">
        <v>2490</v>
      </c>
      <c r="C19" s="24">
        <f ca="1">ROUND(D19*E19/10000,0)</f>
        <v>0</v>
      </c>
      <c r="D19" s="1036">
        <f ca="1">IF(C1="",'数据-汇总表'!E5,IF(INDIRECT("'数据-取费表'!c"&amp;$K$1)="住宅",INDIRECT("'数据-取费表'!k"&amp;$K$1),0))</f>
        <v>0</v>
      </c>
      <c r="E19" s="24">
        <f>'数据-取费表'!B27</f>
        <v>0</v>
      </c>
      <c r="F19" s="979"/>
      <c r="G19" s="15"/>
      <c r="H19" s="1583"/>
      <c r="I19" s="984"/>
      <c r="J19" s="984"/>
      <c r="K19" s="985"/>
    </row>
    <row r="20" spans="1:33" s="978" customFormat="1" ht="13.5" customHeight="1">
      <c r="A20" s="974" t="s">
        <v>806</v>
      </c>
      <c r="B20" s="975" t="s">
        <v>2491</v>
      </c>
      <c r="C20" s="24">
        <f ca="1">ROUND(D20*E20/10000,0)</f>
        <v>46</v>
      </c>
      <c r="D20" s="1036">
        <f ca="1">IF(C1="",'数据-汇总表'!E6,IF(INDIRECT("'数据-取费表'!c"&amp;$K$1)="住宅",INDIRECT("'数据-取费表'!s"&amp;$K$1),INDIRECT("'数据-取费表'!k"&amp;$K$1)+INDIRECT("'数据-取费表'!s"&amp;$K$1)))</f>
        <v>2300.98</v>
      </c>
      <c r="E20" s="24">
        <f>'数据-取费表'!B28</f>
        <v>200</v>
      </c>
      <c r="F20" s="979"/>
      <c r="G20" s="15"/>
      <c r="H20" s="984"/>
      <c r="I20" s="984"/>
      <c r="J20" s="984"/>
      <c r="K20" s="985"/>
    </row>
    <row r="21" spans="1:33" s="978" customFormat="1" ht="13.5" customHeight="1">
      <c r="A21" s="964" t="s">
        <v>802</v>
      </c>
      <c r="B21" s="988" t="s">
        <v>2492</v>
      </c>
      <c r="C21" s="989">
        <f ca="1">C16+C17+C18</f>
        <v>46</v>
      </c>
      <c r="D21" s="990"/>
      <c r="E21" s="326"/>
      <c r="F21" s="326"/>
      <c r="G21" s="140" t="s">
        <v>2493</v>
      </c>
      <c r="H21" s="982"/>
      <c r="I21" s="982"/>
      <c r="J21" s="982"/>
      <c r="K21" s="983"/>
    </row>
    <row r="22" spans="1:33" s="978" customFormat="1" ht="13.5" customHeight="1">
      <c r="A22" s="964" t="s">
        <v>2465</v>
      </c>
      <c r="B22" s="988" t="s">
        <v>2494</v>
      </c>
      <c r="C22" s="989">
        <f ca="1">ROUND(C21*F22,0)</f>
        <v>1</v>
      </c>
      <c r="D22" s="326"/>
      <c r="E22" s="326"/>
      <c r="F22" s="991">
        <f>'数据-取费表'!B37</f>
        <v>0.02</v>
      </c>
      <c r="G22" s="8" t="s">
        <v>2495</v>
      </c>
      <c r="H22" s="971"/>
      <c r="I22" s="971"/>
      <c r="J22" s="971"/>
      <c r="K22" s="972"/>
    </row>
    <row r="23" spans="1:33" s="978" customFormat="1" ht="13.5" customHeight="1">
      <c r="A23" s="964" t="s">
        <v>2467</v>
      </c>
      <c r="B23" s="988" t="s">
        <v>2496</v>
      </c>
      <c r="C23" s="989">
        <f ca="1">ROUND(C4*F23*F11,0)</f>
        <v>0</v>
      </c>
      <c r="D23" s="326"/>
      <c r="E23" s="326"/>
      <c r="F23" s="991">
        <f>'数据-取费表'!B38</f>
        <v>0.02</v>
      </c>
      <c r="G23" s="8" t="s">
        <v>2497</v>
      </c>
      <c r="H23" s="971"/>
      <c r="I23" s="971"/>
      <c r="J23" s="971"/>
      <c r="K23" s="972"/>
    </row>
    <row r="24" spans="1:33" s="978" customFormat="1" ht="13.5" customHeight="1">
      <c r="A24" s="964" t="s">
        <v>2498</v>
      </c>
      <c r="B24" s="988" t="s">
        <v>2499</v>
      </c>
      <c r="C24" s="325">
        <f>ROUND(F24/(1+'数据-取费表'!C42),4)</f>
        <v>2.9000000000000001E-2</v>
      </c>
      <c r="D24" s="326" t="s">
        <v>15</v>
      </c>
      <c r="E24" s="326"/>
      <c r="F24" s="991">
        <f>'数据-取费表'!B48+'数据-取费表'!B49</f>
        <v>3.0499999999999999E-2</v>
      </c>
      <c r="G24" s="8" t="s">
        <v>2500</v>
      </c>
      <c r="H24" s="993"/>
      <c r="I24" s="993"/>
      <c r="J24" s="993"/>
      <c r="K24" s="994"/>
    </row>
    <row r="25" spans="1:33" s="978" customFormat="1" ht="13.5" customHeight="1">
      <c r="A25" s="964" t="s">
        <v>2501</v>
      </c>
      <c r="B25" s="990" t="s">
        <v>2502</v>
      </c>
      <c r="C25" s="1359">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2503</v>
      </c>
      <c r="C26" s="1360">
        <f ca="1">ROUND(IF('数据-取费表'!B22&lt;=1,(1+C24)*F25*'数据-取费表'!B24,(1+C24)*(POWER((1+F25),'数据-取费表'!B24)-1)),4)</f>
        <v>0</v>
      </c>
      <c r="D26" s="329"/>
      <c r="E26" s="330"/>
      <c r="F26" s="331"/>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2504</v>
      </c>
      <c r="C27" s="1361">
        <f ca="1">ROUND(IF('数据-取费表'!B22&lt;=1,(C21+C22+C23)*F25*'数据-取费表'!B24/2,(C21+C22+C23)*(POWER((1+F25),'数据-取费表'!B24/2)-1)),0)</f>
        <v>0</v>
      </c>
      <c r="D27" s="329"/>
      <c r="E27" s="330"/>
      <c r="F27" s="331"/>
      <c r="G27" s="2563" t="str">
        <f>IF('数据-取费表'!B22&lt;=1,"（1）-（3）项×年利率×建设期÷2","（1）-（3）项×((1+年利率)^(建设期÷2)-1)")</f>
        <v>（1）-（3）项×((1+年利率)^(建设期÷2)-1)</v>
      </c>
      <c r="H27" s="982"/>
      <c r="I27" s="982"/>
      <c r="J27" s="982"/>
      <c r="K27" s="983"/>
    </row>
    <row r="28" spans="1:33" s="334" customFormat="1" ht="13.5" customHeight="1">
      <c r="A28" s="964" t="s">
        <v>2505</v>
      </c>
      <c r="B28" s="2564" t="s">
        <v>2506</v>
      </c>
      <c r="C28" s="332">
        <f ca="1">C30</f>
        <v>9</v>
      </c>
      <c r="D28" s="325">
        <f ca="1">C29</f>
        <v>0</v>
      </c>
      <c r="E28" s="327" t="s">
        <v>15</v>
      </c>
      <c r="F28" s="333">
        <f ca="1">IF(C1="",'数据-取费表'!Q16,INDIRECT("'数据-取费表'!q"&amp;$K$1))</f>
        <v>0.2</v>
      </c>
      <c r="G28" s="992"/>
      <c r="H28" s="993"/>
      <c r="I28" s="993"/>
      <c r="J28" s="993"/>
      <c r="K28" s="994"/>
    </row>
    <row r="29" spans="1:33" s="336" customFormat="1" ht="13.5" customHeight="1">
      <c r="A29" s="974" t="s">
        <v>803</v>
      </c>
      <c r="B29" s="997" t="s">
        <v>2507</v>
      </c>
      <c r="C29" s="329">
        <f ca="1">ROUND((1+C24)*F28*'数据-取费表'!B24/'数据-取费表'!B20,4)</f>
        <v>0</v>
      </c>
      <c r="D29" s="329"/>
      <c r="E29" s="330"/>
      <c r="F29" s="335"/>
      <c r="G29" s="140" t="s">
        <v>2508</v>
      </c>
      <c r="H29" s="982"/>
      <c r="I29" s="982"/>
      <c r="J29" s="982"/>
      <c r="K29" s="983"/>
    </row>
    <row r="30" spans="1:33" s="336" customFormat="1" ht="13.5" customHeight="1">
      <c r="A30" s="974" t="s">
        <v>804</v>
      </c>
      <c r="B30" s="997" t="s">
        <v>2509</v>
      </c>
      <c r="C30" s="337">
        <f ca="1">ROUND((C21+C22+C23)*F28,0)</f>
        <v>9</v>
      </c>
      <c r="D30" s="329"/>
      <c r="E30" s="330"/>
      <c r="F30" s="335"/>
      <c r="G30" s="140"/>
      <c r="H30" s="982"/>
      <c r="I30" s="982"/>
      <c r="J30" s="982"/>
      <c r="K30" s="983"/>
    </row>
    <row r="31" spans="1:33" s="978" customFormat="1" ht="13.5" customHeight="1" thickBot="1">
      <c r="A31" s="2565" t="s">
        <v>2510</v>
      </c>
      <c r="B31" s="1008" t="s">
        <v>2511</v>
      </c>
      <c r="C31" s="1009">
        <f>ROUND(C4*F31/(1+'数据-取费表'!C42),0)</f>
        <v>0</v>
      </c>
      <c r="D31" s="1010"/>
      <c r="E31" s="1011"/>
      <c r="F31" s="1012">
        <f>'数据-取费表'!B41</f>
        <v>5.6000000000000001E-2</v>
      </c>
      <c r="G31" s="1013" t="s">
        <v>2512</v>
      </c>
      <c r="H31" s="1014"/>
      <c r="I31" s="1014"/>
      <c r="J31" s="1014"/>
      <c r="K31" s="1015"/>
    </row>
    <row r="32" spans="1:33" s="973" customFormat="1" ht="13.5" customHeight="1" thickBot="1">
      <c r="A32" s="1003" t="s">
        <v>2513</v>
      </c>
      <c r="B32" s="1004"/>
      <c r="C32" s="1005">
        <f ca="1">ROUND((C4-C21-C22-C23-C25-C28-C31)/(1+C24+D25+D28),0)</f>
        <v>-54</v>
      </c>
      <c r="D32" s="1004"/>
      <c r="E32" s="1004"/>
      <c r="F32" s="1004"/>
      <c r="G32" s="1006" t="s">
        <v>2514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M56" sqref="M56"/>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2524</v>
      </c>
      <c r="B1" s="2674" t="s">
        <v>2682</v>
      </c>
      <c r="C1" s="1624" t="s">
        <v>2526</v>
      </c>
      <c r="D1" s="1625" t="s">
        <v>27</v>
      </c>
      <c r="E1" s="1634"/>
      <c r="F1" s="2589" t="s">
        <v>3082</v>
      </c>
      <c r="G1" s="1635" t="s">
        <v>2639</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2323</v>
      </c>
      <c r="B2" s="1421">
        <f>IF(C2="——",ROUND(C50*D3/10000,0),ROUND(C50*D3/10000,0)-D2)</f>
        <v>7146</v>
      </c>
      <c r="C2" s="2591" t="s">
        <v>70</v>
      </c>
      <c r="D2" s="1368" t="e">
        <f ca="1">SUMIF(INDIRECT("'"&amp;F2&amp;"'"&amp;"!A:A"),"承租人权益价值",INDIRECT("'"&amp;F2&amp;"'"&amp;"!c:c"))</f>
        <v>#REF!</v>
      </c>
      <c r="E2" s="2592" t="s">
        <v>2324</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2325</v>
      </c>
      <c r="B3" s="610">
        <f>IF(C2="——",C50,ROUND(B2*10000/D3,0))</f>
        <v>31058</v>
      </c>
      <c r="C3" s="401" t="s">
        <v>2640</v>
      </c>
      <c r="D3" s="400">
        <f>IF(D1="",'数据-汇总表'!E3,SUMIF('数据-汇总表'!$C19:$C33,D1,'数据-汇总表'!$E19:$E33))</f>
        <v>2300.98</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2" t="s">
        <v>2641</v>
      </c>
      <c r="B4" s="403"/>
      <c r="C4" s="3157" t="s">
        <v>2642</v>
      </c>
      <c r="D4" s="3158"/>
      <c r="E4" s="3159" t="s">
        <v>2643</v>
      </c>
      <c r="F4" s="3160"/>
      <c r="G4" s="3157" t="s">
        <v>2644</v>
      </c>
      <c r="H4" s="3158"/>
      <c r="I4" s="3157" t="s">
        <v>2645</v>
      </c>
      <c r="J4" s="3158"/>
      <c r="K4" s="611" t="s">
        <v>2646</v>
      </c>
      <c r="L4" s="1133"/>
      <c r="M4" s="1134"/>
      <c r="N4" s="1134"/>
      <c r="O4" s="1134"/>
      <c r="P4" s="3161" t="s">
        <v>2647</v>
      </c>
      <c r="Q4" s="3162"/>
      <c r="R4" s="3145" t="s">
        <v>2643</v>
      </c>
      <c r="S4" s="3146"/>
      <c r="T4" s="3145" t="s">
        <v>2644</v>
      </c>
      <c r="U4" s="3146"/>
      <c r="V4" s="3169" t="s">
        <v>2645</v>
      </c>
      <c r="W4" s="3169"/>
      <c r="X4" s="2675"/>
      <c r="Y4" s="3145" t="s">
        <v>2647</v>
      </c>
      <c r="Z4" s="3146"/>
      <c r="AA4" s="3140" t="s">
        <v>2643</v>
      </c>
      <c r="AB4" s="3140" t="s">
        <v>2644</v>
      </c>
      <c r="AC4" s="3154" t="s">
        <v>2645</v>
      </c>
    </row>
    <row r="5" spans="1:29" ht="15">
      <c r="A5" s="405"/>
      <c r="B5" s="406"/>
      <c r="C5" s="3149" t="s">
        <v>3122</v>
      </c>
      <c r="D5" s="3150"/>
      <c r="E5" s="3149" t="s">
        <v>3061</v>
      </c>
      <c r="F5" s="3150"/>
      <c r="G5" s="3149" t="s">
        <v>3061</v>
      </c>
      <c r="H5" s="3150"/>
      <c r="I5" s="3149" t="s">
        <v>3061</v>
      </c>
      <c r="J5" s="3150"/>
      <c r="K5" s="611"/>
      <c r="L5" s="1133"/>
      <c r="M5" s="1134"/>
      <c r="N5" s="1134"/>
      <c r="O5" s="1134"/>
      <c r="P5" s="3163"/>
      <c r="Q5" s="3164"/>
      <c r="R5" s="3147"/>
      <c r="S5" s="3148"/>
      <c r="T5" s="3147"/>
      <c r="U5" s="3148"/>
      <c r="V5" s="3170"/>
      <c r="W5" s="3170"/>
      <c r="X5" s="1817"/>
      <c r="Y5" s="3147"/>
      <c r="Z5" s="3148"/>
      <c r="AA5" s="3141"/>
      <c r="AB5" s="3141"/>
      <c r="AC5" s="3155"/>
    </row>
    <row r="6" spans="1:29" ht="15.75" thickBot="1">
      <c r="A6" s="407"/>
      <c r="B6" s="408"/>
      <c r="C6" s="3151" t="s">
        <v>3114</v>
      </c>
      <c r="D6" s="3152"/>
      <c r="E6" s="3151" t="s">
        <v>3114</v>
      </c>
      <c r="F6" s="3152"/>
      <c r="G6" s="3151" t="s">
        <v>3114</v>
      </c>
      <c r="H6" s="3152"/>
      <c r="I6" s="3151" t="s">
        <v>3114</v>
      </c>
      <c r="J6" s="3152"/>
      <c r="K6" s="611" t="s">
        <v>2543</v>
      </c>
      <c r="L6" s="1133"/>
      <c r="M6" s="1134"/>
      <c r="N6" s="1134"/>
      <c r="O6" s="1134"/>
      <c r="P6" s="3165"/>
      <c r="Q6" s="3166"/>
      <c r="R6" s="3147"/>
      <c r="S6" s="3148"/>
      <c r="T6" s="3167"/>
      <c r="U6" s="3168"/>
      <c r="V6" s="3170"/>
      <c r="W6" s="3170"/>
      <c r="X6" s="1817"/>
      <c r="Y6" s="3167"/>
      <c r="Z6" s="3168"/>
      <c r="AA6" s="3142"/>
      <c r="AB6" s="3142"/>
      <c r="AC6" s="3156"/>
    </row>
    <row r="7" spans="1:29" s="117" customFormat="1" ht="15.75" thickBot="1">
      <c r="A7" s="409" t="s">
        <v>2544</v>
      </c>
      <c r="B7" s="410"/>
      <c r="C7" s="411">
        <f>'数据-取费表'!B2</f>
        <v>43040</v>
      </c>
      <c r="D7" s="412">
        <v>100</v>
      </c>
      <c r="E7" s="413">
        <v>43040</v>
      </c>
      <c r="F7" s="414">
        <f>SUMIF(59:59,YEAR(E7)&amp;"-"&amp;MONTH(E7),60:60)</f>
        <v>100</v>
      </c>
      <c r="G7" s="413">
        <v>43040</v>
      </c>
      <c r="H7" s="412">
        <f>SUMIF(59:59,YEAR(G7)&amp;"-"&amp;MONTH(G7),60:60)</f>
        <v>100</v>
      </c>
      <c r="I7" s="413">
        <v>43040</v>
      </c>
      <c r="J7" s="412">
        <f>SUMIF(59:59,YEAR(I7)&amp;"-"&amp;MONTH(I7),60:60)</f>
        <v>100</v>
      </c>
      <c r="K7" s="612"/>
      <c r="L7" s="1135"/>
      <c r="M7" s="1136"/>
      <c r="N7" s="1136"/>
      <c r="O7" s="1136"/>
      <c r="P7" s="3171" t="s">
        <v>2545</v>
      </c>
      <c r="Q7" s="3172"/>
      <c r="R7" s="770" t="s">
        <v>17</v>
      </c>
      <c r="S7" s="771">
        <f t="shared" ref="S7:S15" si="0">F7</f>
        <v>100</v>
      </c>
      <c r="T7" s="770" t="s">
        <v>17</v>
      </c>
      <c r="U7" s="771">
        <f t="shared" ref="U7:U15" si="1">H7</f>
        <v>100</v>
      </c>
      <c r="V7" s="770" t="s">
        <v>17</v>
      </c>
      <c r="W7" s="771">
        <f t="shared" ref="W7:W15" si="2">J7</f>
        <v>100</v>
      </c>
      <c r="X7" s="772"/>
      <c r="Y7" s="3143" t="s">
        <v>2545</v>
      </c>
      <c r="Z7" s="3144"/>
      <c r="AA7" s="773">
        <f>D7/F7</f>
        <v>1</v>
      </c>
      <c r="AB7" s="773">
        <f>D7/H7</f>
        <v>1</v>
      </c>
      <c r="AC7" s="2676">
        <f>D7/J7</f>
        <v>1</v>
      </c>
    </row>
    <row r="8" spans="1:29" s="117" customFormat="1" ht="15.75" thickBot="1">
      <c r="A8" s="409" t="s">
        <v>2546</v>
      </c>
      <c r="B8" s="410"/>
      <c r="C8" s="415" t="s">
        <v>2648</v>
      </c>
      <c r="D8" s="412">
        <v>100</v>
      </c>
      <c r="E8" s="415" t="s">
        <v>2648</v>
      </c>
      <c r="F8" s="414">
        <f>SUMIF(62:62,E8,63:63)-SUMIF(62:62,C8,63:63)+100</f>
        <v>100</v>
      </c>
      <c r="G8" s="415" t="s">
        <v>2648</v>
      </c>
      <c r="H8" s="412">
        <f>SUMIF(62:62,G8,63:63)-SUMIF(62:62,C8,63:63)+100</f>
        <v>100</v>
      </c>
      <c r="I8" s="415" t="s">
        <v>2648</v>
      </c>
      <c r="J8" s="412">
        <f>SUMIF(62:62,I8,63:63)-SUMIF(62:62,C8,63:63)+100</f>
        <v>100</v>
      </c>
      <c r="K8" s="612"/>
      <c r="L8" s="1135"/>
      <c r="M8" s="1136"/>
      <c r="N8" s="1136"/>
      <c r="O8" s="1136"/>
      <c r="P8" s="3171" t="s">
        <v>2548</v>
      </c>
      <c r="Q8" s="3144"/>
      <c r="R8" s="770" t="s">
        <v>17</v>
      </c>
      <c r="S8" s="771">
        <f t="shared" si="0"/>
        <v>100</v>
      </c>
      <c r="T8" s="770" t="s">
        <v>17</v>
      </c>
      <c r="U8" s="771">
        <f t="shared" si="1"/>
        <v>100</v>
      </c>
      <c r="V8" s="770" t="s">
        <v>17</v>
      </c>
      <c r="W8" s="771">
        <f t="shared" si="2"/>
        <v>100</v>
      </c>
      <c r="X8" s="772"/>
      <c r="Y8" s="3143" t="s">
        <v>2548</v>
      </c>
      <c r="Z8" s="3144"/>
      <c r="AA8" s="773">
        <f t="shared" ref="AA8:AA47" si="3">D8/F8</f>
        <v>1</v>
      </c>
      <c r="AB8" s="773">
        <f t="shared" ref="AB8:AB47" si="4">D8/H8</f>
        <v>1</v>
      </c>
      <c r="AC8" s="2676">
        <f t="shared" ref="AC8:AC47" si="5">D8/J8</f>
        <v>1</v>
      </c>
    </row>
    <row r="9" spans="1:29" s="117" customFormat="1">
      <c r="A9" s="416" t="s">
        <v>2549</v>
      </c>
      <c r="B9" s="71" t="s">
        <v>2550</v>
      </c>
      <c r="C9" s="2932" t="s">
        <v>3062</v>
      </c>
      <c r="D9" s="135">
        <v>100</v>
      </c>
      <c r="E9" s="2932" t="s">
        <v>3062</v>
      </c>
      <c r="F9" s="135">
        <f>SUMIF(64:64,E9,65:65)-SUMIF(64:64,C9,65:65)+100</f>
        <v>100</v>
      </c>
      <c r="G9" s="2932" t="s">
        <v>3062</v>
      </c>
      <c r="H9" s="135">
        <f>SUMIF(64:64,G9,65:65)-SUMIF(64:64,C9,65:65)+100</f>
        <v>100</v>
      </c>
      <c r="I9" s="2932" t="s">
        <v>3062</v>
      </c>
      <c r="J9" s="135">
        <f>SUMIF(64:64,I9,65:65)-SUMIF(64:64,C9,65:65)+100</f>
        <v>100</v>
      </c>
      <c r="K9" s="612"/>
      <c r="L9" s="1135"/>
      <c r="M9" s="1136"/>
      <c r="N9" s="1136"/>
      <c r="O9" s="1136"/>
      <c r="P9" s="3153" t="s">
        <v>2551</v>
      </c>
      <c r="Q9" s="1799" t="str">
        <f t="shared" ref="Q9:Q15" si="6">B9</f>
        <v>用途</v>
      </c>
      <c r="R9" s="770" t="s">
        <v>17</v>
      </c>
      <c r="S9" s="771">
        <f t="shared" si="0"/>
        <v>100</v>
      </c>
      <c r="T9" s="770" t="s">
        <v>17</v>
      </c>
      <c r="U9" s="771">
        <f t="shared" si="1"/>
        <v>100</v>
      </c>
      <c r="V9" s="770" t="s">
        <v>17</v>
      </c>
      <c r="W9" s="771">
        <f t="shared" si="2"/>
        <v>100</v>
      </c>
      <c r="X9" s="772"/>
      <c r="Y9" s="3017" t="s">
        <v>2552</v>
      </c>
      <c r="Z9" s="55" t="str">
        <f t="shared" ref="Z9:Z15" si="7">Q9</f>
        <v>用途</v>
      </c>
      <c r="AA9" s="773">
        <f t="shared" si="3"/>
        <v>1</v>
      </c>
      <c r="AB9" s="773">
        <f t="shared" si="4"/>
        <v>1</v>
      </c>
      <c r="AC9" s="2676">
        <f t="shared" si="5"/>
        <v>1</v>
      </c>
    </row>
    <row r="10" spans="1:29" s="428" customFormat="1" ht="27.75" thickBot="1">
      <c r="A10" s="422"/>
      <c r="B10" s="423" t="s">
        <v>2553</v>
      </c>
      <c r="C10" s="424" t="s">
        <v>3115</v>
      </c>
      <c r="D10" s="136">
        <v>100</v>
      </c>
      <c r="E10" s="424" t="s">
        <v>3115</v>
      </c>
      <c r="F10" s="136">
        <f>SUMIF(66:66,E10,67:67)-SUMIF(66:66,C10,67:67)+100</f>
        <v>100</v>
      </c>
      <c r="G10" s="424" t="s">
        <v>3115</v>
      </c>
      <c r="H10" s="136">
        <f>SUMIF(66:66,G10,67:67)-SUMIF(66:66,C10,67:67)+100</f>
        <v>100</v>
      </c>
      <c r="I10" s="424" t="s">
        <v>3115</v>
      </c>
      <c r="J10" s="136">
        <f>SUMIF(66:66,I10,67:67)-SUMIF(66:66,C10,67:67)+100</f>
        <v>100</v>
      </c>
      <c r="K10" s="613"/>
      <c r="L10" s="1138"/>
      <c r="M10" s="1139"/>
      <c r="N10" s="1139"/>
      <c r="O10" s="1139"/>
      <c r="P10" s="3153"/>
      <c r="Q10" s="1799"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76">
        <f t="shared" si="5"/>
        <v>1</v>
      </c>
    </row>
    <row r="11" spans="1:29" ht="15" hidden="1">
      <c r="A11" s="429"/>
      <c r="B11" s="423" t="s">
        <v>2554</v>
      </c>
      <c r="C11" s="430"/>
      <c r="D11" s="136">
        <v>100</v>
      </c>
      <c r="E11" s="430"/>
      <c r="F11" s="136">
        <f>LOOKUP(E11,69:69,70:70)-LOOKUP(C11,69:69,70:70)+100</f>
        <v>100</v>
      </c>
      <c r="G11" s="431"/>
      <c r="H11" s="136">
        <f>LOOKUP(G11,69:69,70:70)-LOOKUP(C11,69:69,70:70)+100</f>
        <v>100</v>
      </c>
      <c r="I11" s="430"/>
      <c r="J11" s="136">
        <f>LOOKUP(I11,69:69,70:70)-LOOKUP(C11,69:69,70:70)+100</f>
        <v>100</v>
      </c>
      <c r="K11" s="613"/>
      <c r="L11" s="1141"/>
      <c r="M11" s="1134"/>
      <c r="N11" s="1134"/>
      <c r="O11" s="1134"/>
      <c r="P11" s="3153"/>
      <c r="Q11" s="1799" t="str">
        <f t="shared" si="6"/>
        <v>容积率</v>
      </c>
      <c r="R11" s="770" t="s">
        <v>17</v>
      </c>
      <c r="S11" s="771">
        <f t="shared" si="0"/>
        <v>100</v>
      </c>
      <c r="T11" s="770" t="s">
        <v>17</v>
      </c>
      <c r="U11" s="771">
        <f t="shared" si="1"/>
        <v>100</v>
      </c>
      <c r="V11" s="770" t="s">
        <v>17</v>
      </c>
      <c r="W11" s="771">
        <f t="shared" si="2"/>
        <v>100</v>
      </c>
      <c r="X11" s="772"/>
      <c r="Y11" s="3017"/>
      <c r="Z11" s="55" t="str">
        <f t="shared" si="7"/>
        <v>容积率</v>
      </c>
      <c r="AA11" s="773">
        <f t="shared" si="3"/>
        <v>1</v>
      </c>
      <c r="AB11" s="773">
        <f t="shared" si="4"/>
        <v>1</v>
      </c>
      <c r="AC11" s="2676">
        <f t="shared" si="5"/>
        <v>1</v>
      </c>
    </row>
    <row r="12" spans="1:29" s="117" customFormat="1" ht="15" hidden="1">
      <c r="A12" s="432"/>
      <c r="B12" s="2605">
        <v>111</v>
      </c>
      <c r="C12" s="433"/>
      <c r="D12" s="434">
        <v>100</v>
      </c>
      <c r="E12" s="433"/>
      <c r="F12" s="136">
        <f>SUMIF(71:71,E12,72:72)-SUMIF(71:71,C12,72:72)+100</f>
        <v>100</v>
      </c>
      <c r="G12" s="2677"/>
      <c r="H12" s="136">
        <f>SUMIF(71:71,G12,72:72)-SUMIF(71:71,C12,72:72)+100</f>
        <v>100</v>
      </c>
      <c r="I12" s="433"/>
      <c r="J12" s="136">
        <f>SUMIF(71:71,I12,72:72)-SUMIF(71:71,C12,72:72)+100</f>
        <v>100</v>
      </c>
      <c r="K12" s="614"/>
      <c r="L12" s="1135"/>
      <c r="M12" s="1136"/>
      <c r="N12" s="1136"/>
      <c r="O12" s="1136"/>
      <c r="P12" s="3153"/>
      <c r="Q12" s="1799">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76">
        <f>D12/J12</f>
        <v>1</v>
      </c>
    </row>
    <row r="13" spans="1:29" ht="15" hidden="1">
      <c r="A13" s="429"/>
      <c r="B13" s="2605">
        <v>111</v>
      </c>
      <c r="C13" s="435"/>
      <c r="D13" s="436">
        <v>100</v>
      </c>
      <c r="E13" s="433"/>
      <c r="F13" s="136">
        <f>SUMIF(73:73,E13,74:74)-SUMIF(73:73,C13,74:74)+100</f>
        <v>100</v>
      </c>
      <c r="G13" s="2677"/>
      <c r="H13" s="436">
        <f>SUMIF(73:73,G13,74:74)-SUMIF(73:73,C13,74:74)+100</f>
        <v>100</v>
      </c>
      <c r="I13" s="433"/>
      <c r="J13" s="436">
        <f>SUMIF(73:73,I13,74:74)-SUMIF(73:73,C13,74:74)+100</f>
        <v>100</v>
      </c>
      <c r="K13" s="614"/>
      <c r="L13" s="1143"/>
      <c r="M13" s="1134"/>
      <c r="N13" s="1134"/>
      <c r="O13" s="1134"/>
      <c r="P13" s="3153"/>
      <c r="Q13" s="1799">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76">
        <f t="shared" si="5"/>
        <v>1</v>
      </c>
    </row>
    <row r="14" spans="1:29" ht="15.75" hidden="1" thickBot="1">
      <c r="A14" s="437"/>
      <c r="B14" s="2607">
        <v>111</v>
      </c>
      <c r="C14" s="438"/>
      <c r="D14" s="439">
        <v>100</v>
      </c>
      <c r="E14" s="629"/>
      <c r="F14" s="439">
        <f>SUMIF(75:75,E14,76:76)-SUMIF(75:75,C14,76:76)+100</f>
        <v>100</v>
      </c>
      <c r="G14" s="2677"/>
      <c r="H14" s="439">
        <f>SUMIF(75:75,G14,76:76)-SUMIF(75:75,C14,76:76)+100</f>
        <v>100</v>
      </c>
      <c r="I14" s="433"/>
      <c r="J14" s="439">
        <f>SUMIF(75:75,I14,76:76)-SUMIF(75:75,C14,76:76)+100</f>
        <v>100</v>
      </c>
      <c r="K14" s="614"/>
      <c r="L14" s="1143"/>
      <c r="M14" s="1134"/>
      <c r="N14" s="1134"/>
      <c r="O14" s="1134"/>
      <c r="P14" s="3153"/>
      <c r="Q14" s="1799">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76">
        <f t="shared" si="5"/>
        <v>1</v>
      </c>
    </row>
    <row r="15" spans="1:29" ht="71.25">
      <c r="A15" s="441" t="s">
        <v>2555</v>
      </c>
      <c r="B15" s="630" t="s">
        <v>2683</v>
      </c>
      <c r="C15" s="2678" t="str">
        <f>估价对象房地状况!C5</f>
        <v>估价对象位于海淀区温泉镇，周边办公楼项目较少，入驻率一般，办公集聚程度一般。</v>
      </c>
      <c r="D15" s="442">
        <v>100</v>
      </c>
      <c r="E15" s="2945" t="s">
        <v>3123</v>
      </c>
      <c r="F15" s="442">
        <f>SUMIF(77:77,E16,78:78)-SUMIF(77:77,C16,78:78)+100</f>
        <v>100</v>
      </c>
      <c r="G15" s="2945" t="s">
        <v>3123</v>
      </c>
      <c r="H15" s="442">
        <f>SUMIF(77:77,G16,78:78)-SUMIF(77:77,C16,78:78)+100</f>
        <v>100</v>
      </c>
      <c r="I15" s="2945" t="s">
        <v>3123</v>
      </c>
      <c r="J15" s="442">
        <f>SUMIF(77:77,I16,78:78)-SUMIF(77:77,C16,78:78)+100</f>
        <v>100</v>
      </c>
      <c r="K15" s="615"/>
      <c r="L15" s="1143"/>
      <c r="M15" s="1134"/>
      <c r="N15" s="1134"/>
      <c r="O15" s="1134"/>
      <c r="P15" s="3173" t="s">
        <v>2556</v>
      </c>
      <c r="Q15" s="1814" t="str">
        <f t="shared" si="6"/>
        <v>办公集聚程度</v>
      </c>
      <c r="R15" s="774" t="s">
        <v>17</v>
      </c>
      <c r="S15" s="775">
        <f t="shared" si="0"/>
        <v>100</v>
      </c>
      <c r="T15" s="774" t="s">
        <v>17</v>
      </c>
      <c r="U15" s="775">
        <f t="shared" si="1"/>
        <v>100</v>
      </c>
      <c r="V15" s="774" t="s">
        <v>17</v>
      </c>
      <c r="W15" s="775">
        <f t="shared" si="2"/>
        <v>100</v>
      </c>
      <c r="X15" s="1817"/>
      <c r="Y15" s="3175" t="s">
        <v>2556</v>
      </c>
      <c r="Z15" s="1818" t="str">
        <f t="shared" si="7"/>
        <v>办公集聚程度</v>
      </c>
      <c r="AA15" s="1815">
        <f t="shared" si="3"/>
        <v>1</v>
      </c>
      <c r="AB15" s="1815">
        <f t="shared" si="4"/>
        <v>1</v>
      </c>
      <c r="AC15" s="2679">
        <f t="shared" si="5"/>
        <v>1</v>
      </c>
    </row>
    <row r="16" spans="1:29" ht="15" hidden="1">
      <c r="A16" s="429"/>
      <c r="B16" s="631"/>
      <c r="C16" s="2616" t="s">
        <v>3063</v>
      </c>
      <c r="D16" s="449"/>
      <c r="E16" s="2616" t="s">
        <v>3063</v>
      </c>
      <c r="F16" s="449"/>
      <c r="G16" s="2616" t="s">
        <v>3063</v>
      </c>
      <c r="H16" s="451"/>
      <c r="I16" s="2616" t="s">
        <v>3063</v>
      </c>
      <c r="J16" s="449"/>
      <c r="K16" s="616"/>
      <c r="L16" s="1143"/>
      <c r="M16" s="1134"/>
      <c r="N16" s="1134"/>
      <c r="O16" s="1134"/>
      <c r="P16" s="3174"/>
      <c r="Q16" s="1814"/>
      <c r="R16" s="774"/>
      <c r="S16" s="775"/>
      <c r="T16" s="774"/>
      <c r="U16" s="775"/>
      <c r="V16" s="774"/>
      <c r="W16" s="775"/>
      <c r="X16" s="1817"/>
      <c r="Y16" s="3176"/>
      <c r="Z16" s="1818"/>
      <c r="AA16" s="1815">
        <v>1</v>
      </c>
      <c r="AB16" s="1815">
        <v>1</v>
      </c>
      <c r="AC16" s="2679">
        <v>1</v>
      </c>
    </row>
    <row r="17" spans="1:29" ht="142.5">
      <c r="A17" s="429"/>
      <c r="B17" s="632" t="s">
        <v>2093</v>
      </c>
      <c r="C17" s="2680" t="str">
        <f>估价对象房地状况!C6</f>
        <v>估价对象紧邻白家疃路，周边路网密集程度一般，行车出入便捷度一般。周边2公里范围内有522路、651路等公交，公共交通便捷度一般。综合评价交通便捷度一般。</v>
      </c>
      <c r="D17" s="451">
        <v>100</v>
      </c>
      <c r="E17" s="455" t="s">
        <v>3124</v>
      </c>
      <c r="F17" s="451">
        <f>SUMIF(79:79,E18,80:80)-SUMIF(79:79,C18,80:80)+100</f>
        <v>100</v>
      </c>
      <c r="G17" s="455" t="s">
        <v>3124</v>
      </c>
      <c r="H17" s="456">
        <f>SUMIF(79:79,G18,80:80)-SUMIF(79:79,C18,80:80)+100</f>
        <v>100</v>
      </c>
      <c r="I17" s="455" t="s">
        <v>3124</v>
      </c>
      <c r="J17" s="456">
        <f>SUMIF(79:79,I18,80:80)-SUMIF(79:79,C18,80:80)+100</f>
        <v>100</v>
      </c>
      <c r="K17" s="615"/>
      <c r="L17" s="1143"/>
      <c r="M17" s="1134"/>
      <c r="N17" s="1134"/>
      <c r="O17" s="1134"/>
      <c r="P17" s="3174"/>
      <c r="Q17" s="1814" t="str">
        <f>B17</f>
        <v>交通便捷度</v>
      </c>
      <c r="R17" s="774" t="s">
        <v>17</v>
      </c>
      <c r="S17" s="775">
        <f>F17</f>
        <v>100</v>
      </c>
      <c r="T17" s="774" t="s">
        <v>17</v>
      </c>
      <c r="U17" s="775">
        <f>H17</f>
        <v>100</v>
      </c>
      <c r="V17" s="774" t="s">
        <v>17</v>
      </c>
      <c r="W17" s="775">
        <f>J17</f>
        <v>100</v>
      </c>
      <c r="X17" s="1817"/>
      <c r="Y17" s="3176"/>
      <c r="Z17" s="1818" t="str">
        <f>Q17</f>
        <v>交通便捷度</v>
      </c>
      <c r="AA17" s="1815">
        <f t="shared" si="3"/>
        <v>1</v>
      </c>
      <c r="AB17" s="1815">
        <f t="shared" si="4"/>
        <v>1</v>
      </c>
      <c r="AC17" s="2679">
        <f t="shared" si="5"/>
        <v>1</v>
      </c>
    </row>
    <row r="18" spans="1:29" ht="15" hidden="1">
      <c r="A18" s="429"/>
      <c r="B18" s="633"/>
      <c r="C18" s="2681" t="s">
        <v>3063</v>
      </c>
      <c r="D18" s="451"/>
      <c r="E18" s="2681" t="s">
        <v>3063</v>
      </c>
      <c r="F18" s="451"/>
      <c r="G18" s="2681" t="s">
        <v>3063</v>
      </c>
      <c r="H18" s="449"/>
      <c r="I18" s="2681" t="s">
        <v>3063</v>
      </c>
      <c r="J18" s="449"/>
      <c r="K18" s="616"/>
      <c r="L18" s="1143"/>
      <c r="M18" s="1134"/>
      <c r="N18" s="1134"/>
      <c r="O18" s="1134"/>
      <c r="P18" s="3174"/>
      <c r="Q18" s="1814"/>
      <c r="R18" s="774"/>
      <c r="S18" s="775"/>
      <c r="T18" s="774"/>
      <c r="U18" s="775"/>
      <c r="V18" s="774"/>
      <c r="W18" s="775"/>
      <c r="X18" s="1817"/>
      <c r="Y18" s="3176"/>
      <c r="Z18" s="1818"/>
      <c r="AA18" s="1815">
        <v>1</v>
      </c>
      <c r="AB18" s="1815">
        <v>1</v>
      </c>
      <c r="AC18" s="2679">
        <v>1</v>
      </c>
    </row>
    <row r="19" spans="1:29" ht="185.25">
      <c r="A19" s="429"/>
      <c r="B19" s="632" t="s">
        <v>2684</v>
      </c>
      <c r="C19" s="2680" t="str">
        <f>估价对象房地状况!C7</f>
        <v>周边2公里内的公共服务配套设施较为齐备，有购物场所（华联超市）、医院（北京中医药大学附属医院）、银行（民生银行）、学校（翠微小学）、餐饮（嘉和一品）等公共服务配套设施。</v>
      </c>
      <c r="D19" s="456">
        <v>100</v>
      </c>
      <c r="E19" s="460" t="s">
        <v>3118</v>
      </c>
      <c r="F19" s="456">
        <f>SUMIF(81:81,E20,82:82)-SUMIF(81:81,C20,82:82)+100</f>
        <v>100</v>
      </c>
      <c r="G19" s="460" t="s">
        <v>3118</v>
      </c>
      <c r="H19" s="451">
        <f>SUMIF(81:81,G20,82:82)-SUMIF(81:81,C20,82:82)+100</f>
        <v>100</v>
      </c>
      <c r="I19" s="460" t="s">
        <v>3118</v>
      </c>
      <c r="J19" s="451">
        <f>SUMIF(81:81,I20,82:82)-SUMIF(81:81,C20,82:82)+100</f>
        <v>100</v>
      </c>
      <c r="K19" s="615"/>
      <c r="L19" s="1143"/>
      <c r="M19" s="1134"/>
      <c r="N19" s="1134"/>
      <c r="O19" s="1134"/>
      <c r="P19" s="3174"/>
      <c r="Q19" s="1814" t="str">
        <f>B19</f>
        <v>公共配套设施</v>
      </c>
      <c r="R19" s="774" t="s">
        <v>17</v>
      </c>
      <c r="S19" s="775">
        <f>F19</f>
        <v>100</v>
      </c>
      <c r="T19" s="774" t="s">
        <v>17</v>
      </c>
      <c r="U19" s="775">
        <f>H19</f>
        <v>100</v>
      </c>
      <c r="V19" s="774" t="s">
        <v>17</v>
      </c>
      <c r="W19" s="775">
        <f>J19</f>
        <v>100</v>
      </c>
      <c r="X19" s="1817"/>
      <c r="Y19" s="3176"/>
      <c r="Z19" s="1818" t="str">
        <f>Q19</f>
        <v>公共配套设施</v>
      </c>
      <c r="AA19" s="1815">
        <f t="shared" si="3"/>
        <v>1</v>
      </c>
      <c r="AB19" s="1815">
        <f t="shared" si="4"/>
        <v>1</v>
      </c>
      <c r="AC19" s="2679">
        <f t="shared" si="5"/>
        <v>1</v>
      </c>
    </row>
    <row r="20" spans="1:29" ht="15" hidden="1">
      <c r="A20" s="429"/>
      <c r="B20" s="633"/>
      <c r="C20" s="2616" t="s">
        <v>3065</v>
      </c>
      <c r="D20" s="449"/>
      <c r="E20" s="2616" t="s">
        <v>3065</v>
      </c>
      <c r="F20" s="449"/>
      <c r="G20" s="2616" t="s">
        <v>3065</v>
      </c>
      <c r="H20" s="449"/>
      <c r="I20" s="2616" t="s">
        <v>3065</v>
      </c>
      <c r="J20" s="449"/>
      <c r="K20" s="616"/>
      <c r="L20" s="1143"/>
      <c r="M20" s="1134"/>
      <c r="N20" s="1134"/>
      <c r="O20" s="1134"/>
      <c r="P20" s="3174"/>
      <c r="Q20" s="1814"/>
      <c r="R20" s="774"/>
      <c r="S20" s="775"/>
      <c r="T20" s="774"/>
      <c r="U20" s="775"/>
      <c r="V20" s="774"/>
      <c r="W20" s="775"/>
      <c r="X20" s="1817"/>
      <c r="Y20" s="3176"/>
      <c r="Z20" s="1818"/>
      <c r="AA20" s="1815">
        <v>1</v>
      </c>
      <c r="AB20" s="1815">
        <v>1</v>
      </c>
      <c r="AC20" s="2679">
        <v>1</v>
      </c>
    </row>
    <row r="21" spans="1:29" ht="15">
      <c r="A21" s="429"/>
      <c r="B21" s="634" t="s">
        <v>2685</v>
      </c>
      <c r="C21" s="2680" t="str">
        <f>估价对象房地状况!C8</f>
        <v>七通</v>
      </c>
      <c r="D21" s="451">
        <v>100</v>
      </c>
      <c r="E21" s="460" t="s">
        <v>3064</v>
      </c>
      <c r="F21" s="456">
        <f>SUMIF(83:83,E22,84:84)-SUMIF(83:83,C22,84:84)+100</f>
        <v>100</v>
      </c>
      <c r="G21" s="460" t="s">
        <v>3064</v>
      </c>
      <c r="H21" s="451">
        <f>SUMIF(83:83,G22,84:84)-SUMIF(83:83,C22,84:84)+100</f>
        <v>100</v>
      </c>
      <c r="I21" s="460" t="s">
        <v>3064</v>
      </c>
      <c r="J21" s="451">
        <f>SUMIF(83:83,I22,84:84)-SUMIF(83:83,C22,84:84)+100</f>
        <v>100</v>
      </c>
      <c r="K21" s="615"/>
      <c r="L21" s="1143"/>
      <c r="M21" s="1134"/>
      <c r="N21" s="1134"/>
      <c r="O21" s="1134"/>
      <c r="P21" s="3174"/>
      <c r="Q21" s="1814" t="str">
        <f>B21</f>
        <v>基础设施水平</v>
      </c>
      <c r="R21" s="774" t="s">
        <v>17</v>
      </c>
      <c r="S21" s="775">
        <f>F21</f>
        <v>100</v>
      </c>
      <c r="T21" s="774" t="s">
        <v>17</v>
      </c>
      <c r="U21" s="775">
        <f>H21</f>
        <v>100</v>
      </c>
      <c r="V21" s="774" t="s">
        <v>17</v>
      </c>
      <c r="W21" s="775">
        <f>J21</f>
        <v>100</v>
      </c>
      <c r="X21" s="1817"/>
      <c r="Y21" s="3176"/>
      <c r="Z21" s="1818" t="str">
        <f>Q21</f>
        <v>基础设施水平</v>
      </c>
      <c r="AA21" s="1815">
        <f t="shared" ref="AA21" si="8">D21/F21</f>
        <v>1</v>
      </c>
      <c r="AB21" s="1815">
        <f t="shared" ref="AB21" si="9">D21/H21</f>
        <v>1</v>
      </c>
      <c r="AC21" s="2679">
        <f t="shared" ref="AC21" si="10">D21/J21</f>
        <v>1</v>
      </c>
    </row>
    <row r="22" spans="1:29" ht="15" hidden="1">
      <c r="A22" s="429"/>
      <c r="B22" s="634"/>
      <c r="C22" s="2681" t="s">
        <v>3064</v>
      </c>
      <c r="D22" s="449"/>
      <c r="E22" s="2681" t="s">
        <v>3064</v>
      </c>
      <c r="F22" s="449"/>
      <c r="G22" s="2681" t="s">
        <v>3064</v>
      </c>
      <c r="H22" s="449"/>
      <c r="I22" s="2681" t="s">
        <v>3064</v>
      </c>
      <c r="J22" s="449"/>
      <c r="K22" s="1386"/>
      <c r="L22" s="1143"/>
      <c r="M22" s="1134"/>
      <c r="N22" s="1134"/>
      <c r="O22" s="1134"/>
      <c r="P22" s="3174"/>
      <c r="Q22" s="1814"/>
      <c r="R22" s="774"/>
      <c r="S22" s="775"/>
      <c r="T22" s="774"/>
      <c r="U22" s="775"/>
      <c r="V22" s="774"/>
      <c r="W22" s="775"/>
      <c r="X22" s="1817"/>
      <c r="Y22" s="3176"/>
      <c r="Z22" s="1818"/>
      <c r="AA22" s="1815">
        <v>1</v>
      </c>
      <c r="AB22" s="1815">
        <v>1</v>
      </c>
      <c r="AC22" s="2679">
        <v>1</v>
      </c>
    </row>
    <row r="23" spans="1:29" ht="128.25">
      <c r="A23" s="429"/>
      <c r="B23" s="632" t="s">
        <v>2686</v>
      </c>
      <c r="C23" s="2680" t="str">
        <f>估价对象房地状况!C9</f>
        <v>估价对象周边约2公里范围有温泉公园，自然环境一般；周边约2公里范围内有北京行政学院等人文设施，人文环境一般；综合评价环境状况一般。</v>
      </c>
      <c r="D23" s="451">
        <v>100</v>
      </c>
      <c r="E23" s="455" t="s">
        <v>3125</v>
      </c>
      <c r="F23" s="451">
        <f>SUMIF(85:85,E24,86:86)-SUMIF(85:85,C24,86:86)+100</f>
        <v>100</v>
      </c>
      <c r="G23" s="455" t="s">
        <v>3125</v>
      </c>
      <c r="H23" s="451">
        <f>SUMIF(85:85,G24,86:86)-SUMIF(85:85,C24,86:86)+100</f>
        <v>100</v>
      </c>
      <c r="I23" s="455" t="s">
        <v>3125</v>
      </c>
      <c r="J23" s="451">
        <f>SUMIF(85:85,I24,86:86)-SUMIF(85:85,C24,86:86)+100</f>
        <v>100</v>
      </c>
      <c r="K23" s="615"/>
      <c r="L23" s="1143"/>
      <c r="M23" s="1134"/>
      <c r="N23" s="1134"/>
      <c r="O23" s="1134"/>
      <c r="P23" s="3174"/>
      <c r="Q23" s="1814" t="str">
        <f>B23</f>
        <v>环境质量</v>
      </c>
      <c r="R23" s="774" t="s">
        <v>17</v>
      </c>
      <c r="S23" s="775">
        <f>F23</f>
        <v>100</v>
      </c>
      <c r="T23" s="774" t="s">
        <v>17</v>
      </c>
      <c r="U23" s="775">
        <f>H23</f>
        <v>100</v>
      </c>
      <c r="V23" s="774" t="s">
        <v>17</v>
      </c>
      <c r="W23" s="775">
        <f>J23</f>
        <v>100</v>
      </c>
      <c r="X23" s="1817"/>
      <c r="Y23" s="3176"/>
      <c r="Z23" s="1818" t="str">
        <f>Q23</f>
        <v>环境质量</v>
      </c>
      <c r="AA23" s="1815">
        <f t="shared" si="3"/>
        <v>1</v>
      </c>
      <c r="AB23" s="1815">
        <f t="shared" si="4"/>
        <v>1</v>
      </c>
      <c r="AC23" s="2679">
        <f t="shared" si="5"/>
        <v>1</v>
      </c>
    </row>
    <row r="24" spans="1:29" ht="15" hidden="1">
      <c r="A24" s="429"/>
      <c r="B24" s="634"/>
      <c r="C24" s="2616" t="s">
        <v>3063</v>
      </c>
      <c r="D24" s="449"/>
      <c r="E24" s="2616" t="s">
        <v>3063</v>
      </c>
      <c r="F24" s="449"/>
      <c r="G24" s="2616" t="s">
        <v>3063</v>
      </c>
      <c r="H24" s="449"/>
      <c r="I24" s="2616" t="s">
        <v>3063</v>
      </c>
      <c r="J24" s="449"/>
      <c r="K24" s="616"/>
      <c r="L24" s="1143"/>
      <c r="M24" s="1134"/>
      <c r="N24" s="1134"/>
      <c r="O24" s="1134"/>
      <c r="P24" s="3174"/>
      <c r="Q24" s="1814"/>
      <c r="R24" s="774"/>
      <c r="S24" s="775"/>
      <c r="T24" s="774"/>
      <c r="U24" s="775"/>
      <c r="V24" s="774"/>
      <c r="W24" s="775"/>
      <c r="X24" s="1817"/>
      <c r="Y24" s="3176"/>
      <c r="Z24" s="1818"/>
      <c r="AA24" s="1815">
        <v>1</v>
      </c>
      <c r="AB24" s="1815">
        <v>1</v>
      </c>
      <c r="AC24" s="2679">
        <v>1</v>
      </c>
    </row>
    <row r="25" spans="1:29" ht="28.5">
      <c r="A25" s="405"/>
      <c r="B25" s="632" t="s">
        <v>2687</v>
      </c>
      <c r="C25" s="2944" t="s">
        <v>3121</v>
      </c>
      <c r="D25" s="436">
        <v>100</v>
      </c>
      <c r="E25" s="435" t="s">
        <v>3120</v>
      </c>
      <c r="F25" s="436">
        <f>SUMIF(87:87,E26,88:88)-SUMIF(87:87,C26,88:88)+100</f>
        <v>100</v>
      </c>
      <c r="G25" s="435" t="s">
        <v>3120</v>
      </c>
      <c r="H25" s="436">
        <f>SUMIF(87:87,G26,88:88)-SUMIF(87:87,C26,88:88)+100</f>
        <v>100</v>
      </c>
      <c r="I25" s="435" t="s">
        <v>3120</v>
      </c>
      <c r="J25" s="436">
        <f>SUMIF(87:87,I26,88:88)-SUMIF(87:87,C26,88:88)+100</f>
        <v>100</v>
      </c>
      <c r="K25" s="615"/>
      <c r="L25" s="1143"/>
      <c r="M25" s="1134"/>
      <c r="N25" s="1134"/>
      <c r="O25" s="1134"/>
      <c r="P25" s="3174"/>
      <c r="Q25" s="1814" t="str">
        <f>B25</f>
        <v>毗邻道路的类型与等级</v>
      </c>
      <c r="R25" s="774" t="s">
        <v>17</v>
      </c>
      <c r="S25" s="775">
        <f>F25</f>
        <v>100</v>
      </c>
      <c r="T25" s="774" t="s">
        <v>17</v>
      </c>
      <c r="U25" s="775">
        <f>H25</f>
        <v>100</v>
      </c>
      <c r="V25" s="774" t="s">
        <v>17</v>
      </c>
      <c r="W25" s="775">
        <f>J25</f>
        <v>100</v>
      </c>
      <c r="X25" s="1817"/>
      <c r="Y25" s="3176"/>
      <c r="Z25" s="1818" t="str">
        <f>Q25</f>
        <v>毗邻道路的类型与等级</v>
      </c>
      <c r="AA25" s="1815">
        <f t="shared" si="3"/>
        <v>1</v>
      </c>
      <c r="AB25" s="1815">
        <f t="shared" si="4"/>
        <v>1</v>
      </c>
      <c r="AC25" s="2679">
        <f t="shared" si="5"/>
        <v>1</v>
      </c>
    </row>
    <row r="26" spans="1:29" ht="15" hidden="1">
      <c r="A26" s="405"/>
      <c r="B26" s="633"/>
      <c r="C26" s="635"/>
      <c r="D26" s="436"/>
      <c r="E26" s="617"/>
      <c r="F26" s="436"/>
      <c r="G26" s="635"/>
      <c r="H26" s="436"/>
      <c r="I26" s="617"/>
      <c r="J26" s="436"/>
      <c r="K26" s="616"/>
      <c r="L26" s="1143"/>
      <c r="M26" s="1134"/>
      <c r="N26" s="1134"/>
      <c r="O26" s="1134"/>
      <c r="P26" s="3174"/>
      <c r="Q26" s="1814"/>
      <c r="R26" s="774"/>
      <c r="S26" s="775"/>
      <c r="T26" s="774"/>
      <c r="U26" s="775"/>
      <c r="V26" s="774"/>
      <c r="W26" s="775"/>
      <c r="X26" s="1817"/>
      <c r="Y26" s="3176"/>
      <c r="Z26" s="1818"/>
      <c r="AA26" s="1815">
        <v>1</v>
      </c>
      <c r="AB26" s="1815">
        <v>1</v>
      </c>
      <c r="AC26" s="2679">
        <v>1</v>
      </c>
    </row>
    <row r="27" spans="1:29" ht="15">
      <c r="A27" s="429"/>
      <c r="B27" s="633" t="s">
        <v>2655</v>
      </c>
      <c r="C27" s="635" t="s">
        <v>3080</v>
      </c>
      <c r="D27" s="436">
        <v>100</v>
      </c>
      <c r="E27" s="617" t="s">
        <v>3081</v>
      </c>
      <c r="F27" s="436">
        <f>SUMIF(89:89,E27,90:90)-SUMIF(89:89,C27,90:90)+100</f>
        <v>103</v>
      </c>
      <c r="G27" s="617" t="s">
        <v>3081</v>
      </c>
      <c r="H27" s="436">
        <f>SUMIF(89:89,G27,90:90)-SUMIF(89:89,C27,90:90)+100</f>
        <v>103</v>
      </c>
      <c r="I27" s="617" t="s">
        <v>3081</v>
      </c>
      <c r="J27" s="436">
        <f>SUMIF(89:89,I27,90:90)-SUMIF(89:89,C27,90:90)+100</f>
        <v>103</v>
      </c>
      <c r="K27" s="613">
        <v>3</v>
      </c>
      <c r="L27" s="1143"/>
      <c r="M27" s="1134"/>
      <c r="N27" s="1134"/>
      <c r="O27" s="1134"/>
      <c r="P27" s="3174"/>
      <c r="Q27" s="1814" t="str">
        <f t="shared" ref="Q27:Q47" si="11">B27</f>
        <v>楼层</v>
      </c>
      <c r="R27" s="774" t="s">
        <v>17</v>
      </c>
      <c r="S27" s="775">
        <f>F27</f>
        <v>103</v>
      </c>
      <c r="T27" s="774" t="s">
        <v>17</v>
      </c>
      <c r="U27" s="775">
        <f>H27</f>
        <v>103</v>
      </c>
      <c r="V27" s="774" t="s">
        <v>17</v>
      </c>
      <c r="W27" s="775">
        <f>J27</f>
        <v>103</v>
      </c>
      <c r="X27" s="1817"/>
      <c r="Y27" s="3176"/>
      <c r="Z27" s="1818" t="str">
        <f>Q27</f>
        <v>楼层</v>
      </c>
      <c r="AA27" s="1815">
        <f t="shared" si="3"/>
        <v>0.970873786407767</v>
      </c>
      <c r="AB27" s="1815">
        <f t="shared" si="4"/>
        <v>0.970873786407767</v>
      </c>
      <c r="AC27" s="2679">
        <f t="shared" si="5"/>
        <v>0.970873786407767</v>
      </c>
    </row>
    <row r="28" spans="1:29" s="117" customFormat="1" ht="15" hidden="1">
      <c r="A28" s="432"/>
      <c r="B28" s="632" t="s">
        <v>2688</v>
      </c>
      <c r="C28" s="2682"/>
      <c r="D28" s="463">
        <v>100</v>
      </c>
      <c r="E28" s="2670"/>
      <c r="F28" s="463">
        <f>SUMIF(91:91,E28,92:92)-SUMIF(91:91,C28,92:92)+100</f>
        <v>100</v>
      </c>
      <c r="G28" s="2682"/>
      <c r="H28" s="463">
        <f>SUMIF(91:91,G28,92:92)-SUMIF(91:91,C28,92:92)+100</f>
        <v>100</v>
      </c>
      <c r="I28" s="2670"/>
      <c r="J28" s="463">
        <f>SUMIF(91:91,I28,92:92)-SUMIF(91:91,C28,92:92)+100</f>
        <v>100</v>
      </c>
      <c r="K28" s="613"/>
      <c r="L28" s="1135"/>
      <c r="M28" s="1136"/>
      <c r="N28" s="1136"/>
      <c r="O28" s="1136"/>
      <c r="P28" s="3174"/>
      <c r="Q28" s="1799" t="str">
        <f t="shared" si="11"/>
        <v>朝向</v>
      </c>
      <c r="R28" s="770" t="s">
        <v>17</v>
      </c>
      <c r="S28" s="771">
        <f>F28</f>
        <v>100</v>
      </c>
      <c r="T28" s="770" t="s">
        <v>17</v>
      </c>
      <c r="U28" s="771">
        <f>H28</f>
        <v>100</v>
      </c>
      <c r="V28" s="770" t="s">
        <v>17</v>
      </c>
      <c r="W28" s="771">
        <f>J28</f>
        <v>100</v>
      </c>
      <c r="X28" s="772"/>
      <c r="Y28" s="3176"/>
      <c r="Z28" s="55" t="str">
        <f>Q28</f>
        <v>朝向</v>
      </c>
      <c r="AA28" s="1815">
        <f>D28/F28</f>
        <v>1</v>
      </c>
      <c r="AB28" s="1815">
        <f>D28/H28</f>
        <v>1</v>
      </c>
      <c r="AC28" s="2679">
        <f>D28/J28</f>
        <v>1</v>
      </c>
    </row>
    <row r="29" spans="1:29" ht="15" hidden="1">
      <c r="A29" s="429"/>
      <c r="B29" s="2683">
        <v>111</v>
      </c>
      <c r="C29" s="2620"/>
      <c r="D29" s="436">
        <v>100</v>
      </c>
      <c r="E29" s="433"/>
      <c r="F29" s="436">
        <f>SUMIF(93:93,E29,94:94)-SUMIF(93:93,C29,94:94)+100</f>
        <v>100</v>
      </c>
      <c r="G29" s="2677"/>
      <c r="H29" s="436">
        <f>SUMIF(93:93,G29,94:94)-SUMIF(93:93,C29,94:94)+100</f>
        <v>100</v>
      </c>
      <c r="I29" s="433"/>
      <c r="J29" s="436">
        <f>SUMIF(93:93,I29,94:94)-SUMIF(93:93,C29,94:94)+100</f>
        <v>100</v>
      </c>
      <c r="K29" s="614"/>
      <c r="L29" s="1143"/>
      <c r="M29" s="1134"/>
      <c r="N29" s="1134"/>
      <c r="O29" s="1134"/>
      <c r="P29" s="3174"/>
      <c r="Q29" s="1814">
        <f t="shared" si="11"/>
        <v>111</v>
      </c>
      <c r="R29" s="774" t="s">
        <v>17</v>
      </c>
      <c r="S29" s="775">
        <f t="shared" ref="S29:S47" si="12">F29</f>
        <v>100</v>
      </c>
      <c r="T29" s="774" t="s">
        <v>17</v>
      </c>
      <c r="U29" s="775">
        <f t="shared" ref="U29:U47" si="13">H29</f>
        <v>100</v>
      </c>
      <c r="V29" s="774" t="s">
        <v>17</v>
      </c>
      <c r="W29" s="775">
        <f t="shared" ref="W29:W47" si="14">J29</f>
        <v>100</v>
      </c>
      <c r="X29" s="1817"/>
      <c r="Y29" s="3176"/>
      <c r="Z29" s="1818">
        <f t="shared" ref="Z29:Z47" si="15">Q29</f>
        <v>111</v>
      </c>
      <c r="AA29" s="1815">
        <f t="shared" si="3"/>
        <v>1</v>
      </c>
      <c r="AB29" s="1815">
        <f t="shared" si="4"/>
        <v>1</v>
      </c>
      <c r="AC29" s="2679">
        <f t="shared" si="5"/>
        <v>1</v>
      </c>
    </row>
    <row r="30" spans="1:29" ht="15" hidden="1">
      <c r="A30" s="429"/>
      <c r="B30" s="2683">
        <v>111</v>
      </c>
      <c r="C30" s="2620"/>
      <c r="D30" s="436">
        <v>100</v>
      </c>
      <c r="E30" s="433"/>
      <c r="F30" s="436">
        <f>SUMIF(95:95,E30,96:96)-SUMIF(95:95,C30,96:96)+100</f>
        <v>100</v>
      </c>
      <c r="G30" s="2677"/>
      <c r="H30" s="436">
        <f>SUMIF(95:95,G30,96:96)-SUMIF(95:95,C30,96:96)+100</f>
        <v>100</v>
      </c>
      <c r="I30" s="433"/>
      <c r="J30" s="436">
        <f>SUMIF(95:95,I30,96:96)-SUMIF(95:95,C30,96:96)+100</f>
        <v>100</v>
      </c>
      <c r="K30" s="614"/>
      <c r="L30" s="1143"/>
      <c r="M30" s="1134"/>
      <c r="N30" s="1134"/>
      <c r="O30" s="1134"/>
      <c r="P30" s="3174"/>
      <c r="Q30" s="1814">
        <f t="shared" si="11"/>
        <v>111</v>
      </c>
      <c r="R30" s="774" t="s">
        <v>17</v>
      </c>
      <c r="S30" s="775">
        <f t="shared" si="12"/>
        <v>100</v>
      </c>
      <c r="T30" s="774" t="s">
        <v>17</v>
      </c>
      <c r="U30" s="775">
        <f t="shared" si="13"/>
        <v>100</v>
      </c>
      <c r="V30" s="774" t="s">
        <v>17</v>
      </c>
      <c r="W30" s="775">
        <f t="shared" si="14"/>
        <v>100</v>
      </c>
      <c r="X30" s="1817"/>
      <c r="Y30" s="3176"/>
      <c r="Z30" s="1818">
        <f t="shared" si="15"/>
        <v>111</v>
      </c>
      <c r="AA30" s="1815">
        <f t="shared" si="3"/>
        <v>1</v>
      </c>
      <c r="AB30" s="1815">
        <f t="shared" si="4"/>
        <v>1</v>
      </c>
      <c r="AC30" s="2679">
        <f t="shared" si="5"/>
        <v>1</v>
      </c>
    </row>
    <row r="31" spans="1:29" ht="15" hidden="1">
      <c r="A31" s="429"/>
      <c r="B31" s="2683">
        <v>111</v>
      </c>
      <c r="C31" s="2620"/>
      <c r="D31" s="436">
        <v>100</v>
      </c>
      <c r="E31" s="433"/>
      <c r="F31" s="436">
        <f>SUMIF(97:97,E31,98:98)-SUMIF(97:97,C31,98:98)+100</f>
        <v>100</v>
      </c>
      <c r="G31" s="2677"/>
      <c r="H31" s="436">
        <f>SUMIF(97:97,G31,98:98)-SUMIF(97:97,C31,98:98)+100</f>
        <v>100</v>
      </c>
      <c r="I31" s="433"/>
      <c r="J31" s="436">
        <f>SUMIF(97:97,I31,98:98)-SUMIF(97:97,C31,98:98)+100</f>
        <v>100</v>
      </c>
      <c r="K31" s="614"/>
      <c r="L31" s="1143"/>
      <c r="M31" s="1134"/>
      <c r="N31" s="1134"/>
      <c r="O31" s="1134"/>
      <c r="P31" s="3174"/>
      <c r="Q31" s="1814">
        <f t="shared" si="11"/>
        <v>111</v>
      </c>
      <c r="R31" s="774" t="s">
        <v>17</v>
      </c>
      <c r="S31" s="775">
        <f t="shared" si="12"/>
        <v>100</v>
      </c>
      <c r="T31" s="774" t="s">
        <v>17</v>
      </c>
      <c r="U31" s="775">
        <f t="shared" si="13"/>
        <v>100</v>
      </c>
      <c r="V31" s="774" t="s">
        <v>17</v>
      </c>
      <c r="W31" s="775">
        <f t="shared" si="14"/>
        <v>100</v>
      </c>
      <c r="X31" s="1817"/>
      <c r="Y31" s="3176"/>
      <c r="Z31" s="1818">
        <f t="shared" si="15"/>
        <v>111</v>
      </c>
      <c r="AA31" s="1815">
        <f t="shared" si="3"/>
        <v>1</v>
      </c>
      <c r="AB31" s="1815">
        <f t="shared" si="4"/>
        <v>1</v>
      </c>
      <c r="AC31" s="2679">
        <f t="shared" si="5"/>
        <v>1</v>
      </c>
    </row>
    <row r="32" spans="1:29" ht="15.75" hidden="1" thickBot="1">
      <c r="A32" s="437"/>
      <c r="B32" s="636">
        <v>111</v>
      </c>
      <c r="C32" s="2621"/>
      <c r="D32" s="439">
        <v>100</v>
      </c>
      <c r="E32" s="629"/>
      <c r="F32" s="439">
        <f>SUMIF(99:99,E32,100:100)-SUMIF(99:99,C32,100:100)+100</f>
        <v>100</v>
      </c>
      <c r="G32" s="2677"/>
      <c r="H32" s="439">
        <f>SUMIF(99:99,G32,100:100)-SUMIF(99:99,C32,100:100)+100</f>
        <v>100</v>
      </c>
      <c r="I32" s="433"/>
      <c r="J32" s="439">
        <f>SUMIF(99:99,I32,100:100)-SUMIF(99:99,C32,100:100)+100</f>
        <v>100</v>
      </c>
      <c r="K32" s="614"/>
      <c r="L32" s="1143"/>
      <c r="M32" s="1134"/>
      <c r="N32" s="1134"/>
      <c r="O32" s="1134"/>
      <c r="P32" s="3174"/>
      <c r="Q32" s="1814">
        <f t="shared" si="11"/>
        <v>111</v>
      </c>
      <c r="R32" s="774" t="s">
        <v>17</v>
      </c>
      <c r="S32" s="775">
        <f t="shared" si="12"/>
        <v>100</v>
      </c>
      <c r="T32" s="774" t="s">
        <v>17</v>
      </c>
      <c r="U32" s="775">
        <f t="shared" si="13"/>
        <v>100</v>
      </c>
      <c r="V32" s="774" t="s">
        <v>17</v>
      </c>
      <c r="W32" s="775">
        <f t="shared" si="14"/>
        <v>100</v>
      </c>
      <c r="X32" s="1817"/>
      <c r="Y32" s="3176"/>
      <c r="Z32" s="1818">
        <f t="shared" si="15"/>
        <v>111</v>
      </c>
      <c r="AA32" s="1815">
        <f t="shared" si="3"/>
        <v>1</v>
      </c>
      <c r="AB32" s="1815">
        <f t="shared" si="4"/>
        <v>1</v>
      </c>
      <c r="AC32" s="2679">
        <f t="shared" si="5"/>
        <v>1</v>
      </c>
    </row>
    <row r="33" spans="1:29" ht="15" hidden="1">
      <c r="A33" s="441" t="s">
        <v>2559</v>
      </c>
      <c r="B33" s="71" t="s">
        <v>2689</v>
      </c>
      <c r="C33" s="2684"/>
      <c r="D33" s="468">
        <v>100</v>
      </c>
      <c r="E33" s="2684"/>
      <c r="F33" s="462">
        <f>SUMIF(101:101,E33,102:102)-SUMIF(101:101,C33,102:102)+100</f>
        <v>100</v>
      </c>
      <c r="G33" s="2684"/>
      <c r="H33" s="436">
        <f>SUMIF(101:101,G33,102:102)-SUMIF(101:101,C33,102:102)+100</f>
        <v>100</v>
      </c>
      <c r="I33" s="2684"/>
      <c r="J33" s="468">
        <f>SUMIF(101:101,I33,102:102)-SUMIF(101:101,C33,102:102)+100</f>
        <v>100</v>
      </c>
      <c r="K33" s="613"/>
      <c r="L33" s="1143"/>
      <c r="M33" s="1134"/>
      <c r="N33" s="1134"/>
      <c r="O33" s="1134"/>
      <c r="P33" s="3177" t="s">
        <v>2561</v>
      </c>
      <c r="Q33" s="1814" t="str">
        <f t="shared" si="11"/>
        <v>建筑类型</v>
      </c>
      <c r="R33" s="774" t="s">
        <v>17</v>
      </c>
      <c r="S33" s="775">
        <f t="shared" si="12"/>
        <v>100</v>
      </c>
      <c r="T33" s="774" t="s">
        <v>17</v>
      </c>
      <c r="U33" s="775">
        <f t="shared" si="13"/>
        <v>100</v>
      </c>
      <c r="V33" s="774" t="s">
        <v>17</v>
      </c>
      <c r="W33" s="775">
        <f t="shared" si="14"/>
        <v>100</v>
      </c>
      <c r="X33" s="1817"/>
      <c r="Y33" s="3180" t="s">
        <v>2561</v>
      </c>
      <c r="Z33" s="1818" t="str">
        <f t="shared" si="15"/>
        <v>建筑类型</v>
      </c>
      <c r="AA33" s="1815">
        <f t="shared" si="3"/>
        <v>1</v>
      </c>
      <c r="AB33" s="1815">
        <f t="shared" si="4"/>
        <v>1</v>
      </c>
      <c r="AC33" s="2679">
        <f t="shared" si="5"/>
        <v>1</v>
      </c>
    </row>
    <row r="34" spans="1:29" s="472" customFormat="1" ht="15">
      <c r="A34" s="469"/>
      <c r="B34" s="423" t="s">
        <v>2562</v>
      </c>
      <c r="C34" s="470">
        <f>'数据-基础表'!I13</f>
        <v>80.540000000000006</v>
      </c>
      <c r="D34" s="136">
        <v>100</v>
      </c>
      <c r="E34" s="431">
        <v>39</v>
      </c>
      <c r="F34" s="426">
        <f>LOOKUP(E34,104:104,105:105)-LOOKUP(C34,104:104,105:105)+100</f>
        <v>100</v>
      </c>
      <c r="G34" s="430">
        <v>80</v>
      </c>
      <c r="H34" s="136">
        <f>LOOKUP(G34,104:104,105:105)-LOOKUP(C34,104:104,105:105)+100</f>
        <v>100</v>
      </c>
      <c r="I34" s="430">
        <v>90</v>
      </c>
      <c r="J34" s="136">
        <f>LOOKUP(I34,104:104,105:105)-LOOKUP(C34,104:104,105:105)+100</f>
        <v>100</v>
      </c>
      <c r="K34" s="614"/>
      <c r="L34" s="1141"/>
      <c r="M34" s="1144"/>
      <c r="N34" s="1144"/>
      <c r="O34" s="1144"/>
      <c r="P34" s="3178"/>
      <c r="Q34" s="776" t="str">
        <f t="shared" si="11"/>
        <v>项目建筑规模</v>
      </c>
      <c r="R34" s="777" t="s">
        <v>17</v>
      </c>
      <c r="S34" s="778">
        <f t="shared" si="12"/>
        <v>100</v>
      </c>
      <c r="T34" s="777" t="s">
        <v>17</v>
      </c>
      <c r="U34" s="778">
        <f t="shared" si="13"/>
        <v>100</v>
      </c>
      <c r="V34" s="777" t="s">
        <v>17</v>
      </c>
      <c r="W34" s="778">
        <f t="shared" si="14"/>
        <v>100</v>
      </c>
      <c r="X34" s="779"/>
      <c r="Y34" s="3180"/>
      <c r="Z34" s="780" t="str">
        <f t="shared" si="15"/>
        <v>项目建筑规模</v>
      </c>
      <c r="AA34" s="1815">
        <f t="shared" si="3"/>
        <v>1</v>
      </c>
      <c r="AB34" s="1815">
        <f t="shared" si="4"/>
        <v>1</v>
      </c>
      <c r="AC34" s="2679">
        <f t="shared" si="5"/>
        <v>1</v>
      </c>
    </row>
    <row r="35" spans="1:29" ht="15">
      <c r="A35" s="473"/>
      <c r="B35" s="423" t="s">
        <v>2563</v>
      </c>
      <c r="C35" s="461" t="s">
        <v>3069</v>
      </c>
      <c r="D35" s="436">
        <v>100</v>
      </c>
      <c r="E35" s="461" t="s">
        <v>3069</v>
      </c>
      <c r="F35" s="462">
        <f>SUMIF(106:106,E35,107:107)-SUMIF(106:106,C35,107:107)+100</f>
        <v>100</v>
      </c>
      <c r="G35" s="461" t="s">
        <v>3069</v>
      </c>
      <c r="H35" s="436">
        <f>SUMIF(106:106,G35,107:107)-SUMIF(106:106,C35,107:107)+100</f>
        <v>100</v>
      </c>
      <c r="I35" s="461" t="s">
        <v>3069</v>
      </c>
      <c r="J35" s="436">
        <f>SUMIF(106:106,I35,107:107)-SUMIF(106:106,C35,107:107)+100</f>
        <v>100</v>
      </c>
      <c r="K35" s="613"/>
      <c r="L35" s="1143"/>
      <c r="M35" s="1134"/>
      <c r="N35" s="1134"/>
      <c r="O35" s="1134"/>
      <c r="P35" s="3178"/>
      <c r="Q35" s="1814" t="str">
        <f t="shared" si="11"/>
        <v>建筑结构</v>
      </c>
      <c r="R35" s="774" t="s">
        <v>17</v>
      </c>
      <c r="S35" s="775">
        <f t="shared" si="12"/>
        <v>100</v>
      </c>
      <c r="T35" s="774" t="s">
        <v>17</v>
      </c>
      <c r="U35" s="775">
        <f t="shared" si="13"/>
        <v>100</v>
      </c>
      <c r="V35" s="774" t="s">
        <v>17</v>
      </c>
      <c r="W35" s="775">
        <f t="shared" si="14"/>
        <v>100</v>
      </c>
      <c r="X35" s="1817"/>
      <c r="Y35" s="3180"/>
      <c r="Z35" s="1818" t="str">
        <f t="shared" si="15"/>
        <v>建筑结构</v>
      </c>
      <c r="AA35" s="1815">
        <f t="shared" si="3"/>
        <v>1</v>
      </c>
      <c r="AB35" s="1815">
        <f t="shared" si="4"/>
        <v>1</v>
      </c>
      <c r="AC35" s="2679">
        <f t="shared" si="5"/>
        <v>1</v>
      </c>
    </row>
    <row r="36" spans="1:29" ht="15">
      <c r="A36" s="473"/>
      <c r="B36" s="423" t="s">
        <v>2657</v>
      </c>
      <c r="C36" s="461" t="s">
        <v>3071</v>
      </c>
      <c r="D36" s="436">
        <v>100</v>
      </c>
      <c r="E36" s="461" t="s">
        <v>3071</v>
      </c>
      <c r="F36" s="462">
        <f>SUMIF(108:108,E36,109:109)-SUMIF(108:108,C36,109:109)+100</f>
        <v>100</v>
      </c>
      <c r="G36" s="461" t="s">
        <v>3071</v>
      </c>
      <c r="H36" s="436">
        <f>SUMIF(108:108,G36,109:109)-SUMIF(108:108,C36,109:109)+100</f>
        <v>100</v>
      </c>
      <c r="I36" s="461" t="s">
        <v>3071</v>
      </c>
      <c r="J36" s="436">
        <f>SUMIF(108:108,I36,109:109)-SUMIF(108:108,C36,109:109)+100</f>
        <v>100</v>
      </c>
      <c r="K36" s="613"/>
      <c r="L36" s="1143"/>
      <c r="M36" s="1134"/>
      <c r="N36" s="1134"/>
      <c r="O36" s="1134"/>
      <c r="P36" s="3178"/>
      <c r="Q36" s="1814" t="str">
        <f t="shared" si="11"/>
        <v>公共部分装修</v>
      </c>
      <c r="R36" s="774" t="s">
        <v>17</v>
      </c>
      <c r="S36" s="775">
        <f t="shared" si="12"/>
        <v>100</v>
      </c>
      <c r="T36" s="774" t="s">
        <v>17</v>
      </c>
      <c r="U36" s="775">
        <f t="shared" si="13"/>
        <v>100</v>
      </c>
      <c r="V36" s="774" t="s">
        <v>17</v>
      </c>
      <c r="W36" s="775">
        <f t="shared" si="14"/>
        <v>100</v>
      </c>
      <c r="X36" s="1817"/>
      <c r="Y36" s="3180"/>
      <c r="Z36" s="1818" t="str">
        <f t="shared" si="15"/>
        <v>公共部分装修</v>
      </c>
      <c r="AA36" s="1815">
        <f t="shared" si="3"/>
        <v>1</v>
      </c>
      <c r="AB36" s="1815">
        <f t="shared" si="4"/>
        <v>1</v>
      </c>
      <c r="AC36" s="2679">
        <f t="shared" si="5"/>
        <v>1</v>
      </c>
    </row>
    <row r="37" spans="1:29" ht="15">
      <c r="A37" s="473"/>
      <c r="B37" s="423" t="s">
        <v>2658</v>
      </c>
      <c r="C37" s="475">
        <f>'数据-取费表'!Y6</f>
        <v>0.96699999999999997</v>
      </c>
      <c r="D37" s="436">
        <v>100</v>
      </c>
      <c r="E37" s="475">
        <v>0.97</v>
      </c>
      <c r="F37" s="462">
        <f>LOOKUP(E37,111:111,112:112)-LOOKUP(C37,111:111,112:112)+100</f>
        <v>100</v>
      </c>
      <c r="G37" s="475">
        <v>0.97</v>
      </c>
      <c r="H37" s="462">
        <f>LOOKUP(G37,111:111,112:112)-LOOKUP(C37,111:111,112:112)+100</f>
        <v>100</v>
      </c>
      <c r="I37" s="475">
        <v>0.97</v>
      </c>
      <c r="J37" s="436">
        <f>LOOKUP(I37,111:111,112:112)-LOOKUP(C37,111:111,112:112)+100</f>
        <v>100</v>
      </c>
      <c r="K37" s="613"/>
      <c r="L37" s="1143"/>
      <c r="M37" s="1134"/>
      <c r="N37" s="1134"/>
      <c r="O37" s="1134"/>
      <c r="P37" s="3178"/>
      <c r="Q37" s="1814" t="str">
        <f t="shared" si="11"/>
        <v>成新度</v>
      </c>
      <c r="R37" s="774" t="s">
        <v>17</v>
      </c>
      <c r="S37" s="775">
        <f t="shared" si="12"/>
        <v>100</v>
      </c>
      <c r="T37" s="774" t="s">
        <v>17</v>
      </c>
      <c r="U37" s="775">
        <f t="shared" si="13"/>
        <v>100</v>
      </c>
      <c r="V37" s="774" t="s">
        <v>17</v>
      </c>
      <c r="W37" s="775">
        <f t="shared" si="14"/>
        <v>100</v>
      </c>
      <c r="X37" s="1817"/>
      <c r="Y37" s="3180"/>
      <c r="Z37" s="1818" t="str">
        <f t="shared" si="15"/>
        <v>成新度</v>
      </c>
      <c r="AA37" s="1815">
        <f t="shared" si="3"/>
        <v>1</v>
      </c>
      <c r="AB37" s="1815">
        <f t="shared" si="4"/>
        <v>1</v>
      </c>
      <c r="AC37" s="2679">
        <f t="shared" si="5"/>
        <v>1</v>
      </c>
    </row>
    <row r="38" spans="1:29" s="117" customFormat="1" ht="15" hidden="1">
      <c r="A38" s="474"/>
      <c r="B38" s="423" t="s">
        <v>2690</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5"/>
      <c r="M38" s="1136"/>
      <c r="N38" s="1136"/>
      <c r="O38" s="1136"/>
      <c r="P38" s="3178"/>
      <c r="Q38" s="1799" t="str">
        <f t="shared" si="11"/>
        <v>写字楼等级</v>
      </c>
      <c r="R38" s="770" t="s">
        <v>17</v>
      </c>
      <c r="S38" s="771">
        <f t="shared" si="12"/>
        <v>100</v>
      </c>
      <c r="T38" s="770" t="s">
        <v>17</v>
      </c>
      <c r="U38" s="771">
        <f t="shared" si="13"/>
        <v>100</v>
      </c>
      <c r="V38" s="770" t="s">
        <v>17</v>
      </c>
      <c r="W38" s="771">
        <f t="shared" si="14"/>
        <v>100</v>
      </c>
      <c r="X38" s="772"/>
      <c r="Y38" s="3180"/>
      <c r="Z38" s="55" t="str">
        <f t="shared" si="15"/>
        <v>写字楼等级</v>
      </c>
      <c r="AA38" s="773">
        <f t="shared" si="3"/>
        <v>1</v>
      </c>
      <c r="AB38" s="773">
        <f t="shared" si="4"/>
        <v>1</v>
      </c>
      <c r="AC38" s="2676">
        <f t="shared" si="5"/>
        <v>1</v>
      </c>
    </row>
    <row r="39" spans="1:29" ht="15">
      <c r="A39" s="473"/>
      <c r="B39" s="423" t="s">
        <v>2691</v>
      </c>
      <c r="C39" s="461" t="s">
        <v>3065</v>
      </c>
      <c r="D39" s="436">
        <v>100</v>
      </c>
      <c r="E39" s="461" t="s">
        <v>3065</v>
      </c>
      <c r="F39" s="462">
        <f>SUMIF(115:115,E39,116:116)-SUMIF(115:115,C39,116:116)+100</f>
        <v>100</v>
      </c>
      <c r="G39" s="461" t="s">
        <v>3065</v>
      </c>
      <c r="H39" s="436">
        <f>SUMIF(115:115,G39,116:116)-SUMIF(115:115,C39,116:116)+100</f>
        <v>100</v>
      </c>
      <c r="I39" s="461" t="s">
        <v>3065</v>
      </c>
      <c r="J39" s="436">
        <f>SUMIF(115:115,I39,116:116)-SUMIF(115:115,C39,116:116)+100</f>
        <v>100</v>
      </c>
      <c r="K39" s="613"/>
      <c r="L39" s="1143"/>
      <c r="M39" s="1134"/>
      <c r="N39" s="1134"/>
      <c r="O39" s="1134"/>
      <c r="P39" s="3178" t="s">
        <v>2561</v>
      </c>
      <c r="Q39" s="1814" t="str">
        <f t="shared" si="11"/>
        <v>物业管理</v>
      </c>
      <c r="R39" s="774" t="s">
        <v>17</v>
      </c>
      <c r="S39" s="775">
        <f t="shared" si="12"/>
        <v>100</v>
      </c>
      <c r="T39" s="774" t="s">
        <v>17</v>
      </c>
      <c r="U39" s="775">
        <f t="shared" si="13"/>
        <v>100</v>
      </c>
      <c r="V39" s="774" t="s">
        <v>17</v>
      </c>
      <c r="W39" s="775">
        <f t="shared" si="14"/>
        <v>100</v>
      </c>
      <c r="X39" s="1817"/>
      <c r="Y39" s="3180" t="s">
        <v>2561</v>
      </c>
      <c r="Z39" s="1818" t="str">
        <f t="shared" si="15"/>
        <v>物业管理</v>
      </c>
      <c r="AA39" s="1815">
        <f t="shared" si="3"/>
        <v>1</v>
      </c>
      <c r="AB39" s="1815">
        <f t="shared" si="4"/>
        <v>1</v>
      </c>
      <c r="AC39" s="2679">
        <f t="shared" si="5"/>
        <v>1</v>
      </c>
    </row>
    <row r="40" spans="1:29" ht="15">
      <c r="A40" s="473"/>
      <c r="B40" s="423" t="s">
        <v>2659</v>
      </c>
      <c r="C40" s="461" t="s">
        <v>3064</v>
      </c>
      <c r="D40" s="436">
        <v>100</v>
      </c>
      <c r="E40" s="461" t="s">
        <v>3064</v>
      </c>
      <c r="F40" s="462">
        <f>SUMIF(117:117,E40,118:118)-SUMIF(117:117,C40,118:118)+100</f>
        <v>100</v>
      </c>
      <c r="G40" s="461" t="s">
        <v>3064</v>
      </c>
      <c r="H40" s="436">
        <f>SUMIF(117:117,G40,118:118)-SUMIF(117:117,C40,118:118)+100</f>
        <v>100</v>
      </c>
      <c r="I40" s="461" t="s">
        <v>3064</v>
      </c>
      <c r="J40" s="436">
        <f>SUMIF(117:117,I40,118:118)-SUMIF(117:117,C40,118:118)+100</f>
        <v>100</v>
      </c>
      <c r="K40" s="613"/>
      <c r="L40" s="1143"/>
      <c r="M40" s="1134"/>
      <c r="N40" s="1134"/>
      <c r="O40" s="1134"/>
      <c r="P40" s="3178"/>
      <c r="Q40" s="1814" t="str">
        <f t="shared" si="11"/>
        <v>市政基础设施</v>
      </c>
      <c r="R40" s="774" t="s">
        <v>17</v>
      </c>
      <c r="S40" s="775">
        <f t="shared" si="12"/>
        <v>100</v>
      </c>
      <c r="T40" s="774" t="s">
        <v>17</v>
      </c>
      <c r="U40" s="775">
        <f t="shared" si="13"/>
        <v>100</v>
      </c>
      <c r="V40" s="774" t="s">
        <v>17</v>
      </c>
      <c r="W40" s="775">
        <f t="shared" si="14"/>
        <v>100</v>
      </c>
      <c r="X40" s="1817"/>
      <c r="Y40" s="3180"/>
      <c r="Z40" s="1818" t="str">
        <f t="shared" si="15"/>
        <v>市政基础设施</v>
      </c>
      <c r="AA40" s="1815">
        <f t="shared" si="3"/>
        <v>1</v>
      </c>
      <c r="AB40" s="1815">
        <f t="shared" si="4"/>
        <v>1</v>
      </c>
      <c r="AC40" s="2679">
        <f t="shared" si="5"/>
        <v>1</v>
      </c>
    </row>
    <row r="41" spans="1:29" ht="15">
      <c r="A41" s="473"/>
      <c r="B41" s="423" t="s">
        <v>2661</v>
      </c>
      <c r="C41" s="617" t="s">
        <v>3075</v>
      </c>
      <c r="D41" s="436">
        <v>100</v>
      </c>
      <c r="E41" s="617" t="s">
        <v>3075</v>
      </c>
      <c r="F41" s="462">
        <f>SUMIF(119:119,E41,120:120)-SUMIF(119:119,C41,120:120)+100</f>
        <v>100</v>
      </c>
      <c r="G41" s="617" t="s">
        <v>3075</v>
      </c>
      <c r="H41" s="436">
        <f>SUMIF(119:119,G41,120:120)-SUMIF(119:119,C41,120:120)+100</f>
        <v>100</v>
      </c>
      <c r="I41" s="617" t="s">
        <v>3075</v>
      </c>
      <c r="J41" s="436">
        <f>SUMIF(119:119,I41,120:120)-SUMIF(119:119,C41,120:120)+100</f>
        <v>100</v>
      </c>
      <c r="K41" s="613"/>
      <c r="L41" s="1143"/>
      <c r="M41" s="1134"/>
      <c r="N41" s="1134"/>
      <c r="O41" s="1134"/>
      <c r="P41" s="3178"/>
      <c r="Q41" s="1814" t="str">
        <f t="shared" si="11"/>
        <v>层高</v>
      </c>
      <c r="R41" s="774" t="s">
        <v>17</v>
      </c>
      <c r="S41" s="775">
        <f t="shared" si="12"/>
        <v>100</v>
      </c>
      <c r="T41" s="774" t="s">
        <v>17</v>
      </c>
      <c r="U41" s="775">
        <f t="shared" si="13"/>
        <v>100</v>
      </c>
      <c r="V41" s="774" t="s">
        <v>17</v>
      </c>
      <c r="W41" s="775">
        <f t="shared" si="14"/>
        <v>100</v>
      </c>
      <c r="X41" s="1817"/>
      <c r="Y41" s="3180"/>
      <c r="Z41" s="1818" t="str">
        <f t="shared" si="15"/>
        <v>层高</v>
      </c>
      <c r="AA41" s="1815">
        <f t="shared" si="3"/>
        <v>1</v>
      </c>
      <c r="AB41" s="1815">
        <f t="shared" si="4"/>
        <v>1</v>
      </c>
      <c r="AC41" s="2679">
        <f t="shared" si="5"/>
        <v>1</v>
      </c>
    </row>
    <row r="42" spans="1:29" s="472" customFormat="1" ht="15" hidden="1">
      <c r="A42" s="469"/>
      <c r="B42" s="1816" t="s">
        <v>2692</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178"/>
      <c r="Q42" s="776" t="str">
        <f t="shared" si="11"/>
        <v>单套建筑面积</v>
      </c>
      <c r="R42" s="777" t="s">
        <v>17</v>
      </c>
      <c r="S42" s="778">
        <f t="shared" si="12"/>
        <v>100</v>
      </c>
      <c r="T42" s="777" t="s">
        <v>17</v>
      </c>
      <c r="U42" s="778">
        <f t="shared" si="13"/>
        <v>100</v>
      </c>
      <c r="V42" s="777" t="s">
        <v>17</v>
      </c>
      <c r="W42" s="778">
        <f t="shared" si="14"/>
        <v>100</v>
      </c>
      <c r="X42" s="779"/>
      <c r="Y42" s="3180"/>
      <c r="Z42" s="780" t="str">
        <f t="shared" si="15"/>
        <v>单套建筑面积</v>
      </c>
      <c r="AA42" s="1815">
        <f t="shared" si="3"/>
        <v>1</v>
      </c>
      <c r="AB42" s="1815">
        <f t="shared" si="4"/>
        <v>1</v>
      </c>
      <c r="AC42" s="2679">
        <f t="shared" si="5"/>
        <v>1</v>
      </c>
    </row>
    <row r="43" spans="1:29" ht="15">
      <c r="A43" s="473"/>
      <c r="B43" s="423" t="s">
        <v>2664</v>
      </c>
      <c r="C43" s="461" t="s">
        <v>3071</v>
      </c>
      <c r="D43" s="436">
        <v>100</v>
      </c>
      <c r="E43" s="461" t="s">
        <v>3071</v>
      </c>
      <c r="F43" s="462">
        <f>SUMIF(123:123,E43,124:124)-SUMIF(123:123,C43,124:124)+100</f>
        <v>100</v>
      </c>
      <c r="G43" s="461" t="s">
        <v>3071</v>
      </c>
      <c r="H43" s="436">
        <f>SUMIF(123:123,G43,124:124)-SUMIF(123:123,C43,124:124)+100</f>
        <v>100</v>
      </c>
      <c r="I43" s="461" t="s">
        <v>3071</v>
      </c>
      <c r="J43" s="436">
        <f>SUMIF(123:123,I43,124:124)-SUMIF(123:123,C43,124:124)+100</f>
        <v>100</v>
      </c>
      <c r="K43" s="613">
        <v>1</v>
      </c>
      <c r="L43" s="1143"/>
      <c r="M43" s="1134"/>
      <c r="N43" s="1134"/>
      <c r="O43" s="1134"/>
      <c r="P43" s="3178"/>
      <c r="Q43" s="1814" t="str">
        <f t="shared" si="11"/>
        <v>内部装修</v>
      </c>
      <c r="R43" s="774" t="s">
        <v>17</v>
      </c>
      <c r="S43" s="775">
        <f t="shared" si="12"/>
        <v>100</v>
      </c>
      <c r="T43" s="774" t="s">
        <v>17</v>
      </c>
      <c r="U43" s="775">
        <f t="shared" si="13"/>
        <v>100</v>
      </c>
      <c r="V43" s="774" t="s">
        <v>17</v>
      </c>
      <c r="W43" s="775">
        <f t="shared" si="14"/>
        <v>100</v>
      </c>
      <c r="X43" s="1817"/>
      <c r="Y43" s="3180"/>
      <c r="Z43" s="1818" t="str">
        <f t="shared" si="15"/>
        <v>内部装修</v>
      </c>
      <c r="AA43" s="1815">
        <f t="shared" si="3"/>
        <v>1</v>
      </c>
      <c r="AB43" s="1815">
        <f t="shared" si="4"/>
        <v>1</v>
      </c>
      <c r="AC43" s="2679">
        <f t="shared" si="5"/>
        <v>1</v>
      </c>
    </row>
    <row r="44" spans="1:29" ht="15">
      <c r="A44" s="473"/>
      <c r="B44" s="423" t="s">
        <v>2572</v>
      </c>
      <c r="C44" s="461" t="s">
        <v>3065</v>
      </c>
      <c r="D44" s="436">
        <v>100</v>
      </c>
      <c r="E44" s="461" t="s">
        <v>3065</v>
      </c>
      <c r="F44" s="462">
        <f>SUMIF(125:125,E44,126:126)-SUMIF(125:125,C44,126:126)+100</f>
        <v>100</v>
      </c>
      <c r="G44" s="461" t="s">
        <v>3065</v>
      </c>
      <c r="H44" s="436">
        <f>SUMIF(125:125,G44,126:126)-SUMIF(125:125,C44,126:126)+100</f>
        <v>100</v>
      </c>
      <c r="I44" s="461" t="s">
        <v>3065</v>
      </c>
      <c r="J44" s="436">
        <f>SUMIF(125:125,I44,126:126)-SUMIF(125:125,C44,126:126)+100</f>
        <v>100</v>
      </c>
      <c r="K44" s="613"/>
      <c r="L44" s="1143"/>
      <c r="M44" s="1134"/>
      <c r="N44" s="1134"/>
      <c r="O44" s="1134"/>
      <c r="P44" s="3178"/>
      <c r="Q44" s="1814" t="str">
        <f t="shared" si="11"/>
        <v>内部装修维护情况</v>
      </c>
      <c r="R44" s="774" t="s">
        <v>17</v>
      </c>
      <c r="S44" s="775">
        <f t="shared" si="12"/>
        <v>100</v>
      </c>
      <c r="T44" s="774" t="s">
        <v>17</v>
      </c>
      <c r="U44" s="775">
        <f t="shared" si="13"/>
        <v>100</v>
      </c>
      <c r="V44" s="774" t="s">
        <v>17</v>
      </c>
      <c r="W44" s="775">
        <f t="shared" si="14"/>
        <v>100</v>
      </c>
      <c r="X44" s="1817"/>
      <c r="Y44" s="3180"/>
      <c r="Z44" s="1818" t="str">
        <f t="shared" si="15"/>
        <v>内部装修维护情况</v>
      </c>
      <c r="AA44" s="1815">
        <f t="shared" si="3"/>
        <v>1</v>
      </c>
      <c r="AB44" s="1815">
        <f t="shared" si="4"/>
        <v>1</v>
      </c>
      <c r="AC44" s="2679">
        <f t="shared" si="5"/>
        <v>1</v>
      </c>
    </row>
    <row r="45" spans="1:29" s="117" customFormat="1" ht="15">
      <c r="A45" s="474"/>
      <c r="B45" s="2936" t="s">
        <v>3126</v>
      </c>
      <c r="C45" s="2937" t="s">
        <v>3089</v>
      </c>
      <c r="D45" s="136">
        <v>100</v>
      </c>
      <c r="E45" s="2938" t="s">
        <v>3079</v>
      </c>
      <c r="F45" s="426">
        <f>SUMIF(127:127,E45,128:128)-SUMIF(127:127,C45,128:128)+100</f>
        <v>97</v>
      </c>
      <c r="G45" s="2938" t="s">
        <v>3079</v>
      </c>
      <c r="H45" s="136">
        <f>SUMIF(127:127,G45,128:128)-SUMIF(127:127,C45,128:128)+100</f>
        <v>97</v>
      </c>
      <c r="I45" s="2938" t="s">
        <v>3079</v>
      </c>
      <c r="J45" s="136">
        <f>SUMIF(127:127,I45,128:128)-SUMIF(127:127,C45,128:128)+100</f>
        <v>97</v>
      </c>
      <c r="K45" s="614"/>
      <c r="L45" s="1135"/>
      <c r="M45" s="1136"/>
      <c r="N45" s="1136"/>
      <c r="O45" s="1136"/>
      <c r="P45" s="3178"/>
      <c r="Q45" s="1799" t="str">
        <f t="shared" si="11"/>
        <v>是否赠送面积</v>
      </c>
      <c r="R45" s="770" t="s">
        <v>17</v>
      </c>
      <c r="S45" s="771">
        <f t="shared" si="12"/>
        <v>97</v>
      </c>
      <c r="T45" s="770" t="s">
        <v>17</v>
      </c>
      <c r="U45" s="771">
        <f t="shared" si="13"/>
        <v>97</v>
      </c>
      <c r="V45" s="770" t="s">
        <v>17</v>
      </c>
      <c r="W45" s="771">
        <f t="shared" si="14"/>
        <v>97</v>
      </c>
      <c r="X45" s="772"/>
      <c r="Y45" s="3180"/>
      <c r="Z45" s="55" t="str">
        <f t="shared" si="15"/>
        <v>是否赠送面积</v>
      </c>
      <c r="AA45" s="773">
        <f t="shared" si="3"/>
        <v>1.0309278350515463</v>
      </c>
      <c r="AB45" s="773">
        <f t="shared" si="4"/>
        <v>1.0309278350515463</v>
      </c>
      <c r="AC45" s="2676">
        <f t="shared" si="5"/>
        <v>1.0309278350515463</v>
      </c>
    </row>
    <row r="46" spans="1:29" ht="15">
      <c r="A46" s="473"/>
      <c r="B46" s="1389">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178"/>
      <c r="Q46" s="1814">
        <f t="shared" si="11"/>
        <v>111</v>
      </c>
      <c r="R46" s="774" t="s">
        <v>17</v>
      </c>
      <c r="S46" s="775">
        <f t="shared" si="12"/>
        <v>100</v>
      </c>
      <c r="T46" s="774" t="s">
        <v>17</v>
      </c>
      <c r="U46" s="775">
        <f t="shared" si="13"/>
        <v>100</v>
      </c>
      <c r="V46" s="774" t="s">
        <v>17</v>
      </c>
      <c r="W46" s="775">
        <f t="shared" si="14"/>
        <v>100</v>
      </c>
      <c r="X46" s="1817"/>
      <c r="Y46" s="3180"/>
      <c r="Z46" s="1818">
        <f t="shared" si="15"/>
        <v>111</v>
      </c>
      <c r="AA46" s="1815">
        <f t="shared" si="3"/>
        <v>1</v>
      </c>
      <c r="AB46" s="1815">
        <f t="shared" si="4"/>
        <v>1</v>
      </c>
      <c r="AC46" s="2679">
        <f t="shared" si="5"/>
        <v>1</v>
      </c>
    </row>
    <row r="47" spans="1:29" ht="15.75" thickBot="1">
      <c r="A47" s="479"/>
      <c r="B47" s="2607">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179"/>
      <c r="Q47" s="1814">
        <f t="shared" si="11"/>
        <v>111</v>
      </c>
      <c r="R47" s="774" t="s">
        <v>17</v>
      </c>
      <c r="S47" s="775">
        <f t="shared" si="12"/>
        <v>100</v>
      </c>
      <c r="T47" s="774" t="s">
        <v>17</v>
      </c>
      <c r="U47" s="775">
        <f t="shared" si="13"/>
        <v>100</v>
      </c>
      <c r="V47" s="774" t="s">
        <v>17</v>
      </c>
      <c r="W47" s="775">
        <f t="shared" si="14"/>
        <v>100</v>
      </c>
      <c r="X47" s="1817"/>
      <c r="Y47" s="3181"/>
      <c r="Z47" s="1818">
        <f t="shared" si="15"/>
        <v>111</v>
      </c>
      <c r="AA47" s="1815">
        <f t="shared" si="3"/>
        <v>1</v>
      </c>
      <c r="AB47" s="1815">
        <f t="shared" si="4"/>
        <v>1</v>
      </c>
      <c r="AC47" s="2679">
        <f t="shared" si="5"/>
        <v>1</v>
      </c>
    </row>
    <row r="48" spans="1:29" ht="15">
      <c r="A48" s="480" t="s">
        <v>2573</v>
      </c>
      <c r="B48" s="481"/>
      <c r="C48" s="1410" t="s">
        <v>1</v>
      </c>
      <c r="D48" s="1411"/>
      <c r="E48" s="1412">
        <v>33000</v>
      </c>
      <c r="F48" s="1413"/>
      <c r="G48" s="1414">
        <v>31000</v>
      </c>
      <c r="H48" s="1415"/>
      <c r="I48" s="1412">
        <v>29090</v>
      </c>
      <c r="J48" s="486"/>
      <c r="K48" s="783"/>
      <c r="L48" s="1146"/>
      <c r="M48" s="1134"/>
      <c r="N48" s="1134"/>
      <c r="O48" s="1134"/>
      <c r="P48" s="3153" t="str">
        <f>A48</f>
        <v>成交单价（元/平方米）</v>
      </c>
      <c r="Q48" s="3182"/>
      <c r="R48" s="3183">
        <f>E48</f>
        <v>33000</v>
      </c>
      <c r="S48" s="3183"/>
      <c r="T48" s="3183">
        <f>G48</f>
        <v>31000</v>
      </c>
      <c r="U48" s="3183"/>
      <c r="V48" s="3183">
        <f>I48</f>
        <v>29090</v>
      </c>
      <c r="W48" s="3183"/>
      <c r="X48" s="447"/>
      <c r="Y48" s="781"/>
      <c r="Z48" s="447"/>
      <c r="AA48" s="447"/>
      <c r="AB48" s="447"/>
      <c r="AC48" s="631"/>
    </row>
    <row r="49" spans="1:29" ht="15.75" thickBot="1">
      <c r="A49" s="487" t="s">
        <v>2665</v>
      </c>
      <c r="B49" s="488"/>
      <c r="C49" s="1416">
        <f>R50</f>
        <v>31058</v>
      </c>
      <c r="D49" s="1417"/>
      <c r="E49" s="1418">
        <f>R49</f>
        <v>33030</v>
      </c>
      <c r="F49" s="1418"/>
      <c r="G49" s="1416">
        <f>T49</f>
        <v>31028</v>
      </c>
      <c r="H49" s="1417"/>
      <c r="I49" s="1418">
        <f>V49</f>
        <v>29116</v>
      </c>
      <c r="J49" s="490"/>
      <c r="K49" s="784"/>
      <c r="L49" s="1146"/>
      <c r="M49" s="1134"/>
      <c r="N49" s="1134"/>
      <c r="O49" s="1134"/>
      <c r="P49" s="3153" t="str">
        <f>A49</f>
        <v>比较价值（元/平方米）</v>
      </c>
      <c r="Q49" s="3182"/>
      <c r="R49" s="3183">
        <f>IF(F1="售价",ROUND(PRODUCT(R48,AA7:AA47),0),ROUND(PRODUCT(R48,AA7:AA47),1))</f>
        <v>33030</v>
      </c>
      <c r="S49" s="3183"/>
      <c r="T49" s="3183">
        <f>IF(F1="售价",ROUND(PRODUCT(T48,AB7:AB47),0),ROUND(PRODUCT(T48,AB7:AB47),1))</f>
        <v>31028</v>
      </c>
      <c r="U49" s="3183"/>
      <c r="V49" s="3183">
        <f>IF(F1="售价",ROUND(PRODUCT(V48,AC7:AC47),0),ROUND(PRODUCT(V48,AC7:AC47),1))</f>
        <v>29116</v>
      </c>
      <c r="W49" s="3183"/>
      <c r="X49" s="447"/>
      <c r="Y49" s="447"/>
      <c r="Z49" s="447"/>
      <c r="AA49" s="447"/>
      <c r="AB49" s="447"/>
      <c r="AC49" s="631"/>
    </row>
    <row r="50" spans="1:29" ht="15.75" thickBot="1">
      <c r="A50" s="493" t="s">
        <v>2666</v>
      </c>
      <c r="B50" s="494"/>
      <c r="C50" s="1420">
        <f>R50</f>
        <v>31058</v>
      </c>
      <c r="D50" s="1420"/>
      <c r="E50" s="1420"/>
      <c r="F50" s="1420"/>
      <c r="G50" s="1420"/>
      <c r="H50" s="1420"/>
      <c r="I50" s="1420"/>
      <c r="J50" s="495"/>
      <c r="K50" s="785"/>
      <c r="L50" s="1146"/>
      <c r="M50" s="1134"/>
      <c r="N50" s="1134"/>
      <c r="O50" s="1134"/>
      <c r="P50" s="3184" t="str">
        <f>A50</f>
        <v>估价对象XX用房的比较价值（楼面单价，元/平方米）</v>
      </c>
      <c r="Q50" s="3185"/>
      <c r="R50" s="3186">
        <f>IF(F1="售价",ROUND(AVERAGE(R49:V49),0),ROUND(AVERAGE(R49:V49),1))</f>
        <v>31058</v>
      </c>
      <c r="S50" s="3186"/>
      <c r="T50" s="3186"/>
      <c r="U50" s="3186"/>
      <c r="V50" s="3186"/>
      <c r="W50" s="3186"/>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8" t="s">
        <v>2667</v>
      </c>
      <c r="D53" s="499"/>
      <c r="E53" s="500">
        <f>IF(E48&lt;E49,E49/E48-1,E48/E49-1)</f>
        <v>9.0909090909097046E-4</v>
      </c>
      <c r="F53" s="501" t="str">
        <f>IF(OR(E53&gt;=0.3,E53&lt;=-0.3),"超过30%","")</f>
        <v/>
      </c>
      <c r="G53" s="500">
        <f>IF(G48&lt;G49,G49/G48-1,G48/G49-1)</f>
        <v>9.0322580645163519E-4</v>
      </c>
      <c r="H53" s="501" t="str">
        <f>IF(OR(G53&gt;=0.3,G53&lt;=-0.3),"超过30%","")</f>
        <v/>
      </c>
      <c r="I53" s="500">
        <f>IF(I48&lt;I49,I49/I48-1,I48/I49-1)</f>
        <v>8.9377793056022448E-4</v>
      </c>
      <c r="J53" s="501" t="str">
        <f>IF(OR(I53&gt;=0.3,I53&lt;=-0.3),"超过30%","")</f>
        <v/>
      </c>
      <c r="K53" s="1108"/>
      <c r="L53" s="1109"/>
      <c r="M53" s="1147"/>
      <c r="N53" s="1147"/>
      <c r="O53" s="1147"/>
    </row>
    <row r="54" spans="1:29" ht="13.5" customHeight="1">
      <c r="A54" s="1147"/>
      <c r="B54" s="1147"/>
      <c r="C54" s="498" t="s">
        <v>2668</v>
      </c>
      <c r="D54" s="502"/>
      <c r="E54" s="500">
        <f>IF(E49&lt;G49,G49/E49-1,E49/G49-1)</f>
        <v>6.4522366894417926E-2</v>
      </c>
      <c r="F54" s="501" t="str">
        <f>IF(OR(E54&gt;=0.2,E54&lt;=-0.2),"超过20%","")</f>
        <v/>
      </c>
      <c r="G54" s="500">
        <f>IF(G49&lt;I49,I49/G49-1,G49/I49-1)</f>
        <v>6.5668361038604184E-2</v>
      </c>
      <c r="H54" s="501" t="str">
        <f>IF(OR(G54&gt;=0.2,G54&lt;=-0.2),"超过20%","")</f>
        <v/>
      </c>
      <c r="I54" s="500">
        <f>IF(I49&lt;E49,E49/I49-1,I49/E49-1)</f>
        <v>0.13442780601731008</v>
      </c>
      <c r="J54" s="501" t="str">
        <f>IF(OR(I54&gt;=0.2,I54&lt;=-0.2),"超过20%","")</f>
        <v/>
      </c>
      <c r="K54" s="1108"/>
      <c r="L54" s="1109"/>
      <c r="M54" s="1147"/>
      <c r="N54" s="1147"/>
      <c r="O54" s="1147"/>
    </row>
    <row r="55" spans="1:29" s="503" customFormat="1" ht="13.5" customHeight="1">
      <c r="A55" s="1148"/>
      <c r="B55" s="1148"/>
      <c r="C55" s="498" t="s">
        <v>2669</v>
      </c>
      <c r="D55" s="502"/>
      <c r="E55" s="500">
        <f>IF(E48&lt;G48,G48/E48-1,E48/G48-1)</f>
        <v>6.4516129032258007E-2</v>
      </c>
      <c r="F55" s="501" t="str">
        <f>IF(OR(E55&gt;=0.3,E55&lt;=-0.3),"超过30%","")</f>
        <v/>
      </c>
      <c r="G55" s="500">
        <f>IF(G48&lt;I48,I48/G48-1,G48/I48-1)</f>
        <v>6.5658301821931886E-2</v>
      </c>
      <c r="H55" s="501" t="str">
        <f>IF(OR(G55&gt;=0.3,G55&lt;=-0.3),"超过30%","")</f>
        <v/>
      </c>
      <c r="I55" s="500">
        <f>IF(I48&lt;E48,E48/I48-1,I48/E48-1)</f>
        <v>0.13441045032657262</v>
      </c>
      <c r="J55" s="501" t="str">
        <f>IF(OR(I55&gt;=0.3,I55&lt;=-0.3),"超过30%","")</f>
        <v/>
      </c>
      <c r="K55" s="1151"/>
      <c r="L55" s="1152"/>
      <c r="M55" s="1148"/>
      <c r="N55" s="1148"/>
      <c r="O55" s="1148"/>
      <c r="P55" s="2685"/>
    </row>
    <row r="56" spans="1:29" s="503"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2670</v>
      </c>
      <c r="B58" s="759"/>
      <c r="C58" s="764"/>
      <c r="D58" s="764"/>
      <c r="E58" s="764"/>
      <c r="F58" s="765"/>
      <c r="G58" s="765"/>
      <c r="H58" s="764"/>
      <c r="I58" s="764"/>
      <c r="J58" s="764"/>
      <c r="K58" s="766"/>
      <c r="L58" s="1164"/>
      <c r="M58" s="1162"/>
      <c r="N58" s="1162"/>
      <c r="O58" s="1162"/>
      <c r="P58" s="2686"/>
      <c r="Q58" s="505"/>
    </row>
    <row r="59" spans="1:29" s="509" customFormat="1" ht="15">
      <c r="A59" s="506" t="s">
        <v>2544</v>
      </c>
      <c r="B59" s="507"/>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10"/>
      <c r="B60" s="511"/>
      <c r="C60" s="1577">
        <v>100</v>
      </c>
      <c r="D60" s="513"/>
      <c r="E60" s="513"/>
      <c r="F60" s="513"/>
      <c r="G60" s="513"/>
      <c r="H60" s="513"/>
      <c r="I60" s="513"/>
      <c r="J60" s="513"/>
      <c r="K60" s="513"/>
      <c r="L60" s="513"/>
      <c r="M60" s="514"/>
      <c r="N60" s="513"/>
      <c r="O60" s="514"/>
      <c r="P60" s="2687"/>
    </row>
    <row r="61" spans="1:29" s="117" customFormat="1" ht="15.75" thickBot="1">
      <c r="A61" s="516" t="s">
        <v>2581</v>
      </c>
      <c r="B61" s="517"/>
      <c r="C61" s="518"/>
      <c r="D61" s="519"/>
      <c r="E61" s="519"/>
      <c r="F61" s="519"/>
      <c r="G61" s="519"/>
      <c r="H61" s="519"/>
      <c r="I61" s="519"/>
      <c r="J61" s="519"/>
      <c r="K61" s="519"/>
      <c r="L61" s="519"/>
      <c r="M61" s="520"/>
      <c r="N61" s="519"/>
      <c r="O61" s="520"/>
      <c r="P61" s="2687"/>
      <c r="Q61" s="505"/>
    </row>
    <row r="62" spans="1:29" s="117" customFormat="1" ht="15">
      <c r="A62" s="522" t="s">
        <v>2546</v>
      </c>
      <c r="B62" s="511"/>
      <c r="C62" s="523" t="s">
        <v>2648</v>
      </c>
      <c r="D62" s="524"/>
      <c r="E62" s="524"/>
      <c r="F62" s="524"/>
      <c r="G62" s="524"/>
      <c r="H62" s="524"/>
      <c r="I62" s="524"/>
      <c r="J62" s="524"/>
      <c r="K62" s="524"/>
      <c r="L62" s="525"/>
      <c r="M62" s="526"/>
      <c r="N62" s="1154"/>
      <c r="O62" s="1154"/>
      <c r="P62" s="2688"/>
      <c r="Q62" s="505"/>
    </row>
    <row r="63" spans="1:29" s="117" customFormat="1" ht="15.75" thickBot="1">
      <c r="A63" s="522"/>
      <c r="B63" s="511"/>
      <c r="C63" s="512">
        <v>100</v>
      </c>
      <c r="D63" s="513"/>
      <c r="E63" s="513"/>
      <c r="F63" s="513"/>
      <c r="G63" s="513"/>
      <c r="H63" s="513"/>
      <c r="I63" s="513"/>
      <c r="J63" s="513"/>
      <c r="K63" s="513"/>
      <c r="L63" s="513"/>
      <c r="M63" s="515"/>
      <c r="N63" s="1154"/>
      <c r="O63" s="1154"/>
      <c r="P63" s="2687"/>
      <c r="Q63" s="505"/>
    </row>
    <row r="64" spans="1:29">
      <c r="A64" s="528" t="s">
        <v>2584</v>
      </c>
      <c r="B64" s="529" t="s">
        <v>2550</v>
      </c>
      <c r="C64" s="530" t="str">
        <f>C9</f>
        <v>办公</v>
      </c>
      <c r="D64" s="531"/>
      <c r="E64" s="531"/>
      <c r="F64" s="531"/>
      <c r="G64" s="531"/>
      <c r="H64" s="531"/>
      <c r="I64" s="531"/>
      <c r="J64" s="531"/>
      <c r="K64" s="532"/>
      <c r="L64" s="533"/>
      <c r="M64" s="534"/>
      <c r="N64" s="1155"/>
      <c r="O64" s="1155"/>
      <c r="P64" s="2689"/>
      <c r="Q64" s="505"/>
    </row>
    <row r="65" spans="1:17" ht="15.75" thickBot="1">
      <c r="A65" s="535"/>
      <c r="B65" s="536"/>
      <c r="C65" s="537">
        <v>100</v>
      </c>
      <c r="D65" s="537"/>
      <c r="E65" s="537"/>
      <c r="F65" s="537"/>
      <c r="G65" s="537"/>
      <c r="H65" s="537"/>
      <c r="I65" s="537"/>
      <c r="J65" s="537"/>
      <c r="K65" s="537"/>
      <c r="L65" s="537"/>
      <c r="M65" s="538"/>
      <c r="N65" s="1156"/>
      <c r="O65" s="1156"/>
      <c r="P65" s="2689"/>
      <c r="Q65" s="505"/>
    </row>
    <row r="66" spans="1:17" ht="27.75" thickTop="1">
      <c r="A66" s="535"/>
      <c r="B66" s="539" t="s">
        <v>2553</v>
      </c>
      <c r="C66" s="540" t="s">
        <v>2585</v>
      </c>
      <c r="D66" s="540" t="s">
        <v>2586</v>
      </c>
      <c r="E66" s="540" t="s">
        <v>2587</v>
      </c>
      <c r="F66" s="540" t="s">
        <v>2588</v>
      </c>
      <c r="G66" s="540" t="s">
        <v>2589</v>
      </c>
      <c r="H66" s="540" t="s">
        <v>2590</v>
      </c>
      <c r="I66" s="540" t="s">
        <v>2591</v>
      </c>
      <c r="J66" s="540"/>
      <c r="K66" s="541"/>
      <c r="L66" s="542"/>
      <c r="M66" s="543"/>
      <c r="N66" s="1155"/>
      <c r="O66" s="1155"/>
      <c r="P66" s="2689"/>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9"/>
      <c r="Q67" s="505"/>
    </row>
    <row r="68" spans="1:17" ht="15.75" thickTop="1">
      <c r="A68" s="535"/>
      <c r="B68" s="547" t="s">
        <v>2554</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9"/>
      <c r="Q68" s="505"/>
    </row>
    <row r="69" spans="1:17" ht="15">
      <c r="A69" s="535"/>
      <c r="B69" s="549"/>
      <c r="C69" s="550">
        <v>0</v>
      </c>
      <c r="D69" s="550">
        <v>1</v>
      </c>
      <c r="E69" s="550"/>
      <c r="F69" s="550"/>
      <c r="G69" s="550"/>
      <c r="H69" s="550"/>
      <c r="I69" s="550"/>
      <c r="J69" s="550"/>
      <c r="K69" s="551"/>
      <c r="L69" s="552"/>
      <c r="M69" s="553"/>
      <c r="N69" s="1155"/>
      <c r="O69" s="1155"/>
      <c r="P69" s="2689"/>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9"/>
      <c r="Q70" s="505"/>
    </row>
    <row r="71" spans="1:17" s="472" customFormat="1" ht="15.75" thickTop="1">
      <c r="A71" s="554"/>
      <c r="B71" s="539">
        <f>B12</f>
        <v>111</v>
      </c>
      <c r="C71" s="555"/>
      <c r="D71" s="555"/>
      <c r="E71" s="555"/>
      <c r="F71" s="555"/>
      <c r="G71" s="555"/>
      <c r="H71" s="556"/>
      <c r="I71" s="556"/>
      <c r="J71" s="556"/>
      <c r="K71" s="556"/>
      <c r="L71" s="557"/>
      <c r="M71" s="558"/>
      <c r="N71" s="1157"/>
      <c r="O71" s="1157"/>
      <c r="P71" s="2690"/>
      <c r="Q71" s="560"/>
    </row>
    <row r="72" spans="1:17" s="472" customFormat="1" ht="15.75" thickBot="1">
      <c r="A72" s="554"/>
      <c r="B72" s="544"/>
      <c r="C72" s="561"/>
      <c r="D72" s="537"/>
      <c r="E72" s="537"/>
      <c r="F72" s="537"/>
      <c r="G72" s="537"/>
      <c r="H72" s="537"/>
      <c r="I72" s="537"/>
      <c r="J72" s="537"/>
      <c r="K72" s="537"/>
      <c r="L72" s="537"/>
      <c r="M72" s="538"/>
      <c r="N72" s="1156"/>
      <c r="O72" s="1156"/>
      <c r="P72" s="2690"/>
      <c r="Q72" s="560"/>
    </row>
    <row r="73" spans="1:17" s="472" customFormat="1" ht="15.75" thickTop="1">
      <c r="A73" s="554"/>
      <c r="B73" s="539">
        <f>B13</f>
        <v>111</v>
      </c>
      <c r="C73" s="555"/>
      <c r="D73" s="555"/>
      <c r="E73" s="555"/>
      <c r="F73" s="555"/>
      <c r="G73" s="555"/>
      <c r="H73" s="556"/>
      <c r="I73" s="556"/>
      <c r="J73" s="556"/>
      <c r="K73" s="556"/>
      <c r="L73" s="557"/>
      <c r="M73" s="558"/>
      <c r="N73" s="1157"/>
      <c r="O73" s="1157"/>
      <c r="P73" s="2691"/>
      <c r="Q73" s="562"/>
    </row>
    <row r="74" spans="1:17" s="472" customFormat="1" ht="15.75" thickBot="1">
      <c r="A74" s="554"/>
      <c r="B74" s="544"/>
      <c r="C74" s="561"/>
      <c r="D74" s="561"/>
      <c r="E74" s="561"/>
      <c r="F74" s="561"/>
      <c r="G74" s="561"/>
      <c r="H74" s="563"/>
      <c r="I74" s="563"/>
      <c r="J74" s="563"/>
      <c r="K74" s="563"/>
      <c r="L74" s="563"/>
      <c r="M74" s="564"/>
      <c r="N74" s="1157"/>
      <c r="O74" s="1157"/>
      <c r="P74" s="2690"/>
      <c r="Q74" s="560"/>
    </row>
    <row r="75" spans="1:17" s="472" customFormat="1" ht="15.75" thickTop="1">
      <c r="A75" s="554"/>
      <c r="B75" s="547">
        <f>B14</f>
        <v>111</v>
      </c>
      <c r="C75" s="524"/>
      <c r="D75" s="524"/>
      <c r="E75" s="524"/>
      <c r="F75" s="524"/>
      <c r="G75" s="524"/>
      <c r="H75" s="565"/>
      <c r="I75" s="565"/>
      <c r="J75" s="565"/>
      <c r="K75" s="565"/>
      <c r="L75" s="566"/>
      <c r="M75" s="567"/>
      <c r="N75" s="1157"/>
      <c r="O75" s="1157"/>
      <c r="P75" s="2692"/>
      <c r="Q75" s="560"/>
    </row>
    <row r="76" spans="1:17" s="472" customFormat="1" ht="15.75" thickBot="1">
      <c r="A76" s="569"/>
      <c r="B76" s="570"/>
      <c r="C76" s="571"/>
      <c r="D76" s="571"/>
      <c r="E76" s="571"/>
      <c r="F76" s="571"/>
      <c r="G76" s="571"/>
      <c r="H76" s="572"/>
      <c r="I76" s="572"/>
      <c r="J76" s="572"/>
      <c r="K76" s="572"/>
      <c r="L76" s="572"/>
      <c r="M76" s="573"/>
      <c r="N76" s="1157"/>
      <c r="O76" s="1157"/>
      <c r="P76" s="2690"/>
      <c r="Q76" s="560"/>
    </row>
    <row r="77" spans="1:17">
      <c r="A77" s="528" t="s">
        <v>2555</v>
      </c>
      <c r="B77" s="529" t="s">
        <v>2693</v>
      </c>
      <c r="C77" s="574" t="s">
        <v>2593</v>
      </c>
      <c r="D77" s="574" t="s">
        <v>2594</v>
      </c>
      <c r="E77" s="574" t="s">
        <v>2595</v>
      </c>
      <c r="F77" s="574" t="s">
        <v>2596</v>
      </c>
      <c r="G77" s="574" t="s">
        <v>2597</v>
      </c>
      <c r="H77" s="530"/>
      <c r="I77" s="530"/>
      <c r="J77" s="530"/>
      <c r="K77" s="575"/>
      <c r="L77" s="576"/>
      <c r="M77" s="577"/>
      <c r="N77" s="1155"/>
      <c r="O77" s="1155"/>
      <c r="P77" s="2693"/>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6"/>
      <c r="O78" s="1156"/>
      <c r="P78" s="2689"/>
      <c r="Q78" s="505"/>
    </row>
    <row r="79" spans="1:17" ht="15.75" thickTop="1">
      <c r="A79" s="535"/>
      <c r="B79" s="539" t="s">
        <v>2598</v>
      </c>
      <c r="C79" s="579" t="s">
        <v>2593</v>
      </c>
      <c r="D79" s="579" t="s">
        <v>2594</v>
      </c>
      <c r="E79" s="579" t="s">
        <v>2595</v>
      </c>
      <c r="F79" s="579" t="s">
        <v>2596</v>
      </c>
      <c r="G79" s="579" t="s">
        <v>2597</v>
      </c>
      <c r="H79" s="540"/>
      <c r="I79" s="540"/>
      <c r="J79" s="540"/>
      <c r="K79" s="541"/>
      <c r="L79" s="542"/>
      <c r="M79" s="543"/>
      <c r="N79" s="1155"/>
      <c r="O79" s="1155"/>
      <c r="P79" s="2689"/>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6"/>
      <c r="O80" s="1156"/>
      <c r="P80" s="2689"/>
      <c r="Q80" s="505"/>
    </row>
    <row r="81" spans="1:17" ht="15.75" thickTop="1">
      <c r="A81" s="535"/>
      <c r="B81" s="539" t="s">
        <v>2599</v>
      </c>
      <c r="C81" s="579" t="s">
        <v>2593</v>
      </c>
      <c r="D81" s="579" t="s">
        <v>2594</v>
      </c>
      <c r="E81" s="579" t="s">
        <v>2595</v>
      </c>
      <c r="F81" s="579" t="s">
        <v>2596</v>
      </c>
      <c r="G81" s="579" t="s">
        <v>2597</v>
      </c>
      <c r="H81" s="540"/>
      <c r="I81" s="540"/>
      <c r="J81" s="540"/>
      <c r="K81" s="541"/>
      <c r="L81" s="542"/>
      <c r="M81" s="543"/>
      <c r="N81" s="1155"/>
      <c r="O81" s="1155"/>
      <c r="P81" s="2689"/>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6"/>
      <c r="O82" s="1156"/>
      <c r="P82" s="2689"/>
      <c r="Q82" s="505"/>
    </row>
    <row r="83" spans="1:17" ht="15.75" thickTop="1">
      <c r="A83" s="535"/>
      <c r="B83" s="547" t="s">
        <v>2685</v>
      </c>
      <c r="C83" s="661" t="s">
        <v>2671</v>
      </c>
      <c r="D83" s="661" t="s">
        <v>2672</v>
      </c>
      <c r="E83" s="661" t="s">
        <v>2673</v>
      </c>
      <c r="F83" s="661" t="s">
        <v>2674</v>
      </c>
      <c r="G83" s="661" t="s">
        <v>2675</v>
      </c>
      <c r="H83" s="540"/>
      <c r="I83" s="540"/>
      <c r="J83" s="540"/>
      <c r="K83" s="540"/>
      <c r="L83" s="540"/>
      <c r="M83" s="1385"/>
      <c r="N83" s="1156"/>
      <c r="O83" s="1156"/>
      <c r="P83" s="2689"/>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6"/>
      <c r="O84" s="1156"/>
      <c r="P84" s="2689"/>
      <c r="Q84" s="505"/>
    </row>
    <row r="85" spans="1:17" ht="15.75" thickTop="1">
      <c r="A85" s="535"/>
      <c r="B85" s="539" t="s">
        <v>2694</v>
      </c>
      <c r="C85" s="579" t="s">
        <v>2593</v>
      </c>
      <c r="D85" s="579" t="s">
        <v>2594</v>
      </c>
      <c r="E85" s="579" t="s">
        <v>2595</v>
      </c>
      <c r="F85" s="579" t="s">
        <v>2596</v>
      </c>
      <c r="G85" s="579" t="s">
        <v>2597</v>
      </c>
      <c r="H85" s="540"/>
      <c r="I85" s="540"/>
      <c r="J85" s="540"/>
      <c r="K85" s="541"/>
      <c r="L85" s="542"/>
      <c r="M85" s="543"/>
      <c r="N85" s="1155"/>
      <c r="O85" s="1155"/>
      <c r="P85" s="2689"/>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6"/>
      <c r="O86" s="1156"/>
      <c r="P86" s="2689"/>
      <c r="Q86" s="505"/>
    </row>
    <row r="87" spans="1:17" s="117" customFormat="1" ht="27.75" thickTop="1">
      <c r="A87" s="580"/>
      <c r="B87" s="539" t="s">
        <v>2695</v>
      </c>
      <c r="C87" s="555"/>
      <c r="D87" s="555"/>
      <c r="E87" s="555"/>
      <c r="F87" s="555"/>
      <c r="G87" s="555"/>
      <c r="H87" s="555"/>
      <c r="I87" s="555"/>
      <c r="J87" s="555"/>
      <c r="K87" s="555"/>
      <c r="L87" s="581"/>
      <c r="M87" s="582"/>
      <c r="N87" s="1154"/>
      <c r="O87" s="1154"/>
      <c r="P87" s="2689"/>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6"/>
      <c r="O88" s="1156"/>
      <c r="P88" s="2689"/>
      <c r="Q88" s="505"/>
    </row>
    <row r="89" spans="1:17" s="117" customFormat="1" ht="15.75" thickTop="1">
      <c r="A89" s="580"/>
      <c r="B89" s="539" t="str">
        <f>B27</f>
        <v>楼层</v>
      </c>
      <c r="C89" s="555" t="s">
        <v>3068</v>
      </c>
      <c r="D89" s="555" t="s">
        <v>3067</v>
      </c>
      <c r="E89" s="555" t="s">
        <v>3066</v>
      </c>
      <c r="F89" s="555"/>
      <c r="G89" s="555"/>
      <c r="H89" s="555"/>
      <c r="I89" s="555"/>
      <c r="J89" s="555"/>
      <c r="K89" s="555"/>
      <c r="L89" s="555"/>
      <c r="M89" s="582"/>
      <c r="N89" s="1154"/>
      <c r="O89" s="1154"/>
      <c r="P89" s="2689"/>
      <c r="Q89" s="505"/>
    </row>
    <row r="90" spans="1:17" s="117" customFormat="1" ht="15.75" thickBot="1">
      <c r="A90" s="580"/>
      <c r="B90" s="544"/>
      <c r="C90" s="583">
        <v>100</v>
      </c>
      <c r="D90" s="545">
        <f>C90-$K27</f>
        <v>97</v>
      </c>
      <c r="E90" s="545">
        <f t="shared" ref="E90:M90" si="20">D90-$K27</f>
        <v>94</v>
      </c>
      <c r="F90" s="545">
        <f t="shared" si="20"/>
        <v>91</v>
      </c>
      <c r="G90" s="545">
        <f t="shared" si="20"/>
        <v>88</v>
      </c>
      <c r="H90" s="545">
        <f t="shared" si="20"/>
        <v>85</v>
      </c>
      <c r="I90" s="545">
        <f t="shared" si="20"/>
        <v>82</v>
      </c>
      <c r="J90" s="545">
        <f t="shared" si="20"/>
        <v>79</v>
      </c>
      <c r="K90" s="545">
        <f t="shared" si="20"/>
        <v>76</v>
      </c>
      <c r="L90" s="545">
        <f t="shared" si="20"/>
        <v>73</v>
      </c>
      <c r="M90" s="545">
        <f t="shared" si="20"/>
        <v>70</v>
      </c>
      <c r="N90" s="1156"/>
      <c r="O90" s="1156"/>
      <c r="P90" s="2689"/>
      <c r="Q90" s="505"/>
    </row>
    <row r="91" spans="1:17" s="472" customFormat="1" ht="15.75" thickTop="1">
      <c r="A91" s="554"/>
      <c r="B91" s="539" t="str">
        <f>B28</f>
        <v>朝向</v>
      </c>
      <c r="C91" s="555"/>
      <c r="D91" s="555"/>
      <c r="E91" s="555"/>
      <c r="F91" s="555"/>
      <c r="G91" s="555"/>
      <c r="H91" s="556"/>
      <c r="I91" s="556"/>
      <c r="J91" s="556"/>
      <c r="K91" s="556"/>
      <c r="L91" s="557"/>
      <c r="M91" s="558"/>
      <c r="N91" s="1157"/>
      <c r="O91" s="1157"/>
      <c r="P91" s="2690"/>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90"/>
      <c r="Q92" s="560"/>
    </row>
    <row r="93" spans="1:17" ht="15.75" thickTop="1">
      <c r="A93" s="535"/>
      <c r="B93" s="539">
        <f>B29</f>
        <v>111</v>
      </c>
      <c r="C93" s="555"/>
      <c r="D93" s="555"/>
      <c r="E93" s="555"/>
      <c r="F93" s="555"/>
      <c r="G93" s="555"/>
      <c r="H93" s="555"/>
      <c r="I93" s="555"/>
      <c r="J93" s="555"/>
      <c r="K93" s="555"/>
      <c r="L93" s="581"/>
      <c r="M93" s="582"/>
      <c r="N93" s="1155"/>
      <c r="O93" s="1155"/>
      <c r="P93" s="2689"/>
      <c r="Q93" s="505"/>
    </row>
    <row r="94" spans="1:17" ht="15.75" thickBot="1">
      <c r="A94" s="535"/>
      <c r="B94" s="544"/>
      <c r="C94" s="561"/>
      <c r="D94" s="537"/>
      <c r="E94" s="537"/>
      <c r="F94" s="537"/>
      <c r="G94" s="537"/>
      <c r="H94" s="537"/>
      <c r="I94" s="537"/>
      <c r="J94" s="537"/>
      <c r="K94" s="537"/>
      <c r="L94" s="537"/>
      <c r="M94" s="538"/>
      <c r="N94" s="1156"/>
      <c r="O94" s="1156"/>
      <c r="P94" s="2689"/>
      <c r="Q94" s="505"/>
    </row>
    <row r="95" spans="1:17" ht="15.75" thickTop="1">
      <c r="A95" s="535"/>
      <c r="B95" s="539">
        <f>B30</f>
        <v>111</v>
      </c>
      <c r="C95" s="555"/>
      <c r="D95" s="555"/>
      <c r="E95" s="555"/>
      <c r="F95" s="555"/>
      <c r="G95" s="584"/>
      <c r="H95" s="584"/>
      <c r="I95" s="584"/>
      <c r="J95" s="584"/>
      <c r="K95" s="585"/>
      <c r="L95" s="586"/>
      <c r="M95" s="587"/>
      <c r="N95" s="1155"/>
      <c r="O95" s="1155"/>
      <c r="P95" s="2689"/>
      <c r="Q95" s="505"/>
    </row>
    <row r="96" spans="1:17" ht="15.75" thickBot="1">
      <c r="A96" s="535"/>
      <c r="B96" s="544"/>
      <c r="C96" s="561"/>
      <c r="D96" s="561"/>
      <c r="E96" s="561"/>
      <c r="F96" s="561"/>
      <c r="G96" s="537"/>
      <c r="H96" s="537"/>
      <c r="I96" s="537"/>
      <c r="J96" s="537"/>
      <c r="K96" s="537"/>
      <c r="L96" s="537"/>
      <c r="M96" s="538"/>
      <c r="N96" s="1156"/>
      <c r="O96" s="1156"/>
      <c r="P96" s="2689"/>
      <c r="Q96" s="505"/>
    </row>
    <row r="97" spans="1:17" ht="15.75" thickTop="1">
      <c r="A97" s="535"/>
      <c r="B97" s="539">
        <f>B31</f>
        <v>111</v>
      </c>
      <c r="C97" s="555"/>
      <c r="D97" s="555"/>
      <c r="E97" s="555"/>
      <c r="F97" s="555"/>
      <c r="G97" s="584"/>
      <c r="H97" s="584"/>
      <c r="I97" s="584"/>
      <c r="J97" s="584"/>
      <c r="K97" s="585"/>
      <c r="L97" s="586"/>
      <c r="M97" s="587"/>
      <c r="N97" s="1155"/>
      <c r="O97" s="1155"/>
      <c r="P97" s="2689"/>
      <c r="Q97" s="505"/>
    </row>
    <row r="98" spans="1:17" ht="15.75" thickBot="1">
      <c r="A98" s="535"/>
      <c r="B98" s="544"/>
      <c r="C98" s="561"/>
      <c r="D98" s="537"/>
      <c r="E98" s="537"/>
      <c r="F98" s="537"/>
      <c r="G98" s="537"/>
      <c r="H98" s="537"/>
      <c r="I98" s="537"/>
      <c r="J98" s="537"/>
      <c r="K98" s="537"/>
      <c r="L98" s="537"/>
      <c r="M98" s="538"/>
      <c r="N98" s="1156"/>
      <c r="O98" s="1156"/>
      <c r="P98" s="2689"/>
      <c r="Q98" s="505"/>
    </row>
    <row r="99" spans="1:17" ht="15.75" thickTop="1">
      <c r="A99" s="535"/>
      <c r="B99" s="547">
        <f>B32</f>
        <v>111</v>
      </c>
      <c r="C99" s="524"/>
      <c r="D99" s="524"/>
      <c r="E99" s="524"/>
      <c r="F99" s="524"/>
      <c r="G99" s="588"/>
      <c r="H99" s="588"/>
      <c r="I99" s="588"/>
      <c r="J99" s="588"/>
      <c r="K99" s="589"/>
      <c r="L99" s="590"/>
      <c r="M99" s="591"/>
      <c r="N99" s="1155"/>
      <c r="O99" s="1155"/>
      <c r="P99" s="2689"/>
      <c r="Q99" s="505"/>
    </row>
    <row r="100" spans="1:17" ht="15.75" thickBot="1">
      <c r="A100" s="2641"/>
      <c r="B100" s="570"/>
      <c r="C100" s="571"/>
      <c r="D100" s="571"/>
      <c r="E100" s="571"/>
      <c r="F100" s="571"/>
      <c r="G100" s="592"/>
      <c r="H100" s="592"/>
      <c r="I100" s="592"/>
      <c r="J100" s="592"/>
      <c r="K100" s="592"/>
      <c r="L100" s="592"/>
      <c r="M100" s="593"/>
      <c r="N100" s="1156"/>
      <c r="O100" s="1156"/>
      <c r="P100" s="2689"/>
      <c r="Q100" s="505"/>
    </row>
    <row r="101" spans="1:17">
      <c r="A101" s="528" t="s">
        <v>2559</v>
      </c>
      <c r="B101" s="529" t="s">
        <v>2608</v>
      </c>
      <c r="C101" s="531"/>
      <c r="D101" s="531"/>
      <c r="E101" s="531"/>
      <c r="F101" s="531"/>
      <c r="G101" s="531"/>
      <c r="H101" s="531"/>
      <c r="I101" s="531"/>
      <c r="J101" s="531"/>
      <c r="K101" s="532"/>
      <c r="L101" s="533"/>
      <c r="M101" s="534"/>
      <c r="N101" s="1155"/>
      <c r="O101" s="1155"/>
      <c r="P101" s="2689"/>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6"/>
      <c r="O102" s="1156"/>
      <c r="P102" s="2689"/>
      <c r="Q102" s="505"/>
    </row>
    <row r="103" spans="1:17" ht="15.75" thickTop="1">
      <c r="A103" s="535"/>
      <c r="B103" s="539" t="s">
        <v>2609</v>
      </c>
      <c r="C103" s="579" t="str">
        <f>C104&amp;"(含)"&amp;"-"&amp;D104</f>
        <v>0(含)-100</v>
      </c>
      <c r="D103" s="579" t="str">
        <f t="shared" ref="D103:L103" si="23">D104&amp;"(含)"&amp;"-"&amp;E104</f>
        <v>100(含)-200</v>
      </c>
      <c r="E103" s="579" t="str">
        <f t="shared" si="23"/>
        <v>200(含)-300</v>
      </c>
      <c r="F103" s="579" t="str">
        <f t="shared" si="23"/>
        <v>300(含)-400</v>
      </c>
      <c r="G103" s="579" t="str">
        <f t="shared" si="23"/>
        <v>400(含)-</v>
      </c>
      <c r="H103" s="579" t="str">
        <f t="shared" si="23"/>
        <v>(含)-</v>
      </c>
      <c r="I103" s="579" t="str">
        <f t="shared" si="23"/>
        <v>(含)-</v>
      </c>
      <c r="J103" s="579" t="str">
        <f t="shared" si="23"/>
        <v>(含)-</v>
      </c>
      <c r="K103" s="579" t="str">
        <f t="shared" si="23"/>
        <v>(含)-</v>
      </c>
      <c r="L103" s="579" t="str">
        <f t="shared" si="23"/>
        <v>(含)-</v>
      </c>
      <c r="M103" s="623" t="str">
        <f>M104&amp;"(含)"&amp;"-"&amp;P104</f>
        <v>(含)-</v>
      </c>
      <c r="N103" s="1154"/>
      <c r="O103" s="1154"/>
      <c r="P103" s="2689"/>
      <c r="Q103" s="505"/>
    </row>
    <row r="104" spans="1:17" s="472" customFormat="1">
      <c r="A104" s="594"/>
      <c r="B104" s="595"/>
      <c r="C104" s="596">
        <v>0</v>
      </c>
      <c r="D104" s="596">
        <v>100</v>
      </c>
      <c r="E104" s="596">
        <v>200</v>
      </c>
      <c r="F104" s="596">
        <v>300</v>
      </c>
      <c r="G104" s="596">
        <v>400</v>
      </c>
      <c r="H104" s="596"/>
      <c r="I104" s="596"/>
      <c r="J104" s="597"/>
      <c r="K104" s="597"/>
      <c r="L104" s="598"/>
      <c r="M104" s="599"/>
      <c r="N104" s="1157"/>
      <c r="O104" s="1157"/>
      <c r="P104" s="2690"/>
      <c r="Q104" s="560"/>
    </row>
    <row r="105" spans="1:17" s="472" customFormat="1" ht="15.75" thickBot="1">
      <c r="A105" s="554"/>
      <c r="B105" s="544"/>
      <c r="C105" s="561">
        <v>100</v>
      </c>
      <c r="D105" s="537">
        <v>101</v>
      </c>
      <c r="E105" s="537">
        <v>102</v>
      </c>
      <c r="F105" s="537">
        <v>103</v>
      </c>
      <c r="G105" s="537">
        <v>104</v>
      </c>
      <c r="H105" s="537"/>
      <c r="I105" s="537"/>
      <c r="J105" s="537"/>
      <c r="K105" s="537"/>
      <c r="L105" s="537"/>
      <c r="M105" s="538"/>
      <c r="N105" s="1156"/>
      <c r="O105" s="1156"/>
      <c r="P105" s="2690"/>
      <c r="Q105" s="560"/>
    </row>
    <row r="106" spans="1:17" ht="15" thickTop="1">
      <c r="A106" s="600"/>
      <c r="B106" s="539" t="s">
        <v>2610</v>
      </c>
      <c r="C106" s="2933" t="s">
        <v>3070</v>
      </c>
      <c r="D106" s="555"/>
      <c r="E106" s="584"/>
      <c r="F106" s="584"/>
      <c r="G106" s="584"/>
      <c r="H106" s="584"/>
      <c r="I106" s="584"/>
      <c r="J106" s="584"/>
      <c r="K106" s="585"/>
      <c r="L106" s="586"/>
      <c r="M106" s="587"/>
      <c r="N106" s="1155"/>
      <c r="O106" s="1155"/>
      <c r="P106" s="2689"/>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6"/>
      <c r="O107" s="1156"/>
      <c r="P107" s="2689"/>
      <c r="Q107" s="505"/>
    </row>
    <row r="108" spans="1:17" ht="15" thickTop="1">
      <c r="A108" s="600"/>
      <c r="B108" s="539" t="s">
        <v>2612</v>
      </c>
      <c r="C108" s="2933" t="s">
        <v>3072</v>
      </c>
      <c r="D108" s="555"/>
      <c r="E108" s="555"/>
      <c r="F108" s="584"/>
      <c r="G108" s="584"/>
      <c r="H108" s="584"/>
      <c r="I108" s="584"/>
      <c r="J108" s="584"/>
      <c r="K108" s="585"/>
      <c r="L108" s="586"/>
      <c r="M108" s="587"/>
      <c r="N108" s="1155"/>
      <c r="O108" s="1155"/>
      <c r="P108" s="2689"/>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6"/>
      <c r="O109" s="1156"/>
      <c r="P109" s="2689"/>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9"/>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89"/>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6"/>
      <c r="O112" s="1156"/>
      <c r="P112" s="2689"/>
      <c r="Q112" s="505"/>
    </row>
    <row r="113" spans="1:17" s="472" customFormat="1" ht="15" thickTop="1">
      <c r="A113" s="594"/>
      <c r="B113" s="539" t="s">
        <v>2696</v>
      </c>
      <c r="C113" s="555"/>
      <c r="D113" s="555"/>
      <c r="E113" s="555"/>
      <c r="F113" s="555"/>
      <c r="G113" s="555"/>
      <c r="H113" s="584"/>
      <c r="I113" s="584"/>
      <c r="J113" s="584"/>
      <c r="K113" s="585"/>
      <c r="L113" s="586"/>
      <c r="M113" s="587"/>
      <c r="N113" s="1157"/>
      <c r="O113" s="1157"/>
      <c r="P113" s="2690"/>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7"/>
      <c r="O114" s="1157"/>
      <c r="P114" s="2690"/>
      <c r="Q114" s="560"/>
    </row>
    <row r="115" spans="1:17" ht="15" thickTop="1">
      <c r="A115" s="600"/>
      <c r="B115" s="539" t="s">
        <v>2613</v>
      </c>
      <c r="C115" s="2933" t="s">
        <v>3073</v>
      </c>
      <c r="D115" s="555"/>
      <c r="E115" s="584"/>
      <c r="F115" s="584"/>
      <c r="G115" s="584"/>
      <c r="H115" s="584"/>
      <c r="I115" s="584"/>
      <c r="J115" s="584"/>
      <c r="K115" s="585"/>
      <c r="L115" s="586"/>
      <c r="M115" s="587"/>
      <c r="N115" s="1155"/>
      <c r="O115" s="1155"/>
      <c r="P115" s="2689"/>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6"/>
      <c r="O116" s="1156"/>
      <c r="P116" s="2689"/>
      <c r="Q116" s="505"/>
    </row>
    <row r="117" spans="1:17" ht="15" thickTop="1">
      <c r="A117" s="600"/>
      <c r="B117" s="539" t="s">
        <v>2614</v>
      </c>
      <c r="C117" s="2933" t="s">
        <v>3074</v>
      </c>
      <c r="D117" s="555"/>
      <c r="E117" s="555"/>
      <c r="F117" s="555"/>
      <c r="G117" s="555"/>
      <c r="H117" s="584"/>
      <c r="I117" s="584"/>
      <c r="J117" s="584"/>
      <c r="K117" s="585"/>
      <c r="L117" s="586"/>
      <c r="M117" s="587"/>
      <c r="N117" s="1155"/>
      <c r="O117" s="1155"/>
      <c r="P117" s="2689"/>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6"/>
      <c r="O118" s="1156"/>
      <c r="P118" s="2689"/>
      <c r="Q118" s="505"/>
    </row>
    <row r="119" spans="1:17" ht="15" thickTop="1">
      <c r="A119" s="600"/>
      <c r="B119" s="637" t="s">
        <v>2697</v>
      </c>
      <c r="C119" s="2934" t="s">
        <v>3076</v>
      </c>
      <c r="D119" s="584"/>
      <c r="E119" s="584"/>
      <c r="F119" s="584"/>
      <c r="G119" s="584"/>
      <c r="H119" s="584"/>
      <c r="I119" s="584"/>
      <c r="J119" s="584"/>
      <c r="K119" s="584"/>
      <c r="L119" s="2694"/>
      <c r="M119" s="2695"/>
      <c r="N119" s="1156"/>
      <c r="O119" s="1156"/>
      <c r="P119" s="2696"/>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6"/>
      <c r="O120" s="1156"/>
      <c r="P120" s="2689"/>
      <c r="Q120" s="505"/>
    </row>
    <row r="121" spans="1:17" s="472" customFormat="1" ht="15" thickTop="1">
      <c r="A121" s="594"/>
      <c r="B121" s="539" t="s">
        <v>2680</v>
      </c>
      <c r="C121" s="555"/>
      <c r="D121" s="555"/>
      <c r="E121" s="555"/>
      <c r="F121" s="584"/>
      <c r="G121" s="556"/>
      <c r="H121" s="556"/>
      <c r="I121" s="556"/>
      <c r="J121" s="556"/>
      <c r="K121" s="556"/>
      <c r="L121" s="557"/>
      <c r="M121" s="558"/>
      <c r="N121" s="1157"/>
      <c r="O121" s="1157"/>
      <c r="P121" s="2690"/>
      <c r="Q121" s="560"/>
    </row>
    <row r="122" spans="1:17" s="472" customFormat="1" ht="15.75" thickBot="1">
      <c r="A122" s="554"/>
      <c r="B122" s="536"/>
      <c r="C122" s="561"/>
      <c r="D122" s="561"/>
      <c r="E122" s="561"/>
      <c r="F122" s="561"/>
      <c r="G122" s="561"/>
      <c r="H122" s="561"/>
      <c r="I122" s="561"/>
      <c r="J122" s="561"/>
      <c r="K122" s="561"/>
      <c r="L122" s="561"/>
      <c r="M122" s="561"/>
      <c r="N122" s="1157"/>
      <c r="O122" s="1157"/>
      <c r="P122" s="2690"/>
      <c r="Q122" s="560"/>
    </row>
    <row r="123" spans="1:17" ht="15" thickTop="1">
      <c r="A123" s="600"/>
      <c r="B123" s="539" t="s">
        <v>2616</v>
      </c>
      <c r="C123" s="2934" t="s">
        <v>3072</v>
      </c>
      <c r="D123" s="2933" t="s">
        <v>3077</v>
      </c>
      <c r="E123" s="2933" t="s">
        <v>3110</v>
      </c>
      <c r="F123" s="2934" t="s">
        <v>3111</v>
      </c>
      <c r="G123" s="584"/>
      <c r="H123" s="584"/>
      <c r="I123" s="584"/>
      <c r="J123" s="584"/>
      <c r="K123" s="585"/>
      <c r="L123" s="586"/>
      <c r="M123" s="587"/>
      <c r="N123" s="1155"/>
      <c r="O123" s="1155"/>
      <c r="P123" s="2689"/>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6"/>
      <c r="O124" s="1156"/>
      <c r="P124" s="2689"/>
      <c r="Q124" s="505"/>
    </row>
    <row r="125" spans="1:17" ht="15" thickTop="1">
      <c r="A125" s="600"/>
      <c r="B125" s="539" t="s">
        <v>2617</v>
      </c>
      <c r="C125" s="579" t="s">
        <v>2593</v>
      </c>
      <c r="D125" s="579" t="s">
        <v>2594</v>
      </c>
      <c r="E125" s="579" t="s">
        <v>2595</v>
      </c>
      <c r="F125" s="579" t="s">
        <v>2596</v>
      </c>
      <c r="G125" s="579" t="s">
        <v>2597</v>
      </c>
      <c r="H125" s="540"/>
      <c r="I125" s="540"/>
      <c r="J125" s="540"/>
      <c r="K125" s="541"/>
      <c r="L125" s="542"/>
      <c r="M125" s="543"/>
      <c r="N125" s="1155"/>
      <c r="O125" s="1155"/>
      <c r="P125" s="2690"/>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89"/>
      <c r="Q126" s="505"/>
    </row>
    <row r="127" spans="1:17" s="472" customFormat="1" ht="15" thickTop="1">
      <c r="A127" s="594"/>
      <c r="B127" s="539" t="str">
        <f>B45</f>
        <v>是否赠送面积</v>
      </c>
      <c r="C127" s="2933" t="s">
        <v>3078</v>
      </c>
      <c r="D127" s="2933" t="s">
        <v>3079</v>
      </c>
      <c r="E127" s="555"/>
      <c r="F127" s="555"/>
      <c r="G127" s="555"/>
      <c r="H127" s="556"/>
      <c r="I127" s="556"/>
      <c r="J127" s="556"/>
      <c r="K127" s="556"/>
      <c r="L127" s="557"/>
      <c r="M127" s="558"/>
      <c r="N127" s="1157"/>
      <c r="O127" s="1157"/>
      <c r="P127" s="2690"/>
      <c r="Q127" s="560"/>
    </row>
    <row r="128" spans="1:17" s="472" customFormat="1" ht="15.75" thickBot="1">
      <c r="A128" s="554"/>
      <c r="B128" s="544"/>
      <c r="C128" s="561">
        <v>100</v>
      </c>
      <c r="D128" s="537">
        <v>97</v>
      </c>
      <c r="E128" s="537"/>
      <c r="F128" s="537"/>
      <c r="G128" s="561"/>
      <c r="H128" s="563"/>
      <c r="I128" s="563"/>
      <c r="J128" s="563"/>
      <c r="K128" s="563"/>
      <c r="L128" s="563"/>
      <c r="M128" s="564"/>
      <c r="N128" s="1157"/>
      <c r="O128" s="1157"/>
      <c r="P128" s="2690"/>
      <c r="Q128" s="560"/>
    </row>
    <row r="129" spans="1:17" ht="15" thickTop="1">
      <c r="A129" s="600"/>
      <c r="B129" s="539">
        <f>B46</f>
        <v>111</v>
      </c>
      <c r="C129" s="555"/>
      <c r="D129" s="555"/>
      <c r="E129" s="555"/>
      <c r="F129" s="555"/>
      <c r="G129" s="584"/>
      <c r="H129" s="584"/>
      <c r="I129" s="584"/>
      <c r="J129" s="584"/>
      <c r="K129" s="585"/>
      <c r="L129" s="586"/>
      <c r="M129" s="587"/>
      <c r="N129" s="1155"/>
      <c r="O129" s="1155"/>
      <c r="P129" s="2689"/>
      <c r="Q129" s="505"/>
    </row>
    <row r="130" spans="1:17" ht="15.75" thickBot="1">
      <c r="A130" s="535"/>
      <c r="B130" s="544"/>
      <c r="C130" s="561"/>
      <c r="D130" s="561"/>
      <c r="E130" s="561"/>
      <c r="F130" s="561"/>
      <c r="G130" s="537"/>
      <c r="H130" s="537"/>
      <c r="I130" s="537"/>
      <c r="J130" s="537"/>
      <c r="K130" s="537"/>
      <c r="L130" s="537"/>
      <c r="M130" s="538"/>
      <c r="N130" s="1156"/>
      <c r="O130" s="1156"/>
      <c r="P130" s="2689"/>
      <c r="Q130" s="505"/>
    </row>
    <row r="131" spans="1:17" ht="15" thickTop="1">
      <c r="A131" s="600"/>
      <c r="B131" s="547">
        <f>B47</f>
        <v>111</v>
      </c>
      <c r="C131" s="524"/>
      <c r="D131" s="524"/>
      <c r="E131" s="524"/>
      <c r="F131" s="524"/>
      <c r="G131" s="588"/>
      <c r="H131" s="588"/>
      <c r="I131" s="588"/>
      <c r="J131" s="588"/>
      <c r="K131" s="524"/>
      <c r="L131" s="525"/>
      <c r="M131" s="591"/>
      <c r="N131" s="1155"/>
      <c r="O131" s="1155"/>
      <c r="P131" s="2689"/>
      <c r="Q131" s="505"/>
    </row>
    <row r="132" spans="1:17" ht="15.75" thickBot="1">
      <c r="A132" s="2641"/>
      <c r="B132" s="570"/>
      <c r="C132" s="571"/>
      <c r="D132" s="571"/>
      <c r="E132" s="571"/>
      <c r="F132" s="571"/>
      <c r="G132" s="592"/>
      <c r="H132" s="592"/>
      <c r="I132" s="592"/>
      <c r="J132" s="592"/>
      <c r="K132" s="592"/>
      <c r="L132" s="592"/>
      <c r="M132" s="593"/>
      <c r="N132" s="1156"/>
      <c r="O132" s="1156"/>
      <c r="P132" s="2689"/>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32.75" style="139" customWidth="1"/>
    <col min="2" max="2" width="9.25" style="27" customWidth="1"/>
    <col min="3" max="3" width="5" style="27" customWidth="1"/>
    <col min="4" max="4" width="9" style="27"/>
    <col min="5" max="5" width="7.125" style="27" customWidth="1"/>
    <col min="6" max="6" width="12.25" style="27" customWidth="1"/>
    <col min="7" max="7" width="8.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5"/>
    <col min="46" max="16384" width="9" style="139"/>
  </cols>
  <sheetData>
    <row r="1" spans="1:45" ht="14.25" customHeight="1" thickBot="1">
      <c r="A1" s="156"/>
      <c r="B1" s="1207" t="s">
        <v>3003</v>
      </c>
      <c r="C1" s="3188" t="s">
        <v>3004</v>
      </c>
      <c r="D1" s="3189"/>
      <c r="E1" s="3189"/>
      <c r="F1" s="3189"/>
      <c r="G1" s="3189"/>
      <c r="H1" s="3189"/>
      <c r="I1" s="3189"/>
      <c r="J1" s="3189"/>
      <c r="K1" s="3189"/>
      <c r="L1" s="3189"/>
      <c r="M1" s="3189"/>
      <c r="N1" s="3189"/>
      <c r="O1" s="3189"/>
      <c r="P1" s="3189"/>
      <c r="Q1" s="3189"/>
      <c r="R1" s="3189"/>
      <c r="S1" s="3190"/>
      <c r="T1" s="1207" t="s">
        <v>3005</v>
      </c>
    </row>
    <row r="2" spans="1:45" s="708" customFormat="1" ht="25.5">
      <c r="A2" s="1208"/>
      <c r="B2" s="704" t="s">
        <v>3006</v>
      </c>
      <c r="C2" s="705" t="str">
        <f t="shared" ref="C2:L2" si="0">C3&amp;"(含)"&amp;"-"&amp;D3</f>
        <v>0(含)-100</v>
      </c>
      <c r="D2" s="706" t="str">
        <f t="shared" si="0"/>
        <v>100(含)-200</v>
      </c>
      <c r="E2" s="706" t="str">
        <f t="shared" si="0"/>
        <v>200(含)-300</v>
      </c>
      <c r="F2" s="706" t="str">
        <f t="shared" si="0"/>
        <v>300(含)-400</v>
      </c>
      <c r="G2" s="706" t="str">
        <f t="shared" si="0"/>
        <v>400(含)-500</v>
      </c>
      <c r="H2" s="706" t="str">
        <f t="shared" si="0"/>
        <v>500(含)-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9" t="str">
        <f>S3&amp;"(含)"&amp;"-"</f>
        <v>(含)-</v>
      </c>
      <c r="T2" s="707"/>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9"/>
      <c r="C3" s="710">
        <f>'比较法-办公'!C104</f>
        <v>0</v>
      </c>
      <c r="D3" s="710">
        <f>'比较法-办公'!D104</f>
        <v>100</v>
      </c>
      <c r="E3" s="710">
        <f>'比较法-办公'!E104</f>
        <v>200</v>
      </c>
      <c r="F3" s="710">
        <f>'比较法-办公'!F104</f>
        <v>300</v>
      </c>
      <c r="G3" s="710">
        <f>'比较法-办公'!G104</f>
        <v>400</v>
      </c>
      <c r="H3" s="710">
        <v>500</v>
      </c>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710">
        <v>100</v>
      </c>
      <c r="D4" s="710">
        <v>103</v>
      </c>
      <c r="E4" s="710">
        <v>106</v>
      </c>
      <c r="F4" s="710">
        <v>109</v>
      </c>
      <c r="G4" s="710">
        <v>111</v>
      </c>
      <c r="H4" s="1712">
        <v>114</v>
      </c>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3007</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3008</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3009</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8" customFormat="1">
      <c r="A17" s="2921" t="s">
        <v>3013</v>
      </c>
      <c r="B17" s="2922"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8"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9"/>
      <c r="C19" s="169"/>
      <c r="D19" s="2923" t="s">
        <v>3015</v>
      </c>
      <c r="E19" s="1796"/>
      <c r="F19" s="1796"/>
      <c r="G19" s="1796"/>
      <c r="H19" s="1283"/>
      <c r="I19" s="169"/>
      <c r="J19" s="169"/>
      <c r="K19" s="169"/>
      <c r="L19" s="169"/>
      <c r="M19" s="169"/>
      <c r="N19" s="169"/>
      <c r="O19" s="169"/>
      <c r="P19" s="169"/>
      <c r="Q19" s="169"/>
      <c r="R19" s="788"/>
      <c r="S19" s="138"/>
    </row>
    <row r="20" spans="1:45" ht="16.5" thickBot="1">
      <c r="A20" s="715" t="s">
        <v>3016</v>
      </c>
      <c r="B20" s="339">
        <f>IF(D20="——",S22,S22-F20)</f>
        <v>7553</v>
      </c>
      <c r="C20" s="169"/>
      <c r="D20" s="2924" t="s">
        <v>70</v>
      </c>
      <c r="E20" s="1797"/>
      <c r="F20" s="1207" t="e">
        <f ca="1">SUMIF(INDIRECT("'"&amp;H20&amp;"'"&amp;"!A:A"),"承租人权益价值",INDIRECT("'"&amp;H20&amp;"'"&amp;"!c:c"))</f>
        <v>#REF!</v>
      </c>
      <c r="G20" s="1207" t="s">
        <v>3017</v>
      </c>
      <c r="H20" s="2925"/>
      <c r="I20" s="169"/>
      <c r="J20" s="169"/>
      <c r="K20" s="169"/>
      <c r="L20" s="169"/>
      <c r="M20" s="169"/>
      <c r="N20" s="169"/>
      <c r="O20" s="169"/>
      <c r="P20" s="169"/>
      <c r="Q20" s="169"/>
      <c r="R20" s="788"/>
      <c r="S20" s="138"/>
    </row>
    <row r="21" spans="1:45" ht="15.75">
      <c r="A21" s="715" t="s">
        <v>3018</v>
      </c>
      <c r="B21" s="339">
        <f>R22</f>
        <v>32825</v>
      </c>
      <c r="C21" s="169"/>
      <c r="D21" s="169"/>
      <c r="E21" s="169"/>
      <c r="F21" s="169"/>
      <c r="G21" s="169"/>
      <c r="H21" s="169"/>
      <c r="I21" s="169"/>
      <c r="J21" s="169"/>
      <c r="K21" s="169"/>
      <c r="L21" s="169"/>
      <c r="M21" s="169"/>
      <c r="N21" s="169"/>
      <c r="O21" s="169"/>
      <c r="P21" s="169"/>
      <c r="Q21" s="169"/>
      <c r="R21" s="788"/>
      <c r="S21" s="138"/>
    </row>
    <row r="22" spans="1:45">
      <c r="A22" s="362" t="s">
        <v>3019</v>
      </c>
      <c r="B22" s="24">
        <f>SUM(B24:B10000)</f>
        <v>2300.98</v>
      </c>
      <c r="C22" s="3052" t="s">
        <v>33</v>
      </c>
      <c r="D22" s="3053"/>
      <c r="E22" s="3053"/>
      <c r="F22" s="3053"/>
      <c r="G22" s="3053"/>
      <c r="H22" s="3053"/>
      <c r="I22" s="3053"/>
      <c r="J22" s="3053"/>
      <c r="K22" s="3053"/>
      <c r="L22" s="3053"/>
      <c r="M22" s="3053"/>
      <c r="N22" s="3053"/>
      <c r="O22" s="3053"/>
      <c r="P22" s="3053"/>
      <c r="Q22" s="3187"/>
      <c r="R22" s="716">
        <f>ROUND(S22*10000/B22,0)</f>
        <v>32825</v>
      </c>
      <c r="S22" s="24">
        <f>SUM(S24:S10000)</f>
        <v>7553</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海淀区白家疃尚峰园3号楼1层101</v>
      </c>
      <c r="B24" s="718">
        <f>'数据-基础表'!I13</f>
        <v>80.540000000000006</v>
      </c>
      <c r="C24" s="719">
        <v>1</v>
      </c>
      <c r="D24" s="720"/>
      <c r="E24" s="719">
        <v>1</v>
      </c>
      <c r="F24" s="720"/>
      <c r="G24" s="719">
        <v>1</v>
      </c>
      <c r="H24" s="720"/>
      <c r="I24" s="719">
        <v>1</v>
      </c>
      <c r="J24" s="720"/>
      <c r="K24" s="719">
        <v>1</v>
      </c>
      <c r="L24" s="720"/>
      <c r="M24" s="719">
        <v>1</v>
      </c>
      <c r="N24" s="720"/>
      <c r="O24" s="719">
        <v>1</v>
      </c>
      <c r="P24" s="720"/>
      <c r="Q24" s="719">
        <v>1</v>
      </c>
      <c r="R24" s="721">
        <f>'比较法-办公'!C50</f>
        <v>31058</v>
      </c>
      <c r="S24" s="719">
        <f t="shared" ref="S24:S54" si="11">ROUND(R24*B24/10000,0)</f>
        <v>250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35" t="str">
        <f>'数据-基础表'!C14</f>
        <v>海淀区白家疃尚峰园3号楼1层102</v>
      </c>
      <c r="B25" s="2935">
        <f>'数据-基础表'!I14</f>
        <v>80.47</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31058</v>
      </c>
      <c r="S25" s="362">
        <f t="shared" si="11"/>
        <v>250</v>
      </c>
    </row>
    <row r="26" spans="1:45">
      <c r="A26" s="2935" t="str">
        <f>'数据-基础表'!C15</f>
        <v>海淀区白家疃尚峰园3号楼1层103</v>
      </c>
      <c r="B26" s="2935">
        <f>'数据-基础表'!I15</f>
        <v>46.13</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31058</v>
      </c>
      <c r="S26" s="362">
        <f t="shared" si="11"/>
        <v>143</v>
      </c>
    </row>
    <row r="27" spans="1:45">
      <c r="A27" s="2935" t="str">
        <f>'数据-基础表'!C16</f>
        <v>海淀区白家疃尚峰园3号楼1层105</v>
      </c>
      <c r="B27" s="2935">
        <f>'数据-基础表'!I16</f>
        <v>67.760000000000005</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31058</v>
      </c>
      <c r="S27" s="362">
        <f t="shared" si="11"/>
        <v>210</v>
      </c>
    </row>
    <row r="28" spans="1:45">
      <c r="A28" s="2935" t="str">
        <f>'数据-基础表'!C17</f>
        <v>海淀区白家疃尚峰园3号楼1层106</v>
      </c>
      <c r="B28" s="2935">
        <f>'数据-基础表'!I17</f>
        <v>43.07</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31058</v>
      </c>
      <c r="S28" s="362">
        <f t="shared" si="11"/>
        <v>134</v>
      </c>
    </row>
    <row r="29" spans="1:45">
      <c r="A29" s="2935" t="str">
        <f>'数据-基础表'!C18</f>
        <v>海淀区白家疃尚峰园3号楼1层107</v>
      </c>
      <c r="B29" s="2935">
        <f>'数据-基础表'!I18</f>
        <v>83.81</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31058</v>
      </c>
      <c r="S29" s="362">
        <f t="shared" si="11"/>
        <v>260</v>
      </c>
    </row>
    <row r="30" spans="1:45">
      <c r="A30" s="2935" t="str">
        <f>'数据-基础表'!C19</f>
        <v>海淀区白家疃尚峰园3号楼1层108</v>
      </c>
      <c r="B30" s="2935">
        <f>'数据-基础表'!I19</f>
        <v>68.540000000000006</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31058</v>
      </c>
      <c r="S30" s="362">
        <f t="shared" si="11"/>
        <v>213</v>
      </c>
    </row>
    <row r="31" spans="1:45">
      <c r="A31" s="2935" t="str">
        <f>'数据-基础表'!C20</f>
        <v>海淀区白家疃尚峰园3号楼1层109</v>
      </c>
      <c r="B31" s="2935">
        <f>'数据-基础表'!I20</f>
        <v>67.680000000000007</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31058</v>
      </c>
      <c r="S31" s="362">
        <f t="shared" si="11"/>
        <v>210</v>
      </c>
    </row>
    <row r="32" spans="1:45">
      <c r="A32" s="2935" t="str">
        <f>'数据-基础表'!C21</f>
        <v>海淀区白家疃尚峰园3号楼1层110</v>
      </c>
      <c r="B32" s="2935">
        <f>'数据-基础表'!I21</f>
        <v>83.19</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31058</v>
      </c>
      <c r="S32" s="362">
        <f t="shared" si="11"/>
        <v>258</v>
      </c>
    </row>
    <row r="33" spans="1:19">
      <c r="A33" s="2935" t="str">
        <f>'数据-基础表'!C22</f>
        <v>海淀区白家疃尚峰园3号楼1层111</v>
      </c>
      <c r="B33" s="2935">
        <f>'数据-基础表'!I22</f>
        <v>66.430000000000007</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31058</v>
      </c>
      <c r="S33" s="362">
        <f t="shared" si="11"/>
        <v>206</v>
      </c>
    </row>
    <row r="34" spans="1:19">
      <c r="A34" s="2935" t="str">
        <f>'数据-基础表'!C23</f>
        <v>海淀区白家疃尚峰园3号楼1层112</v>
      </c>
      <c r="B34" s="2935">
        <f>'数据-基础表'!I23</f>
        <v>83.19</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31058</v>
      </c>
      <c r="S34" s="362">
        <f t="shared" si="11"/>
        <v>258</v>
      </c>
    </row>
    <row r="35" spans="1:19">
      <c r="A35" s="2935" t="str">
        <f>'数据-基础表'!C24</f>
        <v>海淀区白家疃尚水园4号楼1层103</v>
      </c>
      <c r="B35" s="2935">
        <f>'数据-基础表'!I24</f>
        <v>331.02</v>
      </c>
      <c r="C35" s="24">
        <f t="shared" si="12"/>
        <v>1.0900000000000001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33853</v>
      </c>
      <c r="S35" s="362">
        <f t="shared" si="11"/>
        <v>1121</v>
      </c>
    </row>
    <row r="36" spans="1:19">
      <c r="A36" s="2935" t="str">
        <f>'数据-基础表'!C25</f>
        <v>海淀区白家疃尚水园4号楼1层111</v>
      </c>
      <c r="B36" s="2935">
        <f>'数据-基础表'!I25</f>
        <v>331.02</v>
      </c>
      <c r="C36" s="24">
        <f t="shared" si="12"/>
        <v>1.0900000000000001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33853</v>
      </c>
      <c r="S36" s="362">
        <f t="shared" si="11"/>
        <v>1121</v>
      </c>
    </row>
    <row r="37" spans="1:19">
      <c r="A37" s="2935" t="str">
        <f>'数据-基础表'!C26</f>
        <v>海淀区白家疃尚水园4号楼1层113</v>
      </c>
      <c r="B37" s="2935">
        <f>'数据-基础表'!I26</f>
        <v>341.55</v>
      </c>
      <c r="C37" s="24">
        <f t="shared" si="12"/>
        <v>1.0900000000000001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33853</v>
      </c>
      <c r="S37" s="362">
        <f t="shared" si="11"/>
        <v>1156</v>
      </c>
    </row>
    <row r="38" spans="1:19">
      <c r="A38" s="2935" t="str">
        <f>'数据-基础表'!C27</f>
        <v>海淀区白家疃尚水园4号楼1层116</v>
      </c>
      <c r="B38" s="2935">
        <f>'数据-基础表'!I27</f>
        <v>316.2</v>
      </c>
      <c r="C38" s="24">
        <f t="shared" si="12"/>
        <v>1.0900000000000001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33853</v>
      </c>
      <c r="S38" s="362">
        <f t="shared" si="11"/>
        <v>1070</v>
      </c>
    </row>
    <row r="39" spans="1:19">
      <c r="A39" s="2935" t="str">
        <f>'数据-基础表'!C28</f>
        <v>海淀区白家疃尚水园4号楼1层117</v>
      </c>
      <c r="B39" s="2935">
        <f>'数据-基础表'!I28</f>
        <v>210.38</v>
      </c>
      <c r="C39" s="24">
        <f t="shared" si="12"/>
        <v>1.06</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32921</v>
      </c>
      <c r="S39" s="362">
        <f t="shared" si="11"/>
        <v>693</v>
      </c>
    </row>
    <row r="40" spans="1:19">
      <c r="A40" s="2935"/>
      <c r="B40" s="2935"/>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2">
        <f t="shared" si="11"/>
        <v>0</v>
      </c>
    </row>
    <row r="41" spans="1:19">
      <c r="A41" s="718"/>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2">
        <f t="shared" si="11"/>
        <v>0</v>
      </c>
    </row>
    <row r="42" spans="1:19">
      <c r="A42" s="718"/>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2">
        <f t="shared" si="11"/>
        <v>0</v>
      </c>
    </row>
    <row r="43" spans="1:19">
      <c r="A43" s="718"/>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2">
        <f t="shared" si="11"/>
        <v>0</v>
      </c>
    </row>
    <row r="44" spans="1:19">
      <c r="A44" s="718"/>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2">
        <f t="shared" si="11"/>
        <v>0</v>
      </c>
    </row>
    <row r="45" spans="1:19">
      <c r="A45" s="718"/>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2">
        <f t="shared" si="11"/>
        <v>0</v>
      </c>
    </row>
    <row r="46" spans="1:19">
      <c r="A46" s="718"/>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2">
        <f t="shared" si="11"/>
        <v>0</v>
      </c>
    </row>
    <row r="47" spans="1:19">
      <c r="A47" s="718"/>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2">
        <f t="shared" si="11"/>
        <v>0</v>
      </c>
    </row>
    <row r="48" spans="1:19">
      <c r="A48" s="718"/>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2">
        <f t="shared" si="11"/>
        <v>0</v>
      </c>
    </row>
    <row r="49" spans="1:19">
      <c r="A49" s="718"/>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2">
        <f t="shared" si="11"/>
        <v>0</v>
      </c>
    </row>
    <row r="50" spans="1:19">
      <c r="A50" s="718"/>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2">
        <f t="shared" si="11"/>
        <v>0</v>
      </c>
    </row>
    <row r="51" spans="1:19">
      <c r="A51" s="718"/>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2">
        <f t="shared" si="11"/>
        <v>0</v>
      </c>
    </row>
    <row r="52" spans="1:19">
      <c r="A52" s="718"/>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2">
        <f t="shared" si="11"/>
        <v>0</v>
      </c>
    </row>
    <row r="53" spans="1:19">
      <c r="A53" s="718"/>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2">
        <f t="shared" si="11"/>
        <v>0</v>
      </c>
    </row>
    <row r="54" spans="1:19">
      <c r="A54" s="718"/>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2">
        <f t="shared" si="11"/>
        <v>0</v>
      </c>
    </row>
    <row r="55" spans="1:19">
      <c r="A55" s="718"/>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2">
        <f t="shared" ref="S55:S77" si="21">ROUND(R55*B55/10000,0)</f>
        <v>0</v>
      </c>
    </row>
    <row r="56" spans="1:19">
      <c r="A56" s="718"/>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2">
        <f t="shared" si="21"/>
        <v>0</v>
      </c>
    </row>
    <row r="57" spans="1:19">
      <c r="A57" s="718"/>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2">
        <f t="shared" si="21"/>
        <v>0</v>
      </c>
    </row>
    <row r="58" spans="1:19">
      <c r="A58" s="718"/>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2">
        <f t="shared" si="21"/>
        <v>0</v>
      </c>
    </row>
    <row r="59" spans="1:19">
      <c r="A59" s="718"/>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2">
        <f t="shared" si="21"/>
        <v>0</v>
      </c>
    </row>
    <row r="60" spans="1:19">
      <c r="A60" s="718"/>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2">
        <f t="shared" si="21"/>
        <v>0</v>
      </c>
    </row>
    <row r="61" spans="1:19">
      <c r="A61" s="718"/>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2">
        <f t="shared" si="21"/>
        <v>0</v>
      </c>
    </row>
    <row r="62" spans="1:19">
      <c r="A62" s="718"/>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2">
        <f t="shared" si="21"/>
        <v>0</v>
      </c>
    </row>
    <row r="63" spans="1:19">
      <c r="A63" s="718"/>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2">
        <f t="shared" si="21"/>
        <v>0</v>
      </c>
    </row>
    <row r="64" spans="1:19">
      <c r="A64" s="718"/>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2">
        <f t="shared" si="21"/>
        <v>0</v>
      </c>
    </row>
    <row r="65" spans="1:19">
      <c r="A65" s="718"/>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2">
        <f t="shared" si="21"/>
        <v>0</v>
      </c>
    </row>
    <row r="66" spans="1:19">
      <c r="A66" s="718"/>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2">
        <f t="shared" si="21"/>
        <v>0</v>
      </c>
    </row>
    <row r="67" spans="1:19">
      <c r="A67" s="718"/>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2">
        <f t="shared" si="21"/>
        <v>0</v>
      </c>
    </row>
    <row r="68" spans="1:19">
      <c r="A68" s="718"/>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2">
        <f t="shared" si="21"/>
        <v>0</v>
      </c>
    </row>
    <row r="69" spans="1:19">
      <c r="A69" s="718"/>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2">
        <f t="shared" si="21"/>
        <v>0</v>
      </c>
    </row>
    <row r="70" spans="1:19">
      <c r="A70" s="718"/>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2">
        <f t="shared" si="21"/>
        <v>0</v>
      </c>
    </row>
    <row r="71" spans="1:19">
      <c r="A71" s="718"/>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2">
        <f t="shared" si="21"/>
        <v>0</v>
      </c>
    </row>
    <row r="72" spans="1:19">
      <c r="A72" s="718"/>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2">
        <f t="shared" si="21"/>
        <v>0</v>
      </c>
    </row>
    <row r="73" spans="1:19">
      <c r="A73" s="718"/>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2">
        <f t="shared" si="21"/>
        <v>0</v>
      </c>
    </row>
    <row r="74" spans="1:19">
      <c r="A74" s="718"/>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2">
        <f t="shared" si="21"/>
        <v>0</v>
      </c>
    </row>
    <row r="75" spans="1:19">
      <c r="A75" s="160"/>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2">
        <f t="shared" si="21"/>
        <v>0</v>
      </c>
    </row>
    <row r="76" spans="1:19">
      <c r="A76" s="160"/>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2">
        <f t="shared" si="21"/>
        <v>0</v>
      </c>
    </row>
    <row r="77" spans="1:19">
      <c r="A77" s="160"/>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2">
        <f t="shared" si="21"/>
        <v>0</v>
      </c>
    </row>
    <row r="78" spans="1:19">
      <c r="A78" s="160"/>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2">
        <f t="shared" ref="S78:S122" si="22">ROUND(R78*B78/10000,0)</f>
        <v>0</v>
      </c>
    </row>
    <row r="79" spans="1:19">
      <c r="A79" s="160"/>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2">
        <f t="shared" si="22"/>
        <v>0</v>
      </c>
    </row>
    <row r="80" spans="1:19">
      <c r="A80" s="160"/>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2">
        <f t="shared" si="22"/>
        <v>0</v>
      </c>
    </row>
    <row r="81" spans="1:19">
      <c r="A81" s="160"/>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2">
        <f t="shared" si="22"/>
        <v>0</v>
      </c>
    </row>
    <row r="82" spans="1:19">
      <c r="A82" s="160"/>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2">
        <f t="shared" si="22"/>
        <v>0</v>
      </c>
    </row>
    <row r="83" spans="1:19">
      <c r="A83" s="160"/>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2">
        <f t="shared" si="22"/>
        <v>0</v>
      </c>
    </row>
    <row r="84" spans="1:19">
      <c r="A84" s="160"/>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2">
        <f t="shared" si="22"/>
        <v>0</v>
      </c>
    </row>
    <row r="85" spans="1:19">
      <c r="A85" s="160"/>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2">
        <f t="shared" si="22"/>
        <v>0</v>
      </c>
    </row>
    <row r="86" spans="1:19">
      <c r="A86" s="160"/>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2">
        <f t="shared" si="22"/>
        <v>0</v>
      </c>
    </row>
    <row r="87" spans="1:19">
      <c r="A87" s="160"/>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2">
        <f t="shared" si="22"/>
        <v>0</v>
      </c>
    </row>
    <row r="88" spans="1:19">
      <c r="A88" s="160"/>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2">
        <f t="shared" si="22"/>
        <v>0</v>
      </c>
    </row>
    <row r="89" spans="1:19">
      <c r="A89" s="160"/>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2">
        <f t="shared" si="22"/>
        <v>0</v>
      </c>
    </row>
    <row r="90" spans="1:19">
      <c r="A90" s="160"/>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2">
        <f t="shared" si="22"/>
        <v>0</v>
      </c>
    </row>
    <row r="91" spans="1:19">
      <c r="A91" s="160"/>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2">
        <f t="shared" si="22"/>
        <v>0</v>
      </c>
    </row>
    <row r="92" spans="1:19">
      <c r="A92" s="160"/>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2">
        <f t="shared" si="22"/>
        <v>0</v>
      </c>
    </row>
    <row r="93" spans="1:19">
      <c r="A93" s="160"/>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2">
        <f t="shared" si="22"/>
        <v>0</v>
      </c>
    </row>
    <row r="94" spans="1:19">
      <c r="A94" s="160"/>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2">
        <f t="shared" si="22"/>
        <v>0</v>
      </c>
    </row>
    <row r="95" spans="1:19">
      <c r="A95" s="160"/>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2">
        <f t="shared" si="22"/>
        <v>0</v>
      </c>
    </row>
    <row r="96" spans="1:19">
      <c r="A96" s="160"/>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2">
        <f t="shared" si="22"/>
        <v>0</v>
      </c>
    </row>
    <row r="97" spans="1:19">
      <c r="A97" s="160"/>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2">
        <f t="shared" si="22"/>
        <v>0</v>
      </c>
    </row>
    <row r="98" spans="1:19">
      <c r="A98" s="160"/>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2">
        <f t="shared" si="22"/>
        <v>0</v>
      </c>
    </row>
    <row r="99" spans="1:19">
      <c r="A99" s="160"/>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2">
        <f t="shared" si="22"/>
        <v>0</v>
      </c>
    </row>
    <row r="100" spans="1:19">
      <c r="A100" s="160"/>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2">
        <f t="shared" si="22"/>
        <v>0</v>
      </c>
    </row>
    <row r="101" spans="1:19">
      <c r="A101" s="160"/>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2">
        <f t="shared" si="22"/>
        <v>0</v>
      </c>
    </row>
    <row r="102" spans="1:19">
      <c r="A102" s="160"/>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2">
        <f t="shared" si="22"/>
        <v>0</v>
      </c>
    </row>
    <row r="103" spans="1:19">
      <c r="A103" s="160"/>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2">
        <f t="shared" si="22"/>
        <v>0</v>
      </c>
    </row>
    <row r="104" spans="1:19">
      <c r="A104" s="160"/>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2">
        <f t="shared" si="22"/>
        <v>0</v>
      </c>
    </row>
    <row r="105" spans="1:19">
      <c r="A105" s="160"/>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2">
        <f t="shared" si="22"/>
        <v>0</v>
      </c>
    </row>
    <row r="106" spans="1:19">
      <c r="A106" s="160"/>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2">
        <f t="shared" si="22"/>
        <v>0</v>
      </c>
    </row>
    <row r="107" spans="1:19">
      <c r="A107" s="160"/>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2">
        <f t="shared" si="22"/>
        <v>0</v>
      </c>
    </row>
    <row r="108" spans="1:19">
      <c r="A108" s="160"/>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2">
        <f t="shared" si="22"/>
        <v>0</v>
      </c>
    </row>
    <row r="109" spans="1:19">
      <c r="A109" s="160"/>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2">
        <f t="shared" si="22"/>
        <v>0</v>
      </c>
    </row>
    <row r="110" spans="1:19">
      <c r="A110" s="160"/>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2">
        <f t="shared" si="22"/>
        <v>0</v>
      </c>
    </row>
    <row r="111" spans="1:19">
      <c r="A111" s="160"/>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2">
        <f t="shared" si="22"/>
        <v>0</v>
      </c>
    </row>
    <row r="112" spans="1:19">
      <c r="A112" s="160"/>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2">
        <f t="shared" si="22"/>
        <v>0</v>
      </c>
    </row>
    <row r="113" spans="1:19">
      <c r="A113" s="160"/>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2">
        <f t="shared" si="22"/>
        <v>0</v>
      </c>
    </row>
    <row r="114" spans="1:19">
      <c r="A114" s="160"/>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2">
        <f t="shared" si="22"/>
        <v>0</v>
      </c>
    </row>
    <row r="115" spans="1:19">
      <c r="A115" s="160"/>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2">
        <f t="shared" si="22"/>
        <v>0</v>
      </c>
    </row>
    <row r="116" spans="1:19">
      <c r="A116" s="160"/>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2">
        <f t="shared" si="22"/>
        <v>0</v>
      </c>
    </row>
    <row r="117" spans="1:19">
      <c r="A117" s="160"/>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2">
        <f t="shared" si="22"/>
        <v>0</v>
      </c>
    </row>
    <row r="118" spans="1:19">
      <c r="A118" s="160"/>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2">
        <f t="shared" si="22"/>
        <v>0</v>
      </c>
    </row>
    <row r="119" spans="1:19">
      <c r="A119" s="160"/>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2">
        <f t="shared" si="22"/>
        <v>0</v>
      </c>
    </row>
    <row r="120" spans="1:19">
      <c r="A120" s="160"/>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2">
        <f t="shared" si="22"/>
        <v>0</v>
      </c>
    </row>
    <row r="121" spans="1:19">
      <c r="A121" s="160"/>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2">
        <f t="shared" si="22"/>
        <v>0</v>
      </c>
    </row>
    <row r="122" spans="1:19">
      <c r="A122" s="160"/>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2">
        <f t="shared" si="22"/>
        <v>0</v>
      </c>
    </row>
    <row r="123" spans="1:19">
      <c r="A123" s="160"/>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2">
        <f t="shared" ref="S123:S186" si="32">ROUND(R123*B123/10000,0)</f>
        <v>0</v>
      </c>
    </row>
    <row r="124" spans="1:19">
      <c r="A124" s="160"/>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2">
        <f t="shared" si="32"/>
        <v>0</v>
      </c>
    </row>
    <row r="125" spans="1:19">
      <c r="A125" s="160"/>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2">
        <f t="shared" si="32"/>
        <v>0</v>
      </c>
    </row>
    <row r="126" spans="1:19">
      <c r="A126" s="160"/>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2">
        <f t="shared" si="32"/>
        <v>0</v>
      </c>
    </row>
    <row r="127" spans="1:19">
      <c r="A127" s="160"/>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2">
        <f t="shared" si="32"/>
        <v>0</v>
      </c>
    </row>
    <row r="128" spans="1:19">
      <c r="A128" s="160"/>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2">
        <f t="shared" si="32"/>
        <v>0</v>
      </c>
    </row>
    <row r="129" spans="1:19">
      <c r="A129" s="160"/>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2">
        <f t="shared" si="32"/>
        <v>0</v>
      </c>
    </row>
    <row r="130" spans="1:19">
      <c r="A130" s="160"/>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2">
        <f t="shared" si="32"/>
        <v>0</v>
      </c>
    </row>
    <row r="131" spans="1:19">
      <c r="A131" s="160"/>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2">
        <f t="shared" si="32"/>
        <v>0</v>
      </c>
    </row>
    <row r="132" spans="1:19">
      <c r="A132" s="160"/>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2">
        <f t="shared" si="32"/>
        <v>0</v>
      </c>
    </row>
    <row r="133" spans="1:19">
      <c r="A133" s="160"/>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2">
        <f t="shared" si="32"/>
        <v>0</v>
      </c>
    </row>
    <row r="134" spans="1:19">
      <c r="A134" s="160"/>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2">
        <f t="shared" si="32"/>
        <v>0</v>
      </c>
    </row>
    <row r="135" spans="1:19">
      <c r="A135" s="160"/>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2">
        <f t="shared" si="32"/>
        <v>0</v>
      </c>
    </row>
    <row r="136" spans="1:19">
      <c r="A136" s="160"/>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2">
        <f t="shared" si="32"/>
        <v>0</v>
      </c>
    </row>
    <row r="137" spans="1:19">
      <c r="A137" s="160"/>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2">
        <f t="shared" si="32"/>
        <v>0</v>
      </c>
    </row>
    <row r="138" spans="1:19">
      <c r="A138" s="160"/>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2">
        <f t="shared" si="32"/>
        <v>0</v>
      </c>
    </row>
    <row r="139" spans="1:19">
      <c r="A139" s="160"/>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2">
        <f t="shared" si="32"/>
        <v>0</v>
      </c>
    </row>
    <row r="140" spans="1:19">
      <c r="A140" s="160"/>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2">
        <f t="shared" si="32"/>
        <v>0</v>
      </c>
    </row>
    <row r="141" spans="1:19">
      <c r="A141" s="160"/>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2">
        <f t="shared" si="32"/>
        <v>0</v>
      </c>
    </row>
    <row r="142" spans="1:19">
      <c r="A142" s="160"/>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2">
        <f t="shared" si="32"/>
        <v>0</v>
      </c>
    </row>
    <row r="143" spans="1:19">
      <c r="A143" s="160"/>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2">
        <f t="shared" si="32"/>
        <v>0</v>
      </c>
    </row>
    <row r="144" spans="1:19">
      <c r="A144" s="160"/>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2">
        <f t="shared" si="32"/>
        <v>0</v>
      </c>
    </row>
    <row r="145" spans="1:19">
      <c r="A145" s="160"/>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2">
        <f t="shared" si="32"/>
        <v>0</v>
      </c>
    </row>
    <row r="146" spans="1:19">
      <c r="A146" s="160"/>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2">
        <f t="shared" si="32"/>
        <v>0</v>
      </c>
    </row>
    <row r="147" spans="1:19">
      <c r="A147" s="160"/>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2">
        <f t="shared" si="32"/>
        <v>0</v>
      </c>
    </row>
    <row r="148" spans="1:19">
      <c r="A148" s="160"/>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2">
        <f t="shared" si="32"/>
        <v>0</v>
      </c>
    </row>
    <row r="149" spans="1:19">
      <c r="A149" s="160"/>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2">
        <f t="shared" si="32"/>
        <v>0</v>
      </c>
    </row>
    <row r="150" spans="1:19">
      <c r="A150" s="160"/>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2">
        <f t="shared" si="32"/>
        <v>0</v>
      </c>
    </row>
    <row r="151" spans="1:19">
      <c r="A151" s="160"/>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2">
        <f t="shared" si="32"/>
        <v>0</v>
      </c>
    </row>
    <row r="152" spans="1:19">
      <c r="A152" s="160"/>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2">
        <f t="shared" si="32"/>
        <v>0</v>
      </c>
    </row>
    <row r="153" spans="1:19">
      <c r="A153" s="160"/>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2">
        <f t="shared" si="32"/>
        <v>0</v>
      </c>
    </row>
    <row r="154" spans="1:19">
      <c r="A154" s="160"/>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2">
        <f t="shared" si="32"/>
        <v>0</v>
      </c>
    </row>
    <row r="155" spans="1:19">
      <c r="A155" s="160"/>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2">
        <f t="shared" si="32"/>
        <v>0</v>
      </c>
    </row>
    <row r="156" spans="1:19">
      <c r="A156" s="160"/>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2">
        <f t="shared" si="32"/>
        <v>0</v>
      </c>
    </row>
    <row r="157" spans="1:19">
      <c r="A157" s="160"/>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2">
        <f t="shared" si="32"/>
        <v>0</v>
      </c>
    </row>
    <row r="158" spans="1:19">
      <c r="A158" s="160"/>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2">
        <f t="shared" si="32"/>
        <v>0</v>
      </c>
    </row>
    <row r="159" spans="1:19">
      <c r="A159" s="160"/>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2">
        <f t="shared" si="32"/>
        <v>0</v>
      </c>
    </row>
    <row r="160" spans="1:19">
      <c r="A160" s="160"/>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2">
        <f t="shared" si="32"/>
        <v>0</v>
      </c>
    </row>
    <row r="161" spans="1:19">
      <c r="A161" s="160"/>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2">
        <f t="shared" si="32"/>
        <v>0</v>
      </c>
    </row>
    <row r="162" spans="1:19">
      <c r="A162" s="160"/>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2">
        <f t="shared" si="32"/>
        <v>0</v>
      </c>
    </row>
    <row r="163" spans="1:19">
      <c r="A163" s="160"/>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2">
        <f t="shared" si="32"/>
        <v>0</v>
      </c>
    </row>
    <row r="164" spans="1:19">
      <c r="A164" s="160"/>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2">
        <f t="shared" si="32"/>
        <v>0</v>
      </c>
    </row>
    <row r="165" spans="1:19">
      <c r="A165" s="160"/>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2">
        <f t="shared" si="32"/>
        <v>0</v>
      </c>
    </row>
    <row r="166" spans="1:19">
      <c r="A166" s="160"/>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2">
        <f t="shared" si="32"/>
        <v>0</v>
      </c>
    </row>
    <row r="167" spans="1:19">
      <c r="A167" s="160"/>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2">
        <f t="shared" si="32"/>
        <v>0</v>
      </c>
    </row>
    <row r="168" spans="1:19">
      <c r="A168" s="160"/>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2">
        <f t="shared" si="32"/>
        <v>0</v>
      </c>
    </row>
    <row r="169" spans="1:19">
      <c r="A169" s="160"/>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2">
        <f t="shared" si="32"/>
        <v>0</v>
      </c>
    </row>
    <row r="170" spans="1:19">
      <c r="A170" s="160"/>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2">
        <f t="shared" si="32"/>
        <v>0</v>
      </c>
    </row>
    <row r="171" spans="1:19">
      <c r="A171" s="160"/>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2">
        <f t="shared" si="32"/>
        <v>0</v>
      </c>
    </row>
    <row r="172" spans="1:19">
      <c r="A172" s="160"/>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2">
        <f t="shared" si="32"/>
        <v>0</v>
      </c>
    </row>
    <row r="173" spans="1:19">
      <c r="A173" s="160"/>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2">
        <f t="shared" si="32"/>
        <v>0</v>
      </c>
    </row>
    <row r="174" spans="1:19">
      <c r="A174" s="160"/>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2">
        <f t="shared" si="32"/>
        <v>0</v>
      </c>
    </row>
    <row r="175" spans="1:19">
      <c r="A175" s="160"/>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2">
        <f t="shared" si="32"/>
        <v>0</v>
      </c>
    </row>
    <row r="176" spans="1:19">
      <c r="A176" s="160"/>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2">
        <f t="shared" si="32"/>
        <v>0</v>
      </c>
    </row>
    <row r="177" spans="1:19">
      <c r="A177" s="160"/>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2">
        <f t="shared" si="32"/>
        <v>0</v>
      </c>
    </row>
    <row r="178" spans="1:19">
      <c r="A178" s="160"/>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2">
        <f t="shared" si="32"/>
        <v>0</v>
      </c>
    </row>
    <row r="179" spans="1:19">
      <c r="A179" s="160"/>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2">
        <f t="shared" si="32"/>
        <v>0</v>
      </c>
    </row>
    <row r="180" spans="1:19">
      <c r="A180" s="160"/>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2">
        <f t="shared" si="32"/>
        <v>0</v>
      </c>
    </row>
    <row r="181" spans="1:19">
      <c r="A181" s="160"/>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2">
        <f t="shared" si="32"/>
        <v>0</v>
      </c>
    </row>
    <row r="182" spans="1:19">
      <c r="A182" s="160"/>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2">
        <f t="shared" si="32"/>
        <v>0</v>
      </c>
    </row>
    <row r="183" spans="1:19">
      <c r="A183" s="160"/>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2">
        <f t="shared" si="32"/>
        <v>0</v>
      </c>
    </row>
    <row r="184" spans="1:19">
      <c r="A184" s="160"/>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2">
        <f t="shared" si="32"/>
        <v>0</v>
      </c>
    </row>
    <row r="185" spans="1:19">
      <c r="A185" s="160"/>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2">
        <f t="shared" si="32"/>
        <v>0</v>
      </c>
    </row>
    <row r="186" spans="1:19">
      <c r="A186" s="160"/>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2">
        <f t="shared" si="32"/>
        <v>0</v>
      </c>
    </row>
    <row r="187" spans="1:19">
      <c r="A187" s="160"/>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2">
        <f t="shared" ref="S187:S222" si="42">ROUND(R187*B187/10000,0)</f>
        <v>0</v>
      </c>
    </row>
    <row r="188" spans="1:19">
      <c r="A188" s="160"/>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2">
        <f t="shared" si="42"/>
        <v>0</v>
      </c>
    </row>
    <row r="189" spans="1:19">
      <c r="A189" s="160"/>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2">
        <f t="shared" si="42"/>
        <v>0</v>
      </c>
    </row>
    <row r="190" spans="1:19">
      <c r="A190" s="160"/>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2">
        <f t="shared" si="42"/>
        <v>0</v>
      </c>
    </row>
    <row r="191" spans="1:19">
      <c r="A191" s="160"/>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2">
        <f t="shared" si="42"/>
        <v>0</v>
      </c>
    </row>
    <row r="192" spans="1:19">
      <c r="A192" s="160"/>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2">
        <f t="shared" si="42"/>
        <v>0</v>
      </c>
    </row>
    <row r="193" spans="1:19">
      <c r="A193" s="160"/>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2">
        <f t="shared" si="42"/>
        <v>0</v>
      </c>
    </row>
    <row r="194" spans="1:19">
      <c r="A194" s="160"/>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2">
        <f t="shared" si="42"/>
        <v>0</v>
      </c>
    </row>
    <row r="195" spans="1:19">
      <c r="A195" s="160"/>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2">
        <f t="shared" si="42"/>
        <v>0</v>
      </c>
    </row>
    <row r="196" spans="1:19">
      <c r="A196" s="160"/>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2">
        <f t="shared" si="42"/>
        <v>0</v>
      </c>
    </row>
    <row r="197" spans="1:19">
      <c r="A197" s="160"/>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2">
        <f t="shared" si="42"/>
        <v>0</v>
      </c>
    </row>
    <row r="198" spans="1:19">
      <c r="A198" s="160"/>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2">
        <f t="shared" si="42"/>
        <v>0</v>
      </c>
    </row>
    <row r="199" spans="1:19">
      <c r="A199" s="160"/>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2">
        <f t="shared" si="42"/>
        <v>0</v>
      </c>
    </row>
    <row r="200" spans="1:19">
      <c r="A200" s="160"/>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2">
        <f t="shared" si="42"/>
        <v>0</v>
      </c>
    </row>
    <row r="201" spans="1:19">
      <c r="A201" s="160"/>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2">
        <f t="shared" si="42"/>
        <v>0</v>
      </c>
    </row>
    <row r="202" spans="1:19">
      <c r="A202" s="160"/>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2">
        <f t="shared" si="42"/>
        <v>0</v>
      </c>
    </row>
    <row r="203" spans="1:19">
      <c r="A203" s="160"/>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2">
        <f t="shared" si="42"/>
        <v>0</v>
      </c>
    </row>
    <row r="204" spans="1:19">
      <c r="A204" s="160"/>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2">
        <f t="shared" si="42"/>
        <v>0</v>
      </c>
    </row>
    <row r="205" spans="1:19">
      <c r="A205" s="160"/>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2">
        <f t="shared" si="42"/>
        <v>0</v>
      </c>
    </row>
    <row r="206" spans="1:19">
      <c r="A206" s="160"/>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2">
        <f t="shared" si="42"/>
        <v>0</v>
      </c>
    </row>
    <row r="207" spans="1:19">
      <c r="A207" s="160"/>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2">
        <f t="shared" si="42"/>
        <v>0</v>
      </c>
    </row>
    <row r="208" spans="1:19">
      <c r="A208" s="160"/>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2">
        <f t="shared" si="42"/>
        <v>0</v>
      </c>
    </row>
    <row r="209" spans="1:19">
      <c r="A209" s="160"/>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2">
        <f t="shared" si="42"/>
        <v>0</v>
      </c>
    </row>
    <row r="210" spans="1:19">
      <c r="A210" s="160"/>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2">
        <f t="shared" si="42"/>
        <v>0</v>
      </c>
    </row>
    <row r="211" spans="1:19">
      <c r="A211" s="160"/>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2">
        <f t="shared" si="42"/>
        <v>0</v>
      </c>
    </row>
    <row r="212" spans="1:19">
      <c r="A212" s="160"/>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2">
        <f t="shared" si="42"/>
        <v>0</v>
      </c>
    </row>
    <row r="213" spans="1:19">
      <c r="A213" s="160"/>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2">
        <f t="shared" si="42"/>
        <v>0</v>
      </c>
    </row>
    <row r="214" spans="1:19">
      <c r="A214" s="160"/>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2">
        <f t="shared" si="42"/>
        <v>0</v>
      </c>
    </row>
    <row r="215" spans="1:19">
      <c r="A215" s="160"/>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2">
        <f t="shared" si="42"/>
        <v>0</v>
      </c>
    </row>
    <row r="216" spans="1:19">
      <c r="A216" s="160"/>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2">
        <f t="shared" si="42"/>
        <v>0</v>
      </c>
    </row>
    <row r="217" spans="1:19">
      <c r="A217" s="160"/>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2">
        <f t="shared" si="42"/>
        <v>0</v>
      </c>
    </row>
    <row r="218" spans="1:19">
      <c r="A218" s="160"/>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2">
        <f t="shared" si="42"/>
        <v>0</v>
      </c>
    </row>
    <row r="219" spans="1:19">
      <c r="A219" s="160"/>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2">
        <f t="shared" si="42"/>
        <v>0</v>
      </c>
    </row>
    <row r="220" spans="1:19">
      <c r="A220" s="160"/>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2">
        <f t="shared" si="42"/>
        <v>0</v>
      </c>
    </row>
    <row r="221" spans="1:19">
      <c r="A221" s="160"/>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2">
        <f t="shared" si="42"/>
        <v>0</v>
      </c>
    </row>
    <row r="222" spans="1:19">
      <c r="A222" s="160"/>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2">
        <f t="shared" si="42"/>
        <v>0</v>
      </c>
    </row>
    <row r="223" spans="1:19">
      <c r="A223" s="160"/>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2">
        <f t="shared" ref="S223:S286" si="52">ROUND(R223*B223/10000,0)</f>
        <v>0</v>
      </c>
    </row>
    <row r="224" spans="1:19">
      <c r="A224" s="160"/>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2">
        <f t="shared" si="52"/>
        <v>0</v>
      </c>
    </row>
    <row r="225" spans="1:19">
      <c r="A225" s="160"/>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2">
        <f t="shared" si="52"/>
        <v>0</v>
      </c>
    </row>
    <row r="226" spans="1:19">
      <c r="A226" s="160"/>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2">
        <f t="shared" si="52"/>
        <v>0</v>
      </c>
    </row>
    <row r="227" spans="1:19">
      <c r="A227" s="160"/>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2">
        <f t="shared" si="52"/>
        <v>0</v>
      </c>
    </row>
    <row r="228" spans="1:19">
      <c r="A228" s="160"/>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2">
        <f t="shared" si="52"/>
        <v>0</v>
      </c>
    </row>
    <row r="229" spans="1:19">
      <c r="A229" s="160"/>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2">
        <f t="shared" si="52"/>
        <v>0</v>
      </c>
    </row>
    <row r="230" spans="1:19">
      <c r="A230" s="160"/>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2">
        <f t="shared" si="52"/>
        <v>0</v>
      </c>
    </row>
    <row r="231" spans="1:19">
      <c r="A231" s="160"/>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2">
        <f t="shared" si="52"/>
        <v>0</v>
      </c>
    </row>
    <row r="232" spans="1:19">
      <c r="A232" s="160"/>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2">
        <f t="shared" si="52"/>
        <v>0</v>
      </c>
    </row>
    <row r="233" spans="1:19">
      <c r="A233" s="160"/>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2">
        <f t="shared" si="52"/>
        <v>0</v>
      </c>
    </row>
    <row r="234" spans="1:19">
      <c r="A234" s="160"/>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2">
        <f t="shared" si="52"/>
        <v>0</v>
      </c>
    </row>
    <row r="235" spans="1:19">
      <c r="A235" s="160"/>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2">
        <f t="shared" si="52"/>
        <v>0</v>
      </c>
    </row>
    <row r="236" spans="1:19">
      <c r="A236" s="160"/>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2">
        <f t="shared" si="52"/>
        <v>0</v>
      </c>
    </row>
    <row r="237" spans="1:19">
      <c r="A237" s="160"/>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2">
        <f t="shared" si="52"/>
        <v>0</v>
      </c>
    </row>
    <row r="238" spans="1:19">
      <c r="A238" s="160"/>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2">
        <f t="shared" si="52"/>
        <v>0</v>
      </c>
    </row>
    <row r="239" spans="1:19">
      <c r="A239" s="160"/>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2">
        <f t="shared" si="52"/>
        <v>0</v>
      </c>
    </row>
    <row r="240" spans="1:19">
      <c r="A240" s="160"/>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2">
        <f t="shared" si="52"/>
        <v>0</v>
      </c>
    </row>
    <row r="241" spans="1:19">
      <c r="A241" s="160"/>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2">
        <f t="shared" si="52"/>
        <v>0</v>
      </c>
    </row>
    <row r="242" spans="1:19">
      <c r="A242" s="160"/>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2">
        <f t="shared" si="52"/>
        <v>0</v>
      </c>
    </row>
    <row r="243" spans="1:19">
      <c r="A243" s="160"/>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2">
        <f t="shared" si="52"/>
        <v>0</v>
      </c>
    </row>
    <row r="244" spans="1:19">
      <c r="A244" s="160"/>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2">
        <f t="shared" si="52"/>
        <v>0</v>
      </c>
    </row>
    <row r="245" spans="1:19">
      <c r="A245" s="160"/>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2">
        <f t="shared" si="52"/>
        <v>0</v>
      </c>
    </row>
    <row r="246" spans="1:19">
      <c r="A246" s="160"/>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2">
        <f t="shared" si="52"/>
        <v>0</v>
      </c>
    </row>
    <row r="247" spans="1:19">
      <c r="A247" s="160"/>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2">
        <f t="shared" si="52"/>
        <v>0</v>
      </c>
    </row>
    <row r="248" spans="1:19">
      <c r="A248" s="160"/>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2">
        <f t="shared" si="52"/>
        <v>0</v>
      </c>
    </row>
    <row r="249" spans="1:19">
      <c r="A249" s="160"/>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2">
        <f t="shared" si="52"/>
        <v>0</v>
      </c>
    </row>
    <row r="250" spans="1:19">
      <c r="A250" s="160"/>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2">
        <f t="shared" si="52"/>
        <v>0</v>
      </c>
    </row>
    <row r="251" spans="1:19">
      <c r="A251" s="160"/>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2">
        <f t="shared" si="52"/>
        <v>0</v>
      </c>
    </row>
    <row r="252" spans="1:19">
      <c r="A252" s="160"/>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2">
        <f t="shared" si="52"/>
        <v>0</v>
      </c>
    </row>
    <row r="253" spans="1:19">
      <c r="A253" s="160"/>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2">
        <f t="shared" si="52"/>
        <v>0</v>
      </c>
    </row>
    <row r="254" spans="1:19">
      <c r="A254" s="160"/>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2">
        <f t="shared" si="52"/>
        <v>0</v>
      </c>
    </row>
    <row r="255" spans="1:19">
      <c r="A255" s="160"/>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2">
        <f t="shared" si="52"/>
        <v>0</v>
      </c>
    </row>
    <row r="256" spans="1:19">
      <c r="A256" s="160"/>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2">
        <f t="shared" si="52"/>
        <v>0</v>
      </c>
    </row>
    <row r="257" spans="1:19">
      <c r="A257" s="160"/>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2">
        <f t="shared" si="52"/>
        <v>0</v>
      </c>
    </row>
    <row r="258" spans="1:19">
      <c r="A258" s="160"/>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2">
        <f t="shared" si="52"/>
        <v>0</v>
      </c>
    </row>
    <row r="259" spans="1:19">
      <c r="A259" s="160"/>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2">
        <f t="shared" si="52"/>
        <v>0</v>
      </c>
    </row>
    <row r="260" spans="1:19">
      <c r="A260" s="160"/>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2">
        <f t="shared" si="52"/>
        <v>0</v>
      </c>
    </row>
    <row r="261" spans="1:19">
      <c r="A261" s="160"/>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2">
        <f t="shared" si="52"/>
        <v>0</v>
      </c>
    </row>
    <row r="262" spans="1:19">
      <c r="A262" s="160"/>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2">
        <f t="shared" si="52"/>
        <v>0</v>
      </c>
    </row>
    <row r="263" spans="1:19">
      <c r="A263" s="160"/>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2">
        <f t="shared" si="52"/>
        <v>0</v>
      </c>
    </row>
    <row r="264" spans="1:19">
      <c r="A264" s="160"/>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2">
        <f t="shared" si="52"/>
        <v>0</v>
      </c>
    </row>
    <row r="265" spans="1:19">
      <c r="A265" s="160"/>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2">
        <f t="shared" si="52"/>
        <v>0</v>
      </c>
    </row>
    <row r="266" spans="1:19">
      <c r="A266" s="160"/>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2">
        <f t="shared" si="52"/>
        <v>0</v>
      </c>
    </row>
    <row r="267" spans="1:19">
      <c r="A267" s="160"/>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2">
        <f t="shared" si="52"/>
        <v>0</v>
      </c>
    </row>
    <row r="268" spans="1:19">
      <c r="A268" s="160"/>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2">
        <f t="shared" si="52"/>
        <v>0</v>
      </c>
    </row>
    <row r="269" spans="1:19">
      <c r="A269" s="160"/>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2">
        <f t="shared" si="52"/>
        <v>0</v>
      </c>
    </row>
    <row r="270" spans="1:19">
      <c r="A270" s="160"/>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2">
        <f t="shared" si="52"/>
        <v>0</v>
      </c>
    </row>
    <row r="271" spans="1:19">
      <c r="A271" s="160"/>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2">
        <f t="shared" si="52"/>
        <v>0</v>
      </c>
    </row>
    <row r="272" spans="1:19">
      <c r="A272" s="160"/>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2">
        <f t="shared" si="52"/>
        <v>0</v>
      </c>
    </row>
    <row r="273" spans="1:19">
      <c r="A273" s="160"/>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2">
        <f t="shared" si="52"/>
        <v>0</v>
      </c>
    </row>
    <row r="274" spans="1:19">
      <c r="A274" s="160"/>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2">
        <f t="shared" si="52"/>
        <v>0</v>
      </c>
    </row>
    <row r="275" spans="1:19">
      <c r="A275" s="160"/>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2">
        <f t="shared" si="52"/>
        <v>0</v>
      </c>
    </row>
    <row r="276" spans="1:19">
      <c r="A276" s="160"/>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2">
        <f t="shared" si="52"/>
        <v>0</v>
      </c>
    </row>
    <row r="277" spans="1:19">
      <c r="A277" s="160"/>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2">
        <f t="shared" si="52"/>
        <v>0</v>
      </c>
    </row>
    <row r="278" spans="1:19">
      <c r="A278" s="160"/>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2">
        <f t="shared" si="52"/>
        <v>0</v>
      </c>
    </row>
    <row r="279" spans="1:19">
      <c r="A279" s="160"/>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2">
        <f t="shared" si="52"/>
        <v>0</v>
      </c>
    </row>
    <row r="280" spans="1:19">
      <c r="A280" s="160"/>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2">
        <f t="shared" si="52"/>
        <v>0</v>
      </c>
    </row>
    <row r="281" spans="1:19">
      <c r="A281" s="160"/>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2">
        <f t="shared" si="52"/>
        <v>0</v>
      </c>
    </row>
    <row r="282" spans="1:19">
      <c r="A282" s="160"/>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2">
        <f t="shared" si="52"/>
        <v>0</v>
      </c>
    </row>
    <row r="283" spans="1:19">
      <c r="A283" s="160"/>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2">
        <f t="shared" si="52"/>
        <v>0</v>
      </c>
    </row>
    <row r="284" spans="1:19">
      <c r="A284" s="160"/>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2">
        <f t="shared" si="52"/>
        <v>0</v>
      </c>
    </row>
    <row r="285" spans="1:19">
      <c r="A285" s="160"/>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2">
        <f t="shared" si="52"/>
        <v>0</v>
      </c>
    </row>
    <row r="286" spans="1:19">
      <c r="A286" s="160"/>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2">
        <f t="shared" si="52"/>
        <v>0</v>
      </c>
    </row>
    <row r="287" spans="1:19">
      <c r="A287" s="160"/>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2">
        <f t="shared" ref="S287:S320" si="62">ROUND(R287*B287/10000,0)</f>
        <v>0</v>
      </c>
    </row>
    <row r="288" spans="1:19">
      <c r="A288" s="160"/>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2">
        <f t="shared" si="62"/>
        <v>0</v>
      </c>
    </row>
    <row r="289" spans="1:19">
      <c r="A289" s="160"/>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2">
        <f t="shared" si="62"/>
        <v>0</v>
      </c>
    </row>
    <row r="290" spans="1:19">
      <c r="A290" s="160"/>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2">
        <f t="shared" si="62"/>
        <v>0</v>
      </c>
    </row>
    <row r="291" spans="1:19">
      <c r="A291" s="160"/>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2">
        <f t="shared" si="62"/>
        <v>0</v>
      </c>
    </row>
    <row r="292" spans="1:19">
      <c r="A292" s="160"/>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2">
        <f t="shared" si="62"/>
        <v>0</v>
      </c>
    </row>
    <row r="293" spans="1:19">
      <c r="A293" s="160"/>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2">
        <f t="shared" si="62"/>
        <v>0</v>
      </c>
    </row>
    <row r="294" spans="1:19">
      <c r="A294" s="160"/>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2">
        <f t="shared" si="62"/>
        <v>0</v>
      </c>
    </row>
    <row r="295" spans="1:19">
      <c r="A295" s="160"/>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2">
        <f t="shared" si="62"/>
        <v>0</v>
      </c>
    </row>
    <row r="296" spans="1:19">
      <c r="A296" s="160"/>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2">
        <f t="shared" si="62"/>
        <v>0</v>
      </c>
    </row>
    <row r="297" spans="1:19">
      <c r="A297" s="160"/>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2">
        <f t="shared" si="62"/>
        <v>0</v>
      </c>
    </row>
    <row r="298" spans="1:19">
      <c r="A298" s="160"/>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2">
        <f t="shared" si="62"/>
        <v>0</v>
      </c>
    </row>
    <row r="299" spans="1:19">
      <c r="A299" s="160"/>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2">
        <f t="shared" si="62"/>
        <v>0</v>
      </c>
    </row>
    <row r="300" spans="1:19">
      <c r="A300" s="160"/>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2">
        <f t="shared" si="62"/>
        <v>0</v>
      </c>
    </row>
    <row r="301" spans="1:19">
      <c r="A301" s="160"/>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2">
        <f t="shared" si="62"/>
        <v>0</v>
      </c>
    </row>
    <row r="302" spans="1:19">
      <c r="A302" s="160"/>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2">
        <f t="shared" si="62"/>
        <v>0</v>
      </c>
    </row>
    <row r="303" spans="1:19">
      <c r="A303" s="160"/>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2">
        <f t="shared" si="62"/>
        <v>0</v>
      </c>
    </row>
    <row r="304" spans="1:19">
      <c r="A304" s="160"/>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2">
        <f t="shared" si="62"/>
        <v>0</v>
      </c>
    </row>
    <row r="305" spans="1:19">
      <c r="A305" s="160"/>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2">
        <f t="shared" si="62"/>
        <v>0</v>
      </c>
    </row>
    <row r="306" spans="1:19">
      <c r="A306" s="160"/>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2">
        <f t="shared" si="62"/>
        <v>0</v>
      </c>
    </row>
    <row r="307" spans="1:19">
      <c r="A307" s="160"/>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2">
        <f t="shared" si="62"/>
        <v>0</v>
      </c>
    </row>
    <row r="308" spans="1:19">
      <c r="A308" s="160"/>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2">
        <f t="shared" si="62"/>
        <v>0</v>
      </c>
    </row>
    <row r="309" spans="1:19">
      <c r="A309" s="160"/>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2">
        <f t="shared" si="62"/>
        <v>0</v>
      </c>
    </row>
    <row r="310" spans="1:19">
      <c r="A310" s="160"/>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2">
        <f t="shared" si="62"/>
        <v>0</v>
      </c>
    </row>
    <row r="311" spans="1:19">
      <c r="A311" s="160"/>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2">
        <f t="shared" si="62"/>
        <v>0</v>
      </c>
    </row>
    <row r="312" spans="1:19">
      <c r="A312" s="160"/>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2">
        <f t="shared" si="62"/>
        <v>0</v>
      </c>
    </row>
    <row r="313" spans="1:19">
      <c r="A313" s="160"/>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2">
        <f t="shared" si="62"/>
        <v>0</v>
      </c>
    </row>
    <row r="314" spans="1:19">
      <c r="A314" s="160"/>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2">
        <f t="shared" si="62"/>
        <v>0</v>
      </c>
    </row>
    <row r="315" spans="1:19">
      <c r="A315" s="160"/>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2">
        <f t="shared" si="62"/>
        <v>0</v>
      </c>
    </row>
    <row r="316" spans="1:19">
      <c r="A316" s="160"/>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2">
        <f t="shared" si="62"/>
        <v>0</v>
      </c>
    </row>
    <row r="317" spans="1:19">
      <c r="A317" s="160"/>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2">
        <f t="shared" si="62"/>
        <v>0</v>
      </c>
    </row>
    <row r="318" spans="1:19">
      <c r="A318" s="160"/>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2">
        <f t="shared" si="62"/>
        <v>0</v>
      </c>
    </row>
    <row r="319" spans="1:19">
      <c r="A319" s="160"/>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2">
        <f t="shared" si="62"/>
        <v>0</v>
      </c>
    </row>
    <row r="320" spans="1:19">
      <c r="A320" s="160"/>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2">
        <f t="shared" si="62"/>
        <v>0</v>
      </c>
    </row>
    <row r="321" spans="1:19">
      <c r="A321" s="160"/>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2">
        <f t="shared" ref="S321:S384" si="63">ROUND(R321*B321/10000,0)</f>
        <v>0</v>
      </c>
    </row>
    <row r="322" spans="1:19">
      <c r="A322" s="160"/>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2">
        <f t="shared" si="63"/>
        <v>0</v>
      </c>
    </row>
    <row r="323" spans="1:19">
      <c r="A323" s="160"/>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2">
        <f t="shared" si="63"/>
        <v>0</v>
      </c>
    </row>
    <row r="324" spans="1:19">
      <c r="A324" s="160"/>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2">
        <f t="shared" si="63"/>
        <v>0</v>
      </c>
    </row>
    <row r="325" spans="1:19">
      <c r="A325" s="160"/>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2">
        <f t="shared" si="63"/>
        <v>0</v>
      </c>
    </row>
    <row r="326" spans="1:19">
      <c r="A326" s="160"/>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2">
        <f t="shared" si="63"/>
        <v>0</v>
      </c>
    </row>
    <row r="327" spans="1:19">
      <c r="A327" s="160"/>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2">
        <f t="shared" si="63"/>
        <v>0</v>
      </c>
    </row>
    <row r="328" spans="1:19">
      <c r="A328" s="160"/>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2">
        <f t="shared" si="63"/>
        <v>0</v>
      </c>
    </row>
    <row r="329" spans="1:19">
      <c r="A329" s="160"/>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2">
        <f t="shared" si="63"/>
        <v>0</v>
      </c>
    </row>
    <row r="330" spans="1:19">
      <c r="A330" s="160"/>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2">
        <f t="shared" si="63"/>
        <v>0</v>
      </c>
    </row>
    <row r="331" spans="1:19">
      <c r="A331" s="160"/>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2">
        <f t="shared" si="63"/>
        <v>0</v>
      </c>
    </row>
    <row r="332" spans="1:19">
      <c r="A332" s="160"/>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2">
        <f t="shared" si="63"/>
        <v>0</v>
      </c>
    </row>
    <row r="333" spans="1:19">
      <c r="A333" s="160"/>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2">
        <f t="shared" si="63"/>
        <v>0</v>
      </c>
    </row>
    <row r="334" spans="1:19">
      <c r="A334" s="160"/>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2">
        <f t="shared" si="63"/>
        <v>0</v>
      </c>
    </row>
    <row r="335" spans="1:19">
      <c r="A335" s="160"/>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2">
        <f t="shared" si="63"/>
        <v>0</v>
      </c>
    </row>
    <row r="336" spans="1:19">
      <c r="A336" s="160"/>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2">
        <f t="shared" si="63"/>
        <v>0</v>
      </c>
    </row>
    <row r="337" spans="1:19">
      <c r="A337" s="160"/>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2">
        <f t="shared" si="63"/>
        <v>0</v>
      </c>
    </row>
    <row r="338" spans="1:19">
      <c r="A338" s="160"/>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2">
        <f t="shared" si="63"/>
        <v>0</v>
      </c>
    </row>
    <row r="339" spans="1:19">
      <c r="A339" s="160"/>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2">
        <f t="shared" si="63"/>
        <v>0</v>
      </c>
    </row>
    <row r="340" spans="1:19">
      <c r="A340" s="160"/>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2">
        <f t="shared" si="63"/>
        <v>0</v>
      </c>
    </row>
    <row r="341" spans="1:19">
      <c r="A341" s="160"/>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2">
        <f t="shared" si="63"/>
        <v>0</v>
      </c>
    </row>
    <row r="342" spans="1:19">
      <c r="A342" s="160"/>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2">
        <f t="shared" si="63"/>
        <v>0</v>
      </c>
    </row>
    <row r="343" spans="1:19">
      <c r="A343" s="160"/>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2">
        <f t="shared" si="63"/>
        <v>0</v>
      </c>
    </row>
    <row r="344" spans="1:19">
      <c r="A344" s="160"/>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2">
        <f t="shared" si="63"/>
        <v>0</v>
      </c>
    </row>
    <row r="345" spans="1:19">
      <c r="A345" s="160"/>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2">
        <f t="shared" si="63"/>
        <v>0</v>
      </c>
    </row>
    <row r="346" spans="1:19">
      <c r="A346" s="160"/>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2">
        <f t="shared" si="63"/>
        <v>0</v>
      </c>
    </row>
    <row r="347" spans="1:19">
      <c r="A347" s="160"/>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2">
        <f t="shared" si="63"/>
        <v>0</v>
      </c>
    </row>
    <row r="348" spans="1:19">
      <c r="A348" s="160"/>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2">
        <f t="shared" si="63"/>
        <v>0</v>
      </c>
    </row>
    <row r="349" spans="1:19">
      <c r="A349" s="160"/>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2">
        <f t="shared" si="63"/>
        <v>0</v>
      </c>
    </row>
    <row r="350" spans="1:19">
      <c r="A350" s="160"/>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2">
        <f t="shared" si="63"/>
        <v>0</v>
      </c>
    </row>
    <row r="351" spans="1:19">
      <c r="A351" s="160"/>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2">
        <f t="shared" si="63"/>
        <v>0</v>
      </c>
    </row>
    <row r="352" spans="1:19">
      <c r="A352" s="160"/>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2">
        <f t="shared" si="63"/>
        <v>0</v>
      </c>
    </row>
    <row r="353" spans="1:19">
      <c r="A353" s="160"/>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2">
        <f t="shared" si="63"/>
        <v>0</v>
      </c>
    </row>
    <row r="354" spans="1:19">
      <c r="A354" s="160"/>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2">
        <f t="shared" si="63"/>
        <v>0</v>
      </c>
    </row>
    <row r="355" spans="1:19">
      <c r="A355" s="160"/>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2">
        <f t="shared" si="63"/>
        <v>0</v>
      </c>
    </row>
    <row r="356" spans="1:19">
      <c r="A356" s="160"/>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2">
        <f t="shared" si="63"/>
        <v>0</v>
      </c>
    </row>
    <row r="357" spans="1:19">
      <c r="A357" s="160"/>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2">
        <f t="shared" si="63"/>
        <v>0</v>
      </c>
    </row>
    <row r="358" spans="1:19">
      <c r="A358" s="160"/>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2">
        <f t="shared" si="63"/>
        <v>0</v>
      </c>
    </row>
    <row r="359" spans="1:19">
      <c r="A359" s="160"/>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2">
        <f t="shared" si="63"/>
        <v>0</v>
      </c>
    </row>
    <row r="360" spans="1:19">
      <c r="A360" s="160"/>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2">
        <f t="shared" si="63"/>
        <v>0</v>
      </c>
    </row>
    <row r="361" spans="1:19">
      <c r="A361" s="160"/>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2">
        <f t="shared" si="63"/>
        <v>0</v>
      </c>
    </row>
    <row r="362" spans="1:19">
      <c r="A362" s="160"/>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2">
        <f t="shared" si="63"/>
        <v>0</v>
      </c>
    </row>
    <row r="363" spans="1:19">
      <c r="A363" s="160"/>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2">
        <f t="shared" si="63"/>
        <v>0</v>
      </c>
    </row>
    <row r="364" spans="1:19">
      <c r="A364" s="160"/>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2">
        <f t="shared" si="63"/>
        <v>0</v>
      </c>
    </row>
    <row r="365" spans="1:19">
      <c r="A365" s="160"/>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2">
        <f t="shared" si="63"/>
        <v>0</v>
      </c>
    </row>
    <row r="366" spans="1:19">
      <c r="A366" s="160"/>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2">
        <f t="shared" si="63"/>
        <v>0</v>
      </c>
    </row>
    <row r="367" spans="1:19">
      <c r="A367" s="160"/>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2">
        <f t="shared" si="63"/>
        <v>0</v>
      </c>
    </row>
    <row r="368" spans="1:19">
      <c r="A368" s="160"/>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2">
        <f t="shared" si="63"/>
        <v>0</v>
      </c>
    </row>
    <row r="369" spans="1:19">
      <c r="A369" s="160"/>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2">
        <f t="shared" si="63"/>
        <v>0</v>
      </c>
    </row>
    <row r="370" spans="1:19">
      <c r="A370" s="160"/>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2">
        <f t="shared" si="63"/>
        <v>0</v>
      </c>
    </row>
    <row r="371" spans="1:19">
      <c r="A371" s="160"/>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2">
        <f t="shared" si="63"/>
        <v>0</v>
      </c>
    </row>
    <row r="372" spans="1:19">
      <c r="A372" s="160"/>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2">
        <f t="shared" si="63"/>
        <v>0</v>
      </c>
    </row>
    <row r="373" spans="1:19">
      <c r="A373" s="160"/>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2">
        <f t="shared" si="63"/>
        <v>0</v>
      </c>
    </row>
    <row r="374" spans="1:19">
      <c r="A374" s="160"/>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2">
        <f t="shared" si="63"/>
        <v>0</v>
      </c>
    </row>
    <row r="375" spans="1:19">
      <c r="A375" s="160"/>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2">
        <f t="shared" si="63"/>
        <v>0</v>
      </c>
    </row>
    <row r="376" spans="1:19">
      <c r="A376" s="160"/>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2">
        <f t="shared" si="63"/>
        <v>0</v>
      </c>
    </row>
    <row r="377" spans="1:19">
      <c r="A377" s="160"/>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2">
        <f t="shared" si="63"/>
        <v>0</v>
      </c>
    </row>
    <row r="378" spans="1:19">
      <c r="A378" s="160"/>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2">
        <f t="shared" si="63"/>
        <v>0</v>
      </c>
    </row>
    <row r="379" spans="1:19">
      <c r="A379" s="160"/>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2">
        <f t="shared" si="63"/>
        <v>0</v>
      </c>
    </row>
    <row r="380" spans="1:19">
      <c r="A380" s="160"/>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2">
        <f t="shared" si="63"/>
        <v>0</v>
      </c>
    </row>
    <row r="381" spans="1:19">
      <c r="A381" s="160"/>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2">
        <f t="shared" si="63"/>
        <v>0</v>
      </c>
    </row>
    <row r="382" spans="1:19">
      <c r="A382" s="160"/>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2">
        <f t="shared" si="63"/>
        <v>0</v>
      </c>
    </row>
    <row r="383" spans="1:19">
      <c r="A383" s="160"/>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2">
        <f t="shared" si="63"/>
        <v>0</v>
      </c>
    </row>
    <row r="384" spans="1:19">
      <c r="A384" s="160"/>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2">
        <f t="shared" si="63"/>
        <v>0</v>
      </c>
    </row>
    <row r="385" spans="1:19">
      <c r="A385" s="160"/>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2">
        <f t="shared" ref="S385:S422" si="73">ROUND(R385*B385/10000,0)</f>
        <v>0</v>
      </c>
    </row>
    <row r="386" spans="1:19">
      <c r="A386" s="160"/>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2">
        <f t="shared" si="73"/>
        <v>0</v>
      </c>
    </row>
    <row r="387" spans="1:19">
      <c r="A387" s="160"/>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2">
        <f t="shared" si="73"/>
        <v>0</v>
      </c>
    </row>
    <row r="388" spans="1:19">
      <c r="A388" s="160"/>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2">
        <f t="shared" si="73"/>
        <v>0</v>
      </c>
    </row>
    <row r="389" spans="1:19">
      <c r="A389" s="160"/>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2">
        <f t="shared" si="73"/>
        <v>0</v>
      </c>
    </row>
    <row r="390" spans="1:19">
      <c r="A390" s="160"/>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2">
        <f t="shared" si="73"/>
        <v>0</v>
      </c>
    </row>
    <row r="391" spans="1:19">
      <c r="A391" s="160"/>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2">
        <f t="shared" si="73"/>
        <v>0</v>
      </c>
    </row>
    <row r="392" spans="1:19">
      <c r="A392" s="160"/>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2">
        <f t="shared" si="73"/>
        <v>0</v>
      </c>
    </row>
    <row r="393" spans="1:19">
      <c r="A393" s="160"/>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2">
        <f t="shared" si="73"/>
        <v>0</v>
      </c>
    </row>
    <row r="394" spans="1:19">
      <c r="A394" s="160"/>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2">
        <f t="shared" si="73"/>
        <v>0</v>
      </c>
    </row>
    <row r="395" spans="1:19">
      <c r="A395" s="160"/>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2">
        <f t="shared" si="73"/>
        <v>0</v>
      </c>
    </row>
    <row r="396" spans="1:19">
      <c r="A396" s="160"/>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2">
        <f t="shared" si="73"/>
        <v>0</v>
      </c>
    </row>
    <row r="397" spans="1:19">
      <c r="A397" s="160"/>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2">
        <f t="shared" si="73"/>
        <v>0</v>
      </c>
    </row>
    <row r="398" spans="1:19">
      <c r="A398" s="160"/>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2">
        <f t="shared" si="73"/>
        <v>0</v>
      </c>
    </row>
    <row r="399" spans="1:19">
      <c r="A399" s="160"/>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2">
        <f t="shared" si="73"/>
        <v>0</v>
      </c>
    </row>
    <row r="400" spans="1:19">
      <c r="A400" s="160"/>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2">
        <f t="shared" si="73"/>
        <v>0</v>
      </c>
    </row>
    <row r="401" spans="1:19">
      <c r="A401" s="160"/>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2">
        <f t="shared" si="73"/>
        <v>0</v>
      </c>
    </row>
    <row r="402" spans="1:19">
      <c r="A402" s="160"/>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2">
        <f t="shared" si="73"/>
        <v>0</v>
      </c>
    </row>
    <row r="403" spans="1:19">
      <c r="A403" s="160"/>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2">
        <f t="shared" si="73"/>
        <v>0</v>
      </c>
    </row>
    <row r="404" spans="1:19">
      <c r="A404" s="160"/>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2">
        <f t="shared" si="73"/>
        <v>0</v>
      </c>
    </row>
    <row r="405" spans="1:19">
      <c r="A405" s="160"/>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2">
        <f t="shared" si="73"/>
        <v>0</v>
      </c>
    </row>
    <row r="406" spans="1:19">
      <c r="A406" s="160"/>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2">
        <f t="shared" si="73"/>
        <v>0</v>
      </c>
    </row>
    <row r="407" spans="1:19">
      <c r="A407" s="160"/>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2">
        <f t="shared" si="73"/>
        <v>0</v>
      </c>
    </row>
    <row r="408" spans="1:19">
      <c r="A408" s="160"/>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2">
        <f t="shared" si="73"/>
        <v>0</v>
      </c>
    </row>
    <row r="409" spans="1:19">
      <c r="A409" s="160"/>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2">
        <f t="shared" si="73"/>
        <v>0</v>
      </c>
    </row>
    <row r="410" spans="1:19">
      <c r="A410" s="160"/>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2">
        <f t="shared" si="73"/>
        <v>0</v>
      </c>
    </row>
    <row r="411" spans="1:19">
      <c r="A411" s="160"/>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2">
        <f t="shared" si="73"/>
        <v>0</v>
      </c>
    </row>
    <row r="412" spans="1:19">
      <c r="A412" s="160"/>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2">
        <f t="shared" si="73"/>
        <v>0</v>
      </c>
    </row>
    <row r="413" spans="1:19">
      <c r="A413" s="160"/>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2">
        <f t="shared" si="73"/>
        <v>0</v>
      </c>
    </row>
    <row r="414" spans="1:19">
      <c r="A414" s="160"/>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2">
        <f t="shared" si="73"/>
        <v>0</v>
      </c>
    </row>
    <row r="415" spans="1:19">
      <c r="A415" s="160"/>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2">
        <f t="shared" si="73"/>
        <v>0</v>
      </c>
    </row>
    <row r="416" spans="1:19">
      <c r="A416" s="160"/>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2">
        <f t="shared" si="73"/>
        <v>0</v>
      </c>
    </row>
    <row r="417" spans="1:19">
      <c r="A417" s="160"/>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2">
        <f t="shared" si="73"/>
        <v>0</v>
      </c>
    </row>
    <row r="418" spans="1:19">
      <c r="A418" s="160"/>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2">
        <f t="shared" si="73"/>
        <v>0</v>
      </c>
    </row>
    <row r="419" spans="1:19">
      <c r="A419" s="160"/>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2">
        <f t="shared" si="73"/>
        <v>0</v>
      </c>
    </row>
    <row r="420" spans="1:19">
      <c r="A420" s="160"/>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2">
        <f t="shared" si="73"/>
        <v>0</v>
      </c>
    </row>
    <row r="421" spans="1:19">
      <c r="A421" s="160"/>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2">
        <f t="shared" si="73"/>
        <v>0</v>
      </c>
    </row>
    <row r="422" spans="1:19">
      <c r="A422" s="160"/>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2">
        <f t="shared" si="73"/>
        <v>0</v>
      </c>
    </row>
    <row r="423" spans="1:19">
      <c r="A423" s="160"/>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2">
        <f t="shared" ref="S423:S467" si="83">ROUND(R423*B423/10000,0)</f>
        <v>0</v>
      </c>
    </row>
    <row r="424" spans="1:19">
      <c r="A424" s="160"/>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2">
        <f t="shared" si="83"/>
        <v>0</v>
      </c>
    </row>
    <row r="425" spans="1:19">
      <c r="A425" s="160"/>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2">
        <f t="shared" si="83"/>
        <v>0</v>
      </c>
    </row>
    <row r="426" spans="1:19">
      <c r="A426" s="160"/>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2">
        <f t="shared" si="83"/>
        <v>0</v>
      </c>
    </row>
    <row r="427" spans="1:19">
      <c r="A427" s="160"/>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2">
        <f t="shared" si="83"/>
        <v>0</v>
      </c>
    </row>
    <row r="428" spans="1:19">
      <c r="A428" s="160"/>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2">
        <f t="shared" si="83"/>
        <v>0</v>
      </c>
    </row>
    <row r="429" spans="1:19">
      <c r="A429" s="160"/>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2">
        <f t="shared" si="83"/>
        <v>0</v>
      </c>
    </row>
    <row r="430" spans="1:19">
      <c r="A430" s="160"/>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2">
        <f t="shared" si="83"/>
        <v>0</v>
      </c>
    </row>
    <row r="431" spans="1:19">
      <c r="A431" s="160"/>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2">
        <f t="shared" si="83"/>
        <v>0</v>
      </c>
    </row>
    <row r="432" spans="1:19">
      <c r="A432" s="160"/>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2">
        <f t="shared" si="83"/>
        <v>0</v>
      </c>
    </row>
    <row r="433" spans="1:19">
      <c r="A433" s="160"/>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2">
        <f t="shared" si="83"/>
        <v>0</v>
      </c>
    </row>
    <row r="434" spans="1:19">
      <c r="A434" s="160"/>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2">
        <f t="shared" si="83"/>
        <v>0</v>
      </c>
    </row>
    <row r="435" spans="1:19">
      <c r="A435" s="160"/>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2">
        <f t="shared" si="83"/>
        <v>0</v>
      </c>
    </row>
    <row r="436" spans="1:19">
      <c r="A436" s="160"/>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2">
        <f t="shared" si="83"/>
        <v>0</v>
      </c>
    </row>
    <row r="437" spans="1:19">
      <c r="A437" s="160"/>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2">
        <f t="shared" si="83"/>
        <v>0</v>
      </c>
    </row>
    <row r="438" spans="1:19">
      <c r="A438" s="160"/>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2">
        <f t="shared" si="83"/>
        <v>0</v>
      </c>
    </row>
    <row r="439" spans="1:19">
      <c r="A439" s="160"/>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2">
        <f t="shared" si="83"/>
        <v>0</v>
      </c>
    </row>
    <row r="440" spans="1:19">
      <c r="A440" s="160"/>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2">
        <f t="shared" si="83"/>
        <v>0</v>
      </c>
    </row>
    <row r="441" spans="1:19">
      <c r="A441" s="160"/>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2">
        <f t="shared" si="83"/>
        <v>0</v>
      </c>
    </row>
    <row r="442" spans="1:19">
      <c r="A442" s="160"/>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2">
        <f t="shared" si="83"/>
        <v>0</v>
      </c>
    </row>
    <row r="443" spans="1:19">
      <c r="A443" s="160"/>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2">
        <f t="shared" si="83"/>
        <v>0</v>
      </c>
    </row>
    <row r="444" spans="1:19">
      <c r="A444" s="160"/>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2">
        <f t="shared" si="83"/>
        <v>0</v>
      </c>
    </row>
    <row r="445" spans="1:19">
      <c r="A445" s="160"/>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2">
        <f t="shared" si="83"/>
        <v>0</v>
      </c>
    </row>
    <row r="446" spans="1:19">
      <c r="A446" s="160"/>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2">
        <f t="shared" si="83"/>
        <v>0</v>
      </c>
    </row>
    <row r="447" spans="1:19">
      <c r="A447" s="160"/>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2">
        <f t="shared" si="83"/>
        <v>0</v>
      </c>
    </row>
    <row r="448" spans="1:19">
      <c r="A448" s="160"/>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2">
        <f t="shared" si="83"/>
        <v>0</v>
      </c>
    </row>
    <row r="449" spans="1:19">
      <c r="A449" s="160"/>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2">
        <f t="shared" si="83"/>
        <v>0</v>
      </c>
    </row>
    <row r="450" spans="1:19">
      <c r="A450" s="160"/>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2">
        <f t="shared" si="83"/>
        <v>0</v>
      </c>
    </row>
    <row r="451" spans="1:19">
      <c r="A451" s="160"/>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2">
        <f t="shared" si="83"/>
        <v>0</v>
      </c>
    </row>
    <row r="452" spans="1:19">
      <c r="A452" s="160"/>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2">
        <f t="shared" si="83"/>
        <v>0</v>
      </c>
    </row>
    <row r="453" spans="1:19">
      <c r="A453" s="160"/>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2">
        <f t="shared" si="83"/>
        <v>0</v>
      </c>
    </row>
    <row r="454" spans="1:19">
      <c r="A454" s="160"/>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2">
        <f t="shared" si="83"/>
        <v>0</v>
      </c>
    </row>
    <row r="455" spans="1:19">
      <c r="A455" s="160"/>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2">
        <f t="shared" si="83"/>
        <v>0</v>
      </c>
    </row>
    <row r="456" spans="1:19">
      <c r="A456" s="160"/>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2">
        <f t="shared" si="83"/>
        <v>0</v>
      </c>
    </row>
    <row r="457" spans="1:19">
      <c r="A457" s="160"/>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2">
        <f t="shared" si="83"/>
        <v>0</v>
      </c>
    </row>
    <row r="458" spans="1:19">
      <c r="A458" s="160"/>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2">
        <f t="shared" si="83"/>
        <v>0</v>
      </c>
    </row>
    <row r="459" spans="1:19">
      <c r="A459" s="160"/>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2">
        <f t="shared" si="83"/>
        <v>0</v>
      </c>
    </row>
    <row r="460" spans="1:19">
      <c r="A460" s="160"/>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2">
        <f t="shared" si="83"/>
        <v>0</v>
      </c>
    </row>
    <row r="461" spans="1:19">
      <c r="A461" s="160"/>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2">
        <f t="shared" si="83"/>
        <v>0</v>
      </c>
    </row>
    <row r="462" spans="1:19">
      <c r="A462" s="160"/>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2">
        <f t="shared" si="83"/>
        <v>0</v>
      </c>
    </row>
    <row r="463" spans="1:19">
      <c r="A463" s="160"/>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2">
        <f t="shared" si="83"/>
        <v>0</v>
      </c>
    </row>
    <row r="464" spans="1:19">
      <c r="A464" s="160"/>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2">
        <f t="shared" si="83"/>
        <v>0</v>
      </c>
    </row>
    <row r="465" spans="1:19">
      <c r="A465" s="160"/>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2">
        <f t="shared" si="83"/>
        <v>0</v>
      </c>
    </row>
    <row r="466" spans="1:19">
      <c r="A466" s="160"/>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2">
        <f t="shared" si="83"/>
        <v>0</v>
      </c>
    </row>
    <row r="467" spans="1:19">
      <c r="A467" s="160"/>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2">
        <f t="shared" si="83"/>
        <v>0</v>
      </c>
    </row>
    <row r="468" spans="1:19">
      <c r="A468" s="160"/>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2">
        <f t="shared" ref="S468:S497" si="84">ROUND(R468*B468/10000,0)</f>
        <v>0</v>
      </c>
    </row>
    <row r="469" spans="1:19">
      <c r="A469" s="160"/>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2">
        <f t="shared" si="84"/>
        <v>0</v>
      </c>
    </row>
    <row r="470" spans="1:19">
      <c r="A470" s="160"/>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2">
        <f t="shared" si="84"/>
        <v>0</v>
      </c>
    </row>
    <row r="471" spans="1:19">
      <c r="A471" s="160"/>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2">
        <f t="shared" si="84"/>
        <v>0</v>
      </c>
    </row>
    <row r="472" spans="1:19">
      <c r="A472" s="160"/>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2">
        <f t="shared" si="84"/>
        <v>0</v>
      </c>
    </row>
    <row r="473" spans="1:19">
      <c r="A473" s="160"/>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2">
        <f t="shared" si="84"/>
        <v>0</v>
      </c>
    </row>
    <row r="474" spans="1:19">
      <c r="A474" s="160"/>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2">
        <f t="shared" si="84"/>
        <v>0</v>
      </c>
    </row>
    <row r="475" spans="1:19">
      <c r="A475" s="160"/>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2">
        <f t="shared" si="84"/>
        <v>0</v>
      </c>
    </row>
    <row r="476" spans="1:19">
      <c r="A476" s="160"/>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2">
        <f t="shared" si="84"/>
        <v>0</v>
      </c>
    </row>
    <row r="477" spans="1:19">
      <c r="A477" s="160"/>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2">
        <f t="shared" si="84"/>
        <v>0</v>
      </c>
    </row>
    <row r="478" spans="1:19">
      <c r="A478" s="160"/>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2">
        <f t="shared" si="84"/>
        <v>0</v>
      </c>
    </row>
    <row r="479" spans="1:19">
      <c r="A479" s="160"/>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2">
        <f t="shared" si="84"/>
        <v>0</v>
      </c>
    </row>
    <row r="480" spans="1:19">
      <c r="A480" s="160"/>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2">
        <f t="shared" si="84"/>
        <v>0</v>
      </c>
    </row>
    <row r="481" spans="1:19">
      <c r="A481" s="160"/>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2">
        <f t="shared" si="84"/>
        <v>0</v>
      </c>
    </row>
    <row r="482" spans="1:19">
      <c r="A482" s="160"/>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2">
        <f t="shared" si="84"/>
        <v>0</v>
      </c>
    </row>
    <row r="483" spans="1:19">
      <c r="A483" s="160"/>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2">
        <f t="shared" si="84"/>
        <v>0</v>
      </c>
    </row>
    <row r="484" spans="1:19">
      <c r="A484" s="160"/>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2">
        <f t="shared" si="84"/>
        <v>0</v>
      </c>
    </row>
    <row r="485" spans="1:19">
      <c r="A485" s="160"/>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2">
        <f t="shared" si="84"/>
        <v>0</v>
      </c>
    </row>
    <row r="486" spans="1:19">
      <c r="A486" s="160"/>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2">
        <f t="shared" si="84"/>
        <v>0</v>
      </c>
    </row>
    <row r="487" spans="1:19">
      <c r="A487" s="160"/>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2">
        <f t="shared" si="84"/>
        <v>0</v>
      </c>
    </row>
    <row r="488" spans="1:19">
      <c r="A488" s="160"/>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2">
        <f t="shared" si="84"/>
        <v>0</v>
      </c>
    </row>
    <row r="489" spans="1:19">
      <c r="A489" s="160"/>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2">
        <f t="shared" si="84"/>
        <v>0</v>
      </c>
    </row>
    <row r="490" spans="1:19">
      <c r="A490" s="160"/>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2">
        <f t="shared" si="84"/>
        <v>0</v>
      </c>
    </row>
    <row r="491" spans="1:19">
      <c r="A491" s="160"/>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2">
        <f t="shared" si="84"/>
        <v>0</v>
      </c>
    </row>
    <row r="492" spans="1:19">
      <c r="A492" s="160"/>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2">
        <f t="shared" si="84"/>
        <v>0</v>
      </c>
    </row>
    <row r="493" spans="1:19">
      <c r="A493" s="160"/>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2">
        <f t="shared" si="84"/>
        <v>0</v>
      </c>
    </row>
    <row r="494" spans="1:19">
      <c r="A494" s="160"/>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2">
        <f t="shared" si="84"/>
        <v>0</v>
      </c>
    </row>
    <row r="495" spans="1:19">
      <c r="A495" s="160"/>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2">
        <f t="shared" si="84"/>
        <v>0</v>
      </c>
    </row>
    <row r="496" spans="1:19">
      <c r="A496" s="160"/>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2">
        <f t="shared" si="84"/>
        <v>0</v>
      </c>
    </row>
    <row r="497" spans="1:19">
      <c r="A497" s="160"/>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2">
        <f t="shared" si="84"/>
        <v>0</v>
      </c>
    </row>
    <row r="498" spans="1:19">
      <c r="A498" s="160"/>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2">
        <f t="shared" ref="S498:S524" si="94">ROUND(R498*B498/10000,0)</f>
        <v>0</v>
      </c>
    </row>
    <row r="499" spans="1:19">
      <c r="A499" s="160"/>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2">
        <f t="shared" si="94"/>
        <v>0</v>
      </c>
    </row>
    <row r="500" spans="1:19">
      <c r="A500" s="160"/>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2">
        <f t="shared" si="94"/>
        <v>0</v>
      </c>
    </row>
    <row r="501" spans="1:19">
      <c r="A501" s="160"/>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2">
        <f t="shared" si="94"/>
        <v>0</v>
      </c>
    </row>
    <row r="502" spans="1:19">
      <c r="A502" s="160"/>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2">
        <f t="shared" si="94"/>
        <v>0</v>
      </c>
    </row>
    <row r="503" spans="1:19">
      <c r="A503" s="160"/>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2">
        <f t="shared" si="94"/>
        <v>0</v>
      </c>
    </row>
    <row r="504" spans="1:19">
      <c r="A504" s="160"/>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2">
        <f t="shared" si="94"/>
        <v>0</v>
      </c>
    </row>
    <row r="505" spans="1:19">
      <c r="A505" s="160"/>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2">
        <f t="shared" si="94"/>
        <v>0</v>
      </c>
    </row>
    <row r="506" spans="1:19">
      <c r="A506" s="160"/>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2">
        <f t="shared" si="94"/>
        <v>0</v>
      </c>
    </row>
    <row r="507" spans="1:19">
      <c r="A507" s="160"/>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2">
        <f t="shared" si="94"/>
        <v>0</v>
      </c>
    </row>
    <row r="508" spans="1:19">
      <c r="A508" s="160"/>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2">
        <f t="shared" si="94"/>
        <v>0</v>
      </c>
    </row>
    <row r="509" spans="1:19">
      <c r="A509" s="160"/>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2">
        <f t="shared" si="94"/>
        <v>0</v>
      </c>
    </row>
    <row r="510" spans="1:19">
      <c r="A510" s="160"/>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2">
        <f t="shared" si="94"/>
        <v>0</v>
      </c>
    </row>
    <row r="511" spans="1:19">
      <c r="A511" s="160"/>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2">
        <f t="shared" si="94"/>
        <v>0</v>
      </c>
    </row>
    <row r="512" spans="1:19">
      <c r="A512" s="160"/>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2">
        <f t="shared" si="94"/>
        <v>0</v>
      </c>
    </row>
    <row r="513" spans="1:19">
      <c r="A513" s="160"/>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2">
        <f t="shared" si="94"/>
        <v>0</v>
      </c>
    </row>
    <row r="514" spans="1:19">
      <c r="A514" s="160"/>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2">
        <f t="shared" si="94"/>
        <v>0</v>
      </c>
    </row>
    <row r="515" spans="1:19">
      <c r="A515" s="160"/>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2">
        <f t="shared" si="94"/>
        <v>0</v>
      </c>
    </row>
    <row r="516" spans="1:19">
      <c r="A516" s="160"/>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2">
        <f t="shared" si="94"/>
        <v>0</v>
      </c>
    </row>
    <row r="517" spans="1:19">
      <c r="A517" s="160"/>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2">
        <f t="shared" si="94"/>
        <v>0</v>
      </c>
    </row>
    <row r="518" spans="1:19">
      <c r="A518" s="160"/>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2">
        <f t="shared" si="94"/>
        <v>0</v>
      </c>
    </row>
    <row r="519" spans="1:19">
      <c r="A519" s="160"/>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2">
        <f t="shared" si="94"/>
        <v>0</v>
      </c>
    </row>
    <row r="520" spans="1:19">
      <c r="A520" s="160"/>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2">
        <f t="shared" si="94"/>
        <v>0</v>
      </c>
    </row>
    <row r="521" spans="1:19">
      <c r="A521" s="160"/>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2">
        <f t="shared" si="94"/>
        <v>0</v>
      </c>
    </row>
    <row r="522" spans="1:19">
      <c r="A522" s="160"/>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2">
        <f t="shared" si="94"/>
        <v>0</v>
      </c>
    </row>
    <row r="523" spans="1:19">
      <c r="A523" s="160"/>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2">
        <f t="shared" si="94"/>
        <v>0</v>
      </c>
    </row>
    <row r="524" spans="1:19">
      <c r="A524" s="160"/>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C40" sqref="C4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1591</v>
      </c>
      <c r="B1" s="782"/>
      <c r="C1" s="1841" t="s">
        <v>27</v>
      </c>
      <c r="D1" s="1824" t="s">
        <v>70</v>
      </c>
      <c r="E1" s="1825" t="s">
        <v>1388</v>
      </c>
      <c r="F1" s="1286">
        <f ca="1">J53</f>
        <v>38.68</v>
      </c>
      <c r="G1" s="1840">
        <f>MATCH(C1,'数据-取费表'!A6:A16,0)+5</f>
        <v>6</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5569</v>
      </c>
      <c r="C2" s="1849" t="s">
        <v>1518</v>
      </c>
      <c r="D2" s="1849"/>
      <c r="E2" s="1850"/>
      <c r="F2" s="1851"/>
      <c r="G2" s="1852"/>
      <c r="H2" s="1844"/>
      <c r="I2" s="1844"/>
      <c r="J2" s="1844"/>
      <c r="K2" s="1845"/>
      <c r="L2" s="1844"/>
      <c r="M2" s="1844"/>
    </row>
    <row r="3" spans="1:37" ht="18" customHeight="1" thickBot="1">
      <c r="A3" s="1853" t="s">
        <v>1519</v>
      </c>
      <c r="B3" s="1854">
        <f ca="1">IF(ISERROR(B2*10000/F43),0,ROUND(B2*10000/F43,0))</f>
        <v>24203</v>
      </c>
      <c r="C3" s="1849" t="s">
        <v>1520</v>
      </c>
      <c r="D3" s="1849"/>
      <c r="E3" s="1850"/>
      <c r="F3" s="1851"/>
      <c r="G3" s="1852"/>
      <c r="H3" s="744" t="s">
        <v>1590</v>
      </c>
      <c r="I3" s="1844"/>
      <c r="J3" s="1844"/>
      <c r="K3" s="1845"/>
      <c r="L3" s="1844"/>
      <c r="M3" s="1844"/>
    </row>
    <row r="4" spans="1:37" ht="18" customHeight="1">
      <c r="A4" s="341" t="s">
        <v>1397</v>
      </c>
      <c r="B4" s="342" t="s">
        <v>1398</v>
      </c>
      <c r="C4" s="342" t="s">
        <v>1399</v>
      </c>
      <c r="D4" s="342" t="s">
        <v>1400</v>
      </c>
      <c r="E4" s="343" t="s">
        <v>1401</v>
      </c>
      <c r="F4" s="344"/>
      <c r="G4" s="1855"/>
      <c r="H4" s="341" t="s">
        <v>1397</v>
      </c>
      <c r="I4" s="342" t="s">
        <v>1398</v>
      </c>
      <c r="J4" s="342" t="s">
        <v>1399</v>
      </c>
      <c r="K4" s="342" t="s">
        <v>1400</v>
      </c>
      <c r="L4" s="343" t="s">
        <v>1401</v>
      </c>
      <c r="M4" s="344"/>
    </row>
    <row r="5" spans="1:37" ht="18" customHeight="1">
      <c r="A5" s="345">
        <v>1</v>
      </c>
      <c r="B5" s="346" t="s">
        <v>1402</v>
      </c>
      <c r="C5" s="1295">
        <f ca="1">C6+C10+C12</f>
        <v>212</v>
      </c>
      <c r="D5" s="1826" t="s">
        <v>1403</v>
      </c>
      <c r="E5" s="1296"/>
      <c r="F5" s="1297"/>
      <c r="G5" s="1855"/>
      <c r="H5" s="345">
        <v>1</v>
      </c>
      <c r="I5" s="346" t="s">
        <v>1402</v>
      </c>
      <c r="J5" s="1295">
        <f ca="1">J6+J10+J12</f>
        <v>0</v>
      </c>
      <c r="K5" s="1826" t="s">
        <v>1403</v>
      </c>
      <c r="L5" s="1296"/>
      <c r="M5" s="1297"/>
    </row>
    <row r="6" spans="1:37" ht="18" customHeight="1">
      <c r="A6" s="1294" t="s">
        <v>1035</v>
      </c>
      <c r="B6" s="3193" t="s">
        <v>1404</v>
      </c>
      <c r="C6" s="1299">
        <f ca="1">ROUND(F6*F8*F7*(1-F9)/10000,0)</f>
        <v>212</v>
      </c>
      <c r="D6" s="165" t="s">
        <v>3030</v>
      </c>
      <c r="E6" s="348" t="s">
        <v>1406</v>
      </c>
      <c r="F6" s="349">
        <f ca="1">INDIRECT("'数据-取费表'!u"&amp;$G$1)</f>
        <v>2.8</v>
      </c>
      <c r="G6" s="1855"/>
      <c r="H6" s="1294" t="s">
        <v>1035</v>
      </c>
      <c r="I6" s="3193" t="s">
        <v>1404</v>
      </c>
      <c r="J6" s="347">
        <f ca="1">ROUND(M6*M8*M7*(1-M9)/10000,0)</f>
        <v>0</v>
      </c>
      <c r="K6" s="165" t="s">
        <v>3029</v>
      </c>
      <c r="L6" s="348" t="s">
        <v>1406</v>
      </c>
      <c r="M6" s="349">
        <f ca="1">INDIRECT("'数据-取费表'!z"&amp;$G$1)</f>
        <v>0</v>
      </c>
    </row>
    <row r="7" spans="1:37" ht="18" customHeight="1">
      <c r="A7" s="1298"/>
      <c r="B7" s="3194"/>
      <c r="C7" s="1300"/>
      <c r="D7" s="353"/>
      <c r="E7" s="1301" t="s">
        <v>1407</v>
      </c>
      <c r="F7" s="349">
        <f ca="1">IF(INDIRECT("'数据-取费表'!ah"&amp;$G$1)="",INDIRECT("'数据-取费表'!k"&amp;$G$1),INDIRECT("'数据-取费表'!ah"&amp;$G$1))</f>
        <v>2300.98</v>
      </c>
      <c r="G7" s="1855"/>
      <c r="H7" s="350"/>
      <c r="I7" s="3194"/>
      <c r="J7" s="352"/>
      <c r="K7" s="353"/>
      <c r="L7" s="348" t="s">
        <v>1407</v>
      </c>
      <c r="M7" s="349">
        <f ca="1">F7</f>
        <v>2300.98</v>
      </c>
    </row>
    <row r="8" spans="1:37" ht="18" customHeight="1">
      <c r="A8" s="350"/>
      <c r="B8" s="3194"/>
      <c r="C8" s="352"/>
      <c r="D8" s="353"/>
      <c r="E8" s="348" t="s">
        <v>1408</v>
      </c>
      <c r="F8" s="349">
        <f ca="1">INDIRECT("'数据-取费表'!ai"&amp;$G$1)</f>
        <v>365</v>
      </c>
      <c r="G8" s="1855"/>
      <c r="H8" s="350"/>
      <c r="I8" s="3194"/>
      <c r="J8" s="352"/>
      <c r="K8" s="353"/>
      <c r="L8" s="348" t="s">
        <v>1408</v>
      </c>
      <c r="M8" s="349">
        <f ca="1">INDIRECT("'数据-取费表'!ai"&amp;$G$1)</f>
        <v>365</v>
      </c>
    </row>
    <row r="9" spans="1:37" ht="18" customHeight="1">
      <c r="A9" s="350"/>
      <c r="B9" s="3195"/>
      <c r="C9" s="352"/>
      <c r="D9" s="353"/>
      <c r="E9" s="348" t="s">
        <v>1409</v>
      </c>
      <c r="F9" s="358">
        <f ca="1">INDIRECT("'数据-取费表'!w"&amp;$G$1)</f>
        <v>0.1</v>
      </c>
      <c r="G9" s="1855"/>
      <c r="H9" s="350"/>
      <c r="I9" s="3195"/>
      <c r="J9" s="352"/>
      <c r="K9" s="353"/>
      <c r="L9" s="359" t="s">
        <v>1409</v>
      </c>
      <c r="M9" s="360">
        <f ca="1">INDIRECT("'数据-取费表'!ab"&amp;$G$1)</f>
        <v>0</v>
      </c>
    </row>
    <row r="10" spans="1:37" ht="18" customHeight="1">
      <c r="A10" s="1294" t="s">
        <v>1039</v>
      </c>
      <c r="B10" s="1827" t="s">
        <v>1410</v>
      </c>
      <c r="C10" s="362">
        <f ca="1">ROUND(IF(F10="押一",F6*F8*F7/12*F11,IF(F10="押二",F6*F8*F7/12*2*F11,IF(F10="押三",F6*F8*F7/12*3*F11,C11*F11)))/10000,0)</f>
        <v>0</v>
      </c>
      <c r="D10" s="1828" t="s">
        <v>3031</v>
      </c>
      <c r="E10" s="359" t="s">
        <v>1412</v>
      </c>
      <c r="F10" s="1369" t="s">
        <v>3083</v>
      </c>
      <c r="G10" s="1855"/>
      <c r="H10" s="1294" t="s">
        <v>1039</v>
      </c>
      <c r="I10" s="1827" t="s">
        <v>1410</v>
      </c>
      <c r="J10" s="347">
        <f ca="1">ROUND(IF(M10="押一",M6*M8*M7/12*M11,IF(M10="押二",M6*M8*M7/12*2*M11,IF(M10="押三",M6*M8*M7/12*3*M11,J11*M11)))/10000,0)</f>
        <v>0</v>
      </c>
      <c r="K10" s="1828" t="s">
        <v>3032</v>
      </c>
      <c r="L10" s="359" t="s">
        <v>1412</v>
      </c>
      <c r="M10" s="1369" t="s">
        <v>1413</v>
      </c>
    </row>
    <row r="11" spans="1:37" ht="18" customHeight="1">
      <c r="A11" s="354"/>
      <c r="B11" s="1829" t="s">
        <v>1389</v>
      </c>
      <c r="C11" s="1181"/>
      <c r="D11" s="1830"/>
      <c r="E11" s="359" t="s">
        <v>1414</v>
      </c>
      <c r="F11" s="360">
        <f ca="1">'数据-取费表'!B39</f>
        <v>1.4999999999999999E-2</v>
      </c>
      <c r="G11" s="1855"/>
      <c r="H11" s="1302"/>
      <c r="I11" s="1829" t="s">
        <v>1389</v>
      </c>
      <c r="J11" s="1181"/>
      <c r="K11" s="748"/>
      <c r="L11" s="359"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6">
        <f ca="1">ROUND(C29*F13,0)</f>
        <v>705</v>
      </c>
      <c r="D13" s="1334" t="s">
        <v>1417</v>
      </c>
      <c r="E13" s="1334" t="s">
        <v>1418</v>
      </c>
      <c r="F13" s="1335">
        <f ca="1">INDIRECT("'数据-取费表'!y"&amp;$G$1)</f>
        <v>0.96699999999999997</v>
      </c>
      <c r="G13" s="1855"/>
      <c r="H13" s="1332">
        <v>2</v>
      </c>
      <c r="I13" s="1333" t="s">
        <v>1416</v>
      </c>
      <c r="J13" s="1293">
        <f ca="1">ROUND(J14*J15,0)</f>
        <v>0</v>
      </c>
      <c r="K13" s="1340" t="s">
        <v>1417</v>
      </c>
      <c r="L13" s="1856"/>
      <c r="M13" s="1857"/>
    </row>
    <row r="14" spans="1:37" ht="18" customHeight="1">
      <c r="A14" s="1204" t="s">
        <v>1034</v>
      </c>
      <c r="B14" s="348" t="s">
        <v>1419</v>
      </c>
      <c r="C14" s="364">
        <f ca="1">INDIRECT("'数据-取费表'!m"&amp;$G$1)+INDIRECT("'数据-取费表'!t"&amp;$G$1)</f>
        <v>460</v>
      </c>
      <c r="D14" s="1804" t="s">
        <v>1420</v>
      </c>
      <c r="E14" s="1798"/>
      <c r="F14" s="365"/>
      <c r="G14" s="1855"/>
      <c r="H14" s="1204" t="s">
        <v>1035</v>
      </c>
      <c r="I14" s="348" t="s">
        <v>1421</v>
      </c>
      <c r="J14" s="24">
        <f ca="1">C29</f>
        <v>729</v>
      </c>
      <c r="K14" s="15"/>
      <c r="L14" s="982"/>
      <c r="M14" s="983"/>
    </row>
    <row r="15" spans="1:37" s="1862" customFormat="1" ht="18" customHeight="1" thickBot="1">
      <c r="A15" s="1204" t="s">
        <v>1036</v>
      </c>
      <c r="B15" s="348" t="s">
        <v>1422</v>
      </c>
      <c r="C15" s="24">
        <f ca="1">ROUND(C14*F15,0)</f>
        <v>14</v>
      </c>
      <c r="D15" s="366" t="s">
        <v>1423</v>
      </c>
      <c r="E15" s="366" t="s">
        <v>1424</v>
      </c>
      <c r="F15" s="367">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1425</v>
      </c>
      <c r="C16" s="24">
        <f ca="1">ROUND(INDIRECT("'数据-取费表'!m"&amp;$G$1)*F16,0)</f>
        <v>0</v>
      </c>
      <c r="D16" s="348" t="s">
        <v>1423</v>
      </c>
      <c r="E16" s="348" t="s">
        <v>1424</v>
      </c>
      <c r="F16" s="368">
        <f ca="1">IF(INDIRECT("'数据-取费表'!c"&amp;$G$1)="住宅",'数据-取费表'!B34,0)</f>
        <v>0</v>
      </c>
      <c r="G16" s="1855"/>
      <c r="H16" s="1332" t="s">
        <v>1030</v>
      </c>
      <c r="I16" s="1333" t="s">
        <v>1426</v>
      </c>
      <c r="J16" s="356">
        <f ca="1">ROUND(J17+J22+J23+J24,0)</f>
        <v>17</v>
      </c>
      <c r="K16" s="1340" t="s">
        <v>1427</v>
      </c>
      <c r="L16" s="1341"/>
      <c r="M16" s="1297"/>
    </row>
    <row r="17" spans="1:37" s="1862" customFormat="1" ht="18" customHeight="1">
      <c r="A17" s="1204" t="s">
        <v>1391</v>
      </c>
      <c r="B17" s="348" t="s">
        <v>1428</v>
      </c>
      <c r="C17" s="24">
        <f ca="1">ROUND(F17*(F43+INDIRECT("'数据-取费表'!S"&amp;$G$1))/10000,0)</f>
        <v>46</v>
      </c>
      <c r="D17" s="348" t="s">
        <v>1429</v>
      </c>
      <c r="E17" s="348" t="s">
        <v>1430</v>
      </c>
      <c r="F17" s="26">
        <f>'数据-取费表'!B35</f>
        <v>200</v>
      </c>
      <c r="G17" s="1858"/>
      <c r="H17" s="1204" t="s">
        <v>1035</v>
      </c>
      <c r="I17" s="348" t="s">
        <v>1431</v>
      </c>
      <c r="J17" s="24">
        <f ca="1">ROUND(IF(项目基本情况!B11="自然人",J5*M17,J18+J19+J20),1)</f>
        <v>6.1</v>
      </c>
      <c r="K17" s="1804" t="s">
        <v>1432</v>
      </c>
      <c r="L17" s="1802" t="s">
        <v>1433</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1434</v>
      </c>
      <c r="C18" s="24">
        <f ca="1">ROUND(C14*F18,0)</f>
        <v>7</v>
      </c>
      <c r="D18" s="348" t="s">
        <v>1423</v>
      </c>
      <c r="E18" s="348" t="s">
        <v>1424</v>
      </c>
      <c r="F18" s="368">
        <f>'数据-取费表'!B36</f>
        <v>1.4999999999999999E-2</v>
      </c>
      <c r="G18" s="1858"/>
      <c r="H18" s="1204" t="s">
        <v>1034</v>
      </c>
      <c r="I18" s="348" t="s">
        <v>1435</v>
      </c>
      <c r="J18" s="24">
        <f ca="1">ROUND(J5*M18/(1+'数据-取费表'!C42),2)</f>
        <v>0</v>
      </c>
      <c r="K18" s="1802" t="s">
        <v>1436</v>
      </c>
      <c r="L18" s="348" t="s">
        <v>1424</v>
      </c>
      <c r="M18" s="368">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1437</v>
      </c>
      <c r="C19" s="24">
        <f ca="1">SUM(C14:C18)</f>
        <v>527</v>
      </c>
      <c r="D19" s="140" t="s">
        <v>1438</v>
      </c>
      <c r="E19" s="1822"/>
      <c r="F19" s="26"/>
      <c r="G19" s="1855"/>
      <c r="H19" s="1204" t="s">
        <v>1036</v>
      </c>
      <c r="I19" s="348" t="s">
        <v>1439</v>
      </c>
      <c r="J19" s="24">
        <f ca="1">IF(K19="按租金收入计税",ROUND(J5*M19,2),ROUND(C29*M19*0.7,2))</f>
        <v>6.12</v>
      </c>
      <c r="K19" s="1832" t="s">
        <v>1440</v>
      </c>
      <c r="L19" s="348" t="s">
        <v>1424</v>
      </c>
      <c r="M19" s="368">
        <f>IF(K19="按租金收入计税",'数据-取费表'!B51,'数据-取费表'!B50)</f>
        <v>1.2E-2</v>
      </c>
    </row>
    <row r="20" spans="1:37" s="1862" customFormat="1" ht="18" customHeight="1">
      <c r="A20" s="1204" t="s">
        <v>1039</v>
      </c>
      <c r="B20" s="348" t="s">
        <v>1441</v>
      </c>
      <c r="C20" s="24">
        <f ca="1">ROUND(C19*F20,0)</f>
        <v>11</v>
      </c>
      <c r="D20" s="370" t="s">
        <v>1442</v>
      </c>
      <c r="E20" s="348" t="s">
        <v>1424</v>
      </c>
      <c r="F20" s="368">
        <f>'数据-取费表'!B37</f>
        <v>0.02</v>
      </c>
      <c r="G20" s="1858"/>
      <c r="H20" s="1204" t="s">
        <v>1390</v>
      </c>
      <c r="I20" s="165" t="s">
        <v>1443</v>
      </c>
      <c r="J20" s="25">
        <f ca="1">ROUND(M20*M21/10000,2)</f>
        <v>0</v>
      </c>
      <c r="K20" s="371" t="s">
        <v>1444</v>
      </c>
      <c r="L20" s="348" t="s">
        <v>1445</v>
      </c>
      <c r="M20" s="372">
        <f>'数据-取费表'!B52</f>
        <v>3</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1446</v>
      </c>
      <c r="C21" s="24" t="s">
        <v>18</v>
      </c>
      <c r="D21" s="370" t="s">
        <v>1447</v>
      </c>
      <c r="E21" s="348" t="s">
        <v>1448</v>
      </c>
      <c r="F21" s="368">
        <f>'数据-取费表'!B38</f>
        <v>0.02</v>
      </c>
      <c r="G21" s="1858"/>
      <c r="H21" s="373"/>
      <c r="I21" s="357"/>
      <c r="J21" s="29"/>
      <c r="K21" s="374"/>
      <c r="L21" s="348" t="s">
        <v>1449</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2"/>
      <c r="F22" s="26"/>
      <c r="G22" s="1855"/>
      <c r="H22" s="1204" t="s">
        <v>1039</v>
      </c>
      <c r="I22" s="348" t="s">
        <v>1451</v>
      </c>
      <c r="J22" s="24">
        <f ca="1">ROUND(J14*M22,1)</f>
        <v>10.9</v>
      </c>
      <c r="K22" s="1802" t="s">
        <v>1452</v>
      </c>
      <c r="L22" s="348" t="s">
        <v>1424</v>
      </c>
      <c r="M22" s="375">
        <f ca="1">INDIRECT("'数据-取费表'!Ak"&amp;$G$1)</f>
        <v>1.4999999999999999E-2</v>
      </c>
    </row>
    <row r="23" spans="1:37" s="1862" customFormat="1" ht="18" customHeight="1">
      <c r="A23" s="1204" t="s">
        <v>1034</v>
      </c>
      <c r="B23" s="348" t="s">
        <v>1453</v>
      </c>
      <c r="C23" s="24">
        <f ca="1">IF('数据-取费表'!B22&lt;=1,ROUND(C19*F24*F23/2,0)+ROUND(C20*F24*F23/2,0),ROUND(C19*(POWER((1+F24),F23/2)-1),0)+ROUND(C20*(POWER((1+F24),F23/2)-1),0))</f>
        <v>26</v>
      </c>
      <c r="D23" s="376" t="str">
        <f>IF(F23&lt;=1,"(建造成本+管理费用)×利率×(建设周期÷2)","(建造成本+管理费用)×((1+利率)^(建设周期÷2)-1)")</f>
        <v>(建造成本+管理费用)×((1+利率)^(建设周期÷2)-1)</v>
      </c>
      <c r="E23" s="348" t="s">
        <v>1454</v>
      </c>
      <c r="F23" s="372">
        <f>'数据-取费表'!B20</f>
        <v>2</v>
      </c>
      <c r="G23" s="1858"/>
      <c r="H23" s="1204" t="s">
        <v>1075</v>
      </c>
      <c r="I23" s="348" t="s">
        <v>1455</v>
      </c>
      <c r="J23" s="24">
        <f ca="1">ROUND(J13*M23,1)</f>
        <v>0</v>
      </c>
      <c r="K23" s="1802" t="s">
        <v>1456</v>
      </c>
      <c r="L23" s="348" t="s">
        <v>1457</v>
      </c>
      <c r="M23" s="377">
        <f ca="1">INDIRECT("'数据-取费表'!Al"&amp;$G$1)</f>
        <v>1.5E-3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8"/>
      <c r="H24" s="1342" t="s">
        <v>1394</v>
      </c>
      <c r="I24" s="1343" t="s">
        <v>1441</v>
      </c>
      <c r="J24" s="1344">
        <f ca="1">ROUND(J5*M24,1)</f>
        <v>0</v>
      </c>
      <c r="K24" s="1345" t="s">
        <v>1461</v>
      </c>
      <c r="L24" s="1343" t="s">
        <v>1457</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8" t="s">
        <v>1463</v>
      </c>
      <c r="C25" s="24"/>
      <c r="D25" s="140" t="s">
        <v>1464</v>
      </c>
      <c r="E25" s="1822"/>
      <c r="F25" s="26"/>
      <c r="G25" s="1855"/>
      <c r="H25" s="1332" t="s">
        <v>1031</v>
      </c>
      <c r="I25" s="1347" t="s">
        <v>1465</v>
      </c>
      <c r="J25" s="356">
        <f ca="1">J5-J16</f>
        <v>-17</v>
      </c>
      <c r="K25" s="1348" t="s">
        <v>1466</v>
      </c>
      <c r="L25" s="1349"/>
      <c r="M25" s="1350"/>
    </row>
    <row r="26" spans="1:37">
      <c r="A26" s="1204" t="s">
        <v>1034</v>
      </c>
      <c r="B26" s="348" t="s">
        <v>1467</v>
      </c>
      <c r="C26" s="24">
        <f ca="1">ROUND((C19+C20)*F26,0)</f>
        <v>108</v>
      </c>
      <c r="D26" s="370" t="s">
        <v>1468</v>
      </c>
      <c r="E26" s="359" t="s">
        <v>1469</v>
      </c>
      <c r="F26" s="358">
        <f ca="1">INDIRECT("'数据-取费表'!q"&amp;$G$1)</f>
        <v>0.2</v>
      </c>
      <c r="G26" s="1855"/>
      <c r="H26" s="345" t="s">
        <v>1032</v>
      </c>
      <c r="I26" s="346" t="s">
        <v>1470</v>
      </c>
      <c r="J26" s="347">
        <f ca="1">IF(J5&lt;&gt;0,ROUND(J25*(1-((1+M28)/(1+M26))^M27)/(M26-M28),0),0)</f>
        <v>0</v>
      </c>
      <c r="K26" s="371" t="s">
        <v>1471</v>
      </c>
      <c r="L26" s="348" t="s">
        <v>1472</v>
      </c>
      <c r="M26" s="358">
        <f ca="1">INDIRECT("'数据-取费表'!I"&amp;$G$1)</f>
        <v>0.05</v>
      </c>
    </row>
    <row r="27" spans="1:37" ht="18" customHeight="1">
      <c r="A27" s="1204" t="s">
        <v>1036</v>
      </c>
      <c r="B27" s="348" t="s">
        <v>1473</v>
      </c>
      <c r="C27" s="24">
        <f ca="1">ROUND(F21*F26,4)</f>
        <v>4.0000000000000001E-3</v>
      </c>
      <c r="D27" s="370" t="s">
        <v>1474</v>
      </c>
      <c r="E27" s="366"/>
      <c r="F27" s="367"/>
      <c r="G27" s="1855"/>
      <c r="H27" s="350"/>
      <c r="I27" s="351"/>
      <c r="J27" s="352"/>
      <c r="K27" s="379" t="s">
        <v>1475</v>
      </c>
      <c r="L27" s="348" t="s">
        <v>1476</v>
      </c>
      <c r="M27" s="380">
        <f ca="1">INDIRECT("'数据-取费表'!ag"&amp;$G$1)</f>
        <v>0</v>
      </c>
    </row>
    <row r="28" spans="1:37" s="1862" customFormat="1" ht="18" customHeight="1">
      <c r="A28" s="1204" t="s">
        <v>1037</v>
      </c>
      <c r="B28" s="348" t="s">
        <v>1477</v>
      </c>
      <c r="C28" s="24">
        <f>ROUND(F28/(1+'数据-取费表'!C42),4)</f>
        <v>5.33E-2</v>
      </c>
      <c r="D28" s="370" t="s">
        <v>1478</v>
      </c>
      <c r="E28" s="348" t="s">
        <v>1424</v>
      </c>
      <c r="F28" s="368">
        <f>'数据-取费表'!B41</f>
        <v>5.6000000000000001E-2</v>
      </c>
      <c r="G28" s="1858"/>
      <c r="H28" s="354"/>
      <c r="I28" s="355"/>
      <c r="J28" s="356"/>
      <c r="K28" s="374"/>
      <c r="L28" s="348" t="s">
        <v>1479</v>
      </c>
      <c r="M28" s="358">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729</v>
      </c>
      <c r="D29" s="1345"/>
      <c r="E29" s="1343"/>
      <c r="F29" s="1346"/>
      <c r="G29" s="1858"/>
      <c r="H29" s="381" t="s">
        <v>1033</v>
      </c>
      <c r="I29" s="382" t="s">
        <v>1481</v>
      </c>
      <c r="J29" s="383">
        <f ca="1">ROUND(J26/(1+F40)^F41,0)</f>
        <v>0</v>
      </c>
      <c r="K29" s="384" t="s">
        <v>1482</v>
      </c>
      <c r="L29" s="385"/>
      <c r="M29" s="386">
        <f ca="1">INDIRECT("'数据-取费表'!k"&amp;$G$1)</f>
        <v>2300.98</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6">
        <f ca="1">ROUND(C31+C36+C37+C38,0)</f>
        <v>32</v>
      </c>
      <c r="D30" s="1340" t="s">
        <v>1427</v>
      </c>
      <c r="E30" s="1341"/>
      <c r="F30" s="1297"/>
      <c r="G30" s="1855"/>
      <c r="H30" s="745"/>
      <c r="I30" s="746"/>
      <c r="J30" s="747"/>
      <c r="K30" s="748"/>
      <c r="L30" s="749"/>
      <c r="M30" s="750"/>
    </row>
    <row r="31" spans="1:37" ht="18" customHeight="1">
      <c r="A31" s="1204" t="s">
        <v>1035</v>
      </c>
      <c r="B31" s="348" t="s">
        <v>1431</v>
      </c>
      <c r="C31" s="24">
        <f ca="1">ROUND(IF(项目基本情况!B11="自然人",C5*F31,C32+C33+C34),1)</f>
        <v>17.399999999999999</v>
      </c>
      <c r="D31" s="1804" t="s">
        <v>1432</v>
      </c>
      <c r="E31" s="1802" t="s">
        <v>1483</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1435</v>
      </c>
      <c r="C32" s="24">
        <f ca="1">IF(项目基本情况!B11="自然人","——",ROUND(C5*F32/(1+'数据-取费表'!C42),2))</f>
        <v>11.31</v>
      </c>
      <c r="D32" s="1802" t="s">
        <v>1436</v>
      </c>
      <c r="E32" s="348" t="s">
        <v>1424</v>
      </c>
      <c r="F32" s="378">
        <f>'数据-取费表'!B41</f>
        <v>5.6000000000000001E-2</v>
      </c>
      <c r="G32" s="1855"/>
      <c r="H32" s="745"/>
      <c r="I32" s="746"/>
      <c r="J32" s="747"/>
      <c r="K32" s="748"/>
      <c r="L32" s="749"/>
      <c r="M32" s="750"/>
    </row>
    <row r="33" spans="1:18" ht="18" customHeight="1">
      <c r="A33" s="1204" t="s">
        <v>1036</v>
      </c>
      <c r="B33" s="348" t="s">
        <v>1439</v>
      </c>
      <c r="C33" s="24">
        <f ca="1">IF(项目基本情况!B11="自然人","——",IF(D33="按租金收入计税",ROUND(C5*F33,2),IF(D33="按房产原值计税",ROUND(C29*F33*0.7,2),INDIRECT("'数据-取费表'!Aj"&amp;$G$1))))</f>
        <v>6.12</v>
      </c>
      <c r="D33" s="1832" t="s">
        <v>1440</v>
      </c>
      <c r="E33" s="348" t="s">
        <v>1424</v>
      </c>
      <c r="F33" s="368">
        <f>IF(D33="按票据","——",IF(D33="按租金收入计税",'数据-取费表'!B51,'数据-取费表'!B50))</f>
        <v>1.2E-2</v>
      </c>
      <c r="G33" s="1855"/>
      <c r="H33" s="1863"/>
      <c r="I33" s="1864"/>
      <c r="J33" s="1865"/>
      <c r="K33" s="1866"/>
      <c r="L33" s="1863"/>
      <c r="M33" s="1863"/>
    </row>
    <row r="34" spans="1:18" ht="18" customHeight="1">
      <c r="A34" s="1294" t="s">
        <v>1390</v>
      </c>
      <c r="B34" s="165" t="s">
        <v>1443</v>
      </c>
      <c r="C34" s="25">
        <f ca="1">IF(项目基本情况!B11="自然人","——",ROUND(F34*F35/10000,2))</f>
        <v>0</v>
      </c>
      <c r="D34" s="371" t="s">
        <v>1444</v>
      </c>
      <c r="E34" s="348" t="s">
        <v>1445</v>
      </c>
      <c r="F34" s="372">
        <f>'数据-取费表'!B52</f>
        <v>3</v>
      </c>
      <c r="G34" s="1855"/>
      <c r="H34" s="745"/>
      <c r="I34" s="1864"/>
      <c r="J34" s="1865"/>
      <c r="K34" s="1867"/>
      <c r="L34" s="1868"/>
      <c r="M34" s="1868"/>
    </row>
    <row r="35" spans="1:18" ht="18" customHeight="1">
      <c r="A35" s="1356"/>
      <c r="B35" s="1354"/>
      <c r="C35" s="29"/>
      <c r="D35" s="374"/>
      <c r="E35" s="348" t="s">
        <v>1449</v>
      </c>
      <c r="F35" s="349">
        <f ca="1">INDIRECT("'数据-取费表'!r"&amp;$G$1)</f>
        <v>0</v>
      </c>
      <c r="G35" s="1855"/>
      <c r="H35" s="745"/>
      <c r="I35" s="1864"/>
      <c r="J35" s="1865"/>
      <c r="K35" s="1866"/>
      <c r="L35" s="1863"/>
      <c r="M35" s="1863"/>
    </row>
    <row r="36" spans="1:18" ht="18" customHeight="1">
      <c r="A36" s="1355" t="s">
        <v>1039</v>
      </c>
      <c r="B36" s="348" t="s">
        <v>1451</v>
      </c>
      <c r="C36" s="24">
        <f ca="1">ROUND(C29*F36,1)</f>
        <v>10.9</v>
      </c>
      <c r="D36" s="1802" t="s">
        <v>1484</v>
      </c>
      <c r="E36" s="348" t="s">
        <v>1424</v>
      </c>
      <c r="F36" s="375">
        <f ca="1">INDIRECT("'数据-取费表'!Ak"&amp;$G$1)</f>
        <v>1.4999999999999999E-2</v>
      </c>
      <c r="G36" s="1855"/>
      <c r="H36" s="1863"/>
      <c r="I36" s="1864"/>
      <c r="J36" s="1865"/>
      <c r="K36" s="751"/>
      <c r="L36" s="1863"/>
      <c r="M36" s="1863"/>
    </row>
    <row r="37" spans="1:18" ht="18" customHeight="1">
      <c r="A37" s="1204" t="s">
        <v>1075</v>
      </c>
      <c r="B37" s="348" t="s">
        <v>1455</v>
      </c>
      <c r="C37" s="24">
        <f ca="1">ROUND(C13*F37,1)</f>
        <v>1.1000000000000001</v>
      </c>
      <c r="D37" s="1802" t="s">
        <v>1456</v>
      </c>
      <c r="E37" s="348" t="s">
        <v>1457</v>
      </c>
      <c r="F37" s="377">
        <f ca="1">INDIRECT("'数据-取费表'!Al"&amp;$G$1)</f>
        <v>1.5E-3</v>
      </c>
      <c r="G37" s="1855"/>
      <c r="H37" s="1863"/>
      <c r="I37" s="1864"/>
      <c r="J37" s="1865"/>
      <c r="K37" s="751"/>
      <c r="L37" s="1863"/>
      <c r="M37" s="1863"/>
    </row>
    <row r="38" spans="1:18" ht="18" customHeight="1" thickBot="1">
      <c r="A38" s="1342" t="s">
        <v>1394</v>
      </c>
      <c r="B38" s="1343" t="s">
        <v>1441</v>
      </c>
      <c r="C38" s="1344">
        <f ca="1">ROUND(C5*F38,1)</f>
        <v>2.1</v>
      </c>
      <c r="D38" s="1345" t="s">
        <v>1461</v>
      </c>
      <c r="E38" s="1343" t="s">
        <v>1457</v>
      </c>
      <c r="F38" s="1339">
        <f ca="1">INDIRECT("'数据-取费表'!Am"&amp;$G$1)</f>
        <v>0.01</v>
      </c>
      <c r="G38" s="1855"/>
      <c r="H38" s="1863"/>
      <c r="I38" s="1864"/>
      <c r="J38" s="1865"/>
      <c r="K38" s="1869"/>
      <c r="L38" s="1863"/>
      <c r="M38" s="1863"/>
    </row>
    <row r="39" spans="1:18" ht="24.6" customHeight="1" thickTop="1">
      <c r="A39" s="1332" t="s">
        <v>1031</v>
      </c>
      <c r="B39" s="1347" t="s">
        <v>1485</v>
      </c>
      <c r="C39" s="356">
        <f ca="1">C5-C30</f>
        <v>180</v>
      </c>
      <c r="D39" s="1348" t="s">
        <v>1486</v>
      </c>
      <c r="E39" s="1349"/>
      <c r="F39" s="1350"/>
      <c r="G39" s="1855"/>
      <c r="H39" s="1863"/>
      <c r="I39" s="1864"/>
      <c r="J39" s="1865"/>
      <c r="K39" s="1869"/>
      <c r="L39" s="1863"/>
      <c r="M39" s="1863"/>
    </row>
    <row r="40" spans="1:18" ht="18" customHeight="1">
      <c r="A40" s="345" t="s">
        <v>1032</v>
      </c>
      <c r="B40" s="346" t="s">
        <v>1487</v>
      </c>
      <c r="C40" s="347">
        <f ca="1">ROUND(C39*(1-((1+F42)/(1+F40))^F41)/(F40-F42),0)</f>
        <v>5569</v>
      </c>
      <c r="D40" s="371" t="s">
        <v>1471</v>
      </c>
      <c r="E40" s="348" t="s">
        <v>1472</v>
      </c>
      <c r="F40" s="358">
        <f ca="1">INDIRECT("'数据-取费表'!I"&amp;$G$1)</f>
        <v>0.05</v>
      </c>
      <c r="G40" s="1855"/>
      <c r="H40" s="1843"/>
      <c r="I40" s="1864"/>
      <c r="J40" s="1865"/>
      <c r="K40" s="1869"/>
      <c r="L40" s="1843"/>
      <c r="M40" s="1843"/>
    </row>
    <row r="41" spans="1:18" ht="18" customHeight="1">
      <c r="A41" s="350"/>
      <c r="B41" s="351"/>
      <c r="C41" s="352"/>
      <c r="D41" s="379" t="s">
        <v>1488</v>
      </c>
      <c r="E41" s="348" t="s">
        <v>1476</v>
      </c>
      <c r="F41" s="380">
        <f ca="1">IF(INDIRECT("'数据-取费表'!af"&amp;$G$1)=0,INDIRECT("'数据-取费表'!ae"&amp;$G$1),INDIRECT("'数据-取费表'!af"&amp;$G$1))</f>
        <v>38.68</v>
      </c>
      <c r="G41" s="1855"/>
      <c r="H41" s="732"/>
      <c r="I41" s="1864"/>
      <c r="J41" s="1865"/>
      <c r="K41" s="751"/>
      <c r="L41" s="732"/>
      <c r="M41" s="732"/>
    </row>
    <row r="42" spans="1:18" ht="18" customHeight="1">
      <c r="A42" s="354"/>
      <c r="B42" s="355"/>
      <c r="C42" s="356"/>
      <c r="D42" s="374"/>
      <c r="E42" s="348" t="s">
        <v>1479</v>
      </c>
      <c r="F42" s="358">
        <f ca="1">INDIRECT("'数据-取费表'!v"&amp;$G$1)</f>
        <v>0.04</v>
      </c>
      <c r="G42" s="1855"/>
      <c r="H42" s="732"/>
      <c r="I42" s="1864"/>
      <c r="J42" s="1865"/>
      <c r="K42" s="751"/>
      <c r="L42" s="732"/>
      <c r="M42" s="732"/>
    </row>
    <row r="43" spans="1:18" ht="18" customHeight="1" thickBot="1">
      <c r="A43" s="381" t="s">
        <v>1033</v>
      </c>
      <c r="B43" s="382" t="s">
        <v>1489</v>
      </c>
      <c r="C43" s="383">
        <f ca="1">ROUND(C40*10000/F43,0)</f>
        <v>24203</v>
      </c>
      <c r="D43" s="384" t="s">
        <v>1490</v>
      </c>
      <c r="E43" s="385" t="s">
        <v>1491</v>
      </c>
      <c r="F43" s="386">
        <f ca="1">INDIRECT("'数据-取费表'!k"&amp;$G$1)</f>
        <v>2300.98</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-5874</v>
      </c>
      <c r="D46" s="1876" t="str">
        <f>C2</f>
        <v>万元</v>
      </c>
      <c r="E46" s="1870"/>
      <c r="F46" s="1870"/>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3069</v>
      </c>
      <c r="K47" s="1886" t="s">
        <v>1529</v>
      </c>
      <c r="L47" s="1887">
        <f ca="1">INDIRECT("'数据-取费表'!d"&amp;$G$1)</f>
        <v>50</v>
      </c>
      <c r="M47" s="1842" t="str">
        <f>IF(ISNUMBER(FIND("住宅",C1)),"住宅","非住宅")</f>
        <v>非住宅</v>
      </c>
      <c r="O47" s="1888" t="s">
        <v>1040</v>
      </c>
      <c r="P47" s="1889" t="s">
        <v>1530</v>
      </c>
      <c r="Q47" s="1890">
        <f ca="1">C40+J29</f>
        <v>5569</v>
      </c>
      <c r="R47" s="1890" t="s">
        <v>1531</v>
      </c>
    </row>
    <row r="48" spans="1:18" s="1846" customFormat="1" ht="28.5" thickBot="1">
      <c r="A48" s="1363" t="s">
        <v>1135</v>
      </c>
      <c r="B48" s="346" t="s">
        <v>1402</v>
      </c>
      <c r="C48" s="1821">
        <f ca="1">C49+C53+C55</f>
        <v>0</v>
      </c>
      <c r="D48" s="1365"/>
      <c r="E48" s="1366"/>
      <c r="F48" s="1184"/>
      <c r="G48" s="792"/>
      <c r="H48" s="793"/>
      <c r="I48" s="1891" t="s">
        <v>1532</v>
      </c>
      <c r="J48" s="1892" t="s">
        <v>3084</v>
      </c>
      <c r="K48" s="1893" t="s">
        <v>1533</v>
      </c>
      <c r="L48" s="1894">
        <f ca="1">INDIRECT("'数据-取费表'!f"&amp;$G$1)</f>
        <v>38.68</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3033</v>
      </c>
      <c r="E49" s="1834" t="s">
        <v>1493</v>
      </c>
      <c r="F49" s="1284"/>
      <c r="G49" s="1895"/>
      <c r="H49" s="793"/>
      <c r="I49" s="1891" t="s">
        <v>1536</v>
      </c>
      <c r="J49" s="1896">
        <v>2015</v>
      </c>
      <c r="K49" s="1893" t="s">
        <v>1537</v>
      </c>
      <c r="L49" s="1897"/>
      <c r="O49" s="1898" t="s">
        <v>1042</v>
      </c>
      <c r="P49" s="1889" t="s">
        <v>1538</v>
      </c>
      <c r="Q49" s="1890">
        <f ca="1">C29</f>
        <v>729</v>
      </c>
      <c r="R49" s="1890" t="s">
        <v>1531</v>
      </c>
    </row>
    <row r="50" spans="1:18" s="1846" customFormat="1" ht="13.5" thickBot="1">
      <c r="A50" s="1198"/>
      <c r="B50" s="1201"/>
      <c r="C50" s="1371"/>
      <c r="D50" s="1175"/>
      <c r="E50" s="1280" t="s">
        <v>1407</v>
      </c>
      <c r="F50" s="1281">
        <f ca="1">F7</f>
        <v>2300.98</v>
      </c>
      <c r="H50" s="793"/>
      <c r="I50" s="1891" t="s">
        <v>1539</v>
      </c>
      <c r="J50" s="1899">
        <f>SUMPRODUCT((I63:I65=J47)*(J62:L62=J48)*(J63:L65))</f>
        <v>60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9">
        <f ca="1">F8</f>
        <v>365</v>
      </c>
      <c r="I51" s="1902" t="s">
        <v>1542</v>
      </c>
      <c r="J51" s="1903">
        <f>IF(J49="",J50,J49+J50-YEAR('数据-取费表'!B2))</f>
        <v>58</v>
      </c>
      <c r="K51" s="1904" t="s">
        <v>1543</v>
      </c>
      <c r="L51" s="1905">
        <f ca="1">ROUND(-PV(INDIRECT("'数据-取费表'!h"&amp;$G$1),L48,(C39-C13*C76),0),0)</f>
        <v>2246</v>
      </c>
      <c r="M51" s="1906"/>
      <c r="O51" s="1898" t="s">
        <v>1044</v>
      </c>
      <c r="P51" s="1889" t="s">
        <v>1544</v>
      </c>
      <c r="Q51" s="1901">
        <f>J52</f>
        <v>8.5000000000000006E-2</v>
      </c>
      <c r="R51" s="1890"/>
    </row>
    <row r="52" spans="1:18" s="1846" customFormat="1" ht="13.5" thickBot="1">
      <c r="A52" s="1199"/>
      <c r="B52" s="1201"/>
      <c r="C52" s="1202"/>
      <c r="D52" s="1175"/>
      <c r="E52" s="1203" t="s">
        <v>1409</v>
      </c>
      <c r="F52" s="1278"/>
      <c r="I52" s="1907" t="s">
        <v>1545</v>
      </c>
      <c r="J52" s="1908">
        <v>8.5000000000000006E-2</v>
      </c>
      <c r="K52" s="1907" t="s">
        <v>1546</v>
      </c>
      <c r="L52" s="1908"/>
      <c r="O52" s="1898" t="s">
        <v>1045</v>
      </c>
      <c r="P52" s="1889" t="s">
        <v>1547</v>
      </c>
      <c r="Q52" s="1890">
        <f ca="1">J53</f>
        <v>38.68</v>
      </c>
      <c r="R52" s="1890" t="s">
        <v>1548</v>
      </c>
    </row>
    <row r="53" spans="1:18" s="1846" customFormat="1" ht="24.75" thickBot="1">
      <c r="A53" s="1408" t="s">
        <v>1137</v>
      </c>
      <c r="B53" s="1835" t="s">
        <v>1410</v>
      </c>
      <c r="C53" s="362">
        <f ca="1">ROUND(IF(F53="押一",F49*F51*F50/12*F11,IF(F53="押二",F49*F51*F50/12*2*F11,IF(F53="押三",F49*F51*F50/12*3*F11,C54*F11)))/10000,0)</f>
        <v>0</v>
      </c>
      <c r="D53" s="1828" t="s">
        <v>3031</v>
      </c>
      <c r="E53" s="359" t="s">
        <v>1412</v>
      </c>
      <c r="F53" s="1369"/>
      <c r="I53" s="1909" t="s">
        <v>1549</v>
      </c>
      <c r="J53" s="1910">
        <f ca="1">IF(M47="住宅",J51,IF(D1="——",MIN(J51,L48),IF(D1="在建（套用方法）",MIN(J51,L48-'数据-取费表'!B24),IF(D1="土地（套用方法）",MIN(J51,L48-'数据-取费表'!B20)))))</f>
        <v>38.68</v>
      </c>
      <c r="K53" s="3191" t="s">
        <v>1550</v>
      </c>
      <c r="L53" s="3192"/>
      <c r="O53" s="1888" t="s">
        <v>1046</v>
      </c>
      <c r="P53" s="1889" t="s">
        <v>1551</v>
      </c>
      <c r="Q53" s="1890">
        <f ca="1">Q47+Q48</f>
        <v>5569</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t="s">
        <v>1555</v>
      </c>
      <c r="O55" s="1881" t="s">
        <v>1524</v>
      </c>
      <c r="P55" s="1882" t="s">
        <v>1525</v>
      </c>
      <c r="Q55" s="1883" t="s">
        <v>1526</v>
      </c>
      <c r="R55" s="1883" t="s">
        <v>1527</v>
      </c>
    </row>
    <row r="56" spans="1:18" s="1846" customFormat="1" ht="25.5" thickTop="1" thickBot="1">
      <c r="A56" s="1179">
        <v>2</v>
      </c>
      <c r="B56" s="1180" t="s">
        <v>1416</v>
      </c>
      <c r="C56" s="277">
        <f ca="1">C13</f>
        <v>705</v>
      </c>
      <c r="D56" s="1918"/>
      <c r="E56" s="1919"/>
      <c r="F56" s="1911"/>
      <c r="I56" s="1920" t="s">
        <v>1556</v>
      </c>
      <c r="J56" s="1921" t="s">
        <v>3053</v>
      </c>
      <c r="K56" s="1891" t="s">
        <v>1557</v>
      </c>
      <c r="L56" s="1894" t="str">
        <f ca="1">IF(L48&lt;J51,"——",L48-J53)</f>
        <v>——</v>
      </c>
      <c r="O56" s="1888" t="s">
        <v>1040</v>
      </c>
      <c r="P56" s="1889" t="s">
        <v>1530</v>
      </c>
      <c r="Q56" s="1890">
        <f ca="1">C40+J29</f>
        <v>5569</v>
      </c>
      <c r="R56" s="1890" t="s">
        <v>1531</v>
      </c>
    </row>
    <row r="57" spans="1:18" s="1846" customFormat="1" ht="24.75" thickBot="1">
      <c r="A57" s="1922"/>
      <c r="B57" s="1172" t="s">
        <v>1480</v>
      </c>
      <c r="C57" s="283">
        <f ca="1">C29</f>
        <v>729</v>
      </c>
      <c r="D57" s="1923"/>
      <c r="E57" s="1924"/>
      <c r="F57" s="1925"/>
      <c r="I57" s="1926" t="s">
        <v>1558</v>
      </c>
      <c r="J57" s="1927" t="str">
        <f ca="1">IF(OR(M47="住宅",J51&lt;L48,J56="是"),"——",J51-L48)</f>
        <v>——</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1" t="s">
        <v>1030</v>
      </c>
      <c r="B58" s="1180" t="s">
        <v>1426</v>
      </c>
      <c r="C58" s="362">
        <f ca="1">ROUND(C59+C64+C65+C66,0)</f>
        <v>18</v>
      </c>
      <c r="D58" s="1182" t="s">
        <v>1427</v>
      </c>
      <c r="E58" s="1183"/>
      <c r="F58" s="1184"/>
      <c r="I58" s="1926" t="s">
        <v>1562</v>
      </c>
      <c r="J58" s="1928" t="e">
        <f ca="1">IF(J55&lt;0.4,0.4,J55)</f>
        <v>#VALUE!</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ROUND(IF(项目基本情况!B11="自然人",C48*F59,C60+C61+C62),1)</f>
        <v>6.1</v>
      </c>
      <c r="D59" s="1185" t="s">
        <v>1432</v>
      </c>
      <c r="E59" s="1186" t="s">
        <v>1433</v>
      </c>
      <c r="F59" s="369" t="str">
        <f ca="1">IF(项目基本情况!B11="企业","",IF(INDIRECT("'数据-取费表'!c"&amp;$G$1)="住宅",5%,IF(F49*F50*F51/12/(1+'数据-取费表'!C42)&gt;20000,12%,7%)))</f>
        <v/>
      </c>
      <c r="I59" s="1926" t="s">
        <v>1565</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4">
        <f ca="1">IF(项目基本情况!B11="自然人","——",ROUND(C48*F60/(1+'数据-取费表'!C42),2))</f>
        <v>0</v>
      </c>
      <c r="D60" s="1186" t="s">
        <v>1436</v>
      </c>
      <c r="E60" s="1172" t="s">
        <v>1424</v>
      </c>
      <c r="F60" s="378">
        <f t="shared" ref="F60:F66" si="0">F32</f>
        <v>5.6000000000000001E-2</v>
      </c>
      <c r="I60" s="1929" t="s">
        <v>1567</v>
      </c>
      <c r="J60" s="1930" t="str">
        <f ca="1">IF(OR(M47="住宅",J51&lt;L48,J56="是"),"0",ROUND(J59/(1+J52)^J53,0))</f>
        <v>0</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1495</v>
      </c>
      <c r="C61" s="24">
        <f ca="1">IF(项目基本情况!B11="自然人","——",IF(D61="按租金收入计税",ROUND(C48*F61,2),IF(D61="按房产原值计税",ROUND(C57*F61*0.7,2),INDIRECT("'数据-取费表'!Aj"&amp;$G$1))))</f>
        <v>6.12</v>
      </c>
      <c r="D61" s="1832" t="s">
        <v>1440</v>
      </c>
      <c r="E61" s="1172" t="s">
        <v>1496</v>
      </c>
      <c r="F61" s="368">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1498</v>
      </c>
      <c r="C62" s="25">
        <f ca="1">IF(项目基本情况!B11="自然人","——",ROUND(F62*F63/10000,2))</f>
        <v>0</v>
      </c>
      <c r="D62" s="1187" t="s">
        <v>1499</v>
      </c>
      <c r="E62" s="1172" t="s">
        <v>1500</v>
      </c>
      <c r="F62" s="372">
        <f t="shared" si="0"/>
        <v>3</v>
      </c>
      <c r="I62" s="1933" t="s">
        <v>1572</v>
      </c>
      <c r="J62" s="1934" t="s">
        <v>1573</v>
      </c>
      <c r="K62" s="1934" t="s">
        <v>1574</v>
      </c>
      <c r="L62" s="1934" t="s">
        <v>1575</v>
      </c>
      <c r="M62" s="1935" t="s">
        <v>1576</v>
      </c>
      <c r="O62" s="1888" t="s">
        <v>1046</v>
      </c>
      <c r="P62" s="1889" t="s">
        <v>1577</v>
      </c>
      <c r="Q62" s="1890">
        <f ca="1">Q56+Q57</f>
        <v>5569</v>
      </c>
      <c r="R62" s="1890" t="s">
        <v>1047</v>
      </c>
    </row>
    <row r="63" spans="1:18" s="1846" customFormat="1" ht="13.5" thickBot="1">
      <c r="A63" s="373"/>
      <c r="B63" s="1178"/>
      <c r="C63" s="29"/>
      <c r="D63" s="1188"/>
      <c r="E63" s="1172" t="s">
        <v>1501</v>
      </c>
      <c r="F63" s="349">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ROUND(C57*F64,1)</f>
        <v>10.9</v>
      </c>
      <c r="D64" s="1186" t="s">
        <v>1504</v>
      </c>
      <c r="E64" s="1172" t="s">
        <v>1496</v>
      </c>
      <c r="F64" s="375">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1.1000000000000001</v>
      </c>
      <c r="D65" s="1186" t="s">
        <v>1456</v>
      </c>
      <c r="E65" s="1172" t="s">
        <v>1457</v>
      </c>
      <c r="F65" s="377">
        <f t="shared" ca="1" si="0"/>
        <v>1.5E-3</v>
      </c>
      <c r="I65" s="1933" t="s">
        <v>1581</v>
      </c>
      <c r="J65" s="1934">
        <v>40</v>
      </c>
      <c r="K65" s="1934">
        <v>30</v>
      </c>
      <c r="L65" s="1934">
        <v>50</v>
      </c>
      <c r="M65" s="1936">
        <v>0.02</v>
      </c>
      <c r="O65" s="1888" t="s">
        <v>1040</v>
      </c>
      <c r="P65" s="1889" t="s">
        <v>1582</v>
      </c>
      <c r="Q65" s="1890">
        <f ca="1">C40+J29</f>
        <v>5569</v>
      </c>
      <c r="R65" s="1890" t="s">
        <v>1531</v>
      </c>
    </row>
    <row r="66" spans="1:18" s="1846" customFormat="1" ht="16.5" thickBot="1">
      <c r="A66" s="1204" t="s">
        <v>1506</v>
      </c>
      <c r="B66" s="1172" t="s">
        <v>1441</v>
      </c>
      <c r="C66" s="24">
        <f ca="1">ROUND(C48*F66,1)</f>
        <v>0</v>
      </c>
      <c r="D66" s="1186" t="s">
        <v>1507</v>
      </c>
      <c r="E66" s="1172" t="s">
        <v>1424</v>
      </c>
      <c r="F66" s="358">
        <f t="shared" ca="1" si="0"/>
        <v>0.01</v>
      </c>
      <c r="O66" s="1888" t="s">
        <v>1041</v>
      </c>
      <c r="P66" s="1889" t="s">
        <v>1560</v>
      </c>
      <c r="Q66" s="1890">
        <f ca="1">L60</f>
        <v>0</v>
      </c>
      <c r="R66" s="1890" t="s">
        <v>1583</v>
      </c>
    </row>
    <row r="67" spans="1:18" s="1846" customFormat="1" ht="16.5" thickBot="1">
      <c r="A67" s="1179" t="s">
        <v>1031</v>
      </c>
      <c r="B67" s="1189" t="s">
        <v>1465</v>
      </c>
      <c r="C67" s="362">
        <f ca="1">C48-C58</f>
        <v>-18</v>
      </c>
      <c r="D67" s="1185" t="s">
        <v>1466</v>
      </c>
      <c r="E67" s="1190"/>
      <c r="F67" s="1191"/>
      <c r="O67" s="1898" t="s">
        <v>1042</v>
      </c>
      <c r="P67" s="1889" t="s">
        <v>1564</v>
      </c>
      <c r="Q67" s="1937">
        <f ca="1">L51</f>
        <v>2246</v>
      </c>
      <c r="R67" s="1890" t="s">
        <v>1584</v>
      </c>
    </row>
    <row r="68" spans="1:18" s="1846" customFormat="1" ht="16.5" thickBot="1">
      <c r="A68" s="1169" t="s">
        <v>1032</v>
      </c>
      <c r="B68" s="1170" t="s">
        <v>1487</v>
      </c>
      <c r="C68" s="347">
        <f ca="1">ROUND(C67*(1-((1+F70)/(1+F68))^F69)/(F68-F70),0)</f>
        <v>-305</v>
      </c>
      <c r="D68" s="1187" t="s">
        <v>1471</v>
      </c>
      <c r="E68" s="1172" t="s">
        <v>1472</v>
      </c>
      <c r="F68" s="358">
        <f ca="1">F40</f>
        <v>0.05</v>
      </c>
      <c r="O68" s="1898" t="s">
        <v>1043</v>
      </c>
      <c r="P68" s="1938" t="s">
        <v>1585</v>
      </c>
      <c r="Q68" s="1890">
        <f ca="1">ROUND(Q69-Q70*Q71,0)</f>
        <v>124</v>
      </c>
      <c r="R68" s="1890" t="s">
        <v>1051</v>
      </c>
    </row>
    <row r="69" spans="1:18" s="1846" customFormat="1" ht="13.5" thickBot="1">
      <c r="A69" s="1173"/>
      <c r="B69" s="1174"/>
      <c r="C69" s="352"/>
      <c r="D69" s="1192" t="s">
        <v>1475</v>
      </c>
      <c r="E69" s="1172" t="s">
        <v>1476</v>
      </c>
      <c r="F69" s="380">
        <f ca="1">F41</f>
        <v>38.68</v>
      </c>
      <c r="O69" s="1898" t="s">
        <v>1048</v>
      </c>
      <c r="P69" s="1938" t="s">
        <v>1586</v>
      </c>
      <c r="Q69" s="1890">
        <f ca="1">C39</f>
        <v>180</v>
      </c>
      <c r="R69" s="1890" t="s">
        <v>1531</v>
      </c>
    </row>
    <row r="70" spans="1:18" s="1846" customFormat="1" ht="13.5" thickBot="1">
      <c r="A70" s="1176"/>
      <c r="B70" s="1177"/>
      <c r="C70" s="356"/>
      <c r="D70" s="1188"/>
      <c r="E70" s="1172" t="s">
        <v>1479</v>
      </c>
      <c r="F70" s="1278"/>
      <c r="O70" s="1898" t="s">
        <v>1049</v>
      </c>
      <c r="P70" s="1938" t="s">
        <v>1587</v>
      </c>
      <c r="Q70" s="1890">
        <f ca="1">C13</f>
        <v>705</v>
      </c>
      <c r="R70" s="1890" t="s">
        <v>1531</v>
      </c>
    </row>
    <row r="71" spans="1:18" s="1846" customFormat="1" ht="13.5" thickBot="1">
      <c r="A71" s="1193" t="s">
        <v>1033</v>
      </c>
      <c r="B71" s="1194" t="s">
        <v>1489</v>
      </c>
      <c r="C71" s="383">
        <f ca="1">ROUND(C68*10000/F71,0)</f>
        <v>-1326</v>
      </c>
      <c r="D71" s="1195" t="s">
        <v>1490</v>
      </c>
      <c r="E71" s="1196" t="s">
        <v>1491</v>
      </c>
      <c r="F71" s="386">
        <f ca="1">F43</f>
        <v>2300.98</v>
      </c>
      <c r="O71" s="1898" t="s">
        <v>1050</v>
      </c>
      <c r="P71" s="1938" t="s">
        <v>1588</v>
      </c>
      <c r="Q71" s="1901">
        <f ca="1">C76</f>
        <v>0.08</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8"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7" t="s">
        <v>1508</v>
      </c>
      <c r="C75" s="388">
        <f ca="1">ROUND(C13*C76,0)</f>
        <v>56</v>
      </c>
      <c r="D75" s="1846"/>
      <c r="E75" s="1846"/>
      <c r="F75" s="1846"/>
      <c r="K75" s="1872"/>
      <c r="L75" s="1846"/>
      <c r="O75" s="1888" t="s">
        <v>1046</v>
      </c>
      <c r="P75" s="1889" t="s">
        <v>1551</v>
      </c>
      <c r="Q75" s="1890">
        <f ca="1">Q65+Q66</f>
        <v>5569</v>
      </c>
      <c r="R75" s="1890" t="s">
        <v>1047</v>
      </c>
    </row>
    <row r="76" spans="1:18">
      <c r="B76" s="389" t="s">
        <v>1509</v>
      </c>
      <c r="C76" s="390">
        <f ca="1">INDIRECT("'数据-取费表'!j"&amp;$G$1)</f>
        <v>0.08</v>
      </c>
      <c r="I76" s="1846"/>
      <c r="J76" s="1846"/>
      <c r="K76" s="1872"/>
      <c r="L76" s="1846"/>
    </row>
    <row r="77" spans="1:18">
      <c r="B77" s="391" t="s">
        <v>1510</v>
      </c>
      <c r="C77" s="392"/>
      <c r="I77" s="1846"/>
      <c r="J77" s="1846"/>
      <c r="K77" s="1872"/>
      <c r="L77" s="1846"/>
    </row>
    <row r="78" spans="1:18">
      <c r="B78" s="315" t="s">
        <v>1511</v>
      </c>
      <c r="C78" s="393"/>
    </row>
    <row r="79" spans="1:18">
      <c r="B79" s="387" t="s">
        <v>1512</v>
      </c>
      <c r="C79" s="319">
        <f ca="1">1-C80</f>
        <v>0.68900000000000006</v>
      </c>
    </row>
    <row r="80" spans="1:18">
      <c r="B80" s="387" t="s">
        <v>1513</v>
      </c>
      <c r="C80" s="319">
        <f ca="1">ROUND(C75/C39,3)</f>
        <v>0.311</v>
      </c>
    </row>
    <row r="81" spans="2:3">
      <c r="B81" s="315" t="s">
        <v>1514</v>
      </c>
      <c r="C81" s="283"/>
    </row>
    <row r="82" spans="2:3">
      <c r="B82" s="318" t="s">
        <v>1515</v>
      </c>
      <c r="C82" s="320">
        <f ca="1">1-C83</f>
        <v>0.873</v>
      </c>
    </row>
    <row r="83" spans="2:3">
      <c r="B83" s="318" t="s">
        <v>1516</v>
      </c>
      <c r="C83" s="319">
        <f ca="1">ROUND(C13/C40,3)</f>
        <v>0.127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1591</v>
      </c>
      <c r="B1" s="782"/>
      <c r="C1" s="1841"/>
      <c r="D1" s="1824"/>
      <c r="E1" s="1825" t="s">
        <v>1388</v>
      </c>
      <c r="F1" s="1286" t="b">
        <f>J53</f>
        <v>0</v>
      </c>
      <c r="G1" s="1840">
        <f>MATCH(C1,'数据-取费表'!A6:A16,0)+5</f>
        <v>7</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1592</v>
      </c>
      <c r="B2" s="1848" t="e">
        <f ca="1">ROUND(D2/10000,0)</f>
        <v>#DIV/0!</v>
      </c>
      <c r="C2" s="1849" t="s">
        <v>1593</v>
      </c>
      <c r="D2" s="1942" t="e">
        <f ca="1">C40+J29+L46</f>
        <v>#DIV/0!</v>
      </c>
      <c r="E2" s="1850" t="s">
        <v>1594</v>
      </c>
      <c r="F2" s="1851"/>
      <c r="G2" s="1852"/>
      <c r="H2" s="1844"/>
      <c r="I2" s="1844"/>
      <c r="J2" s="1844"/>
      <c r="K2" s="1845"/>
      <c r="L2" s="1844"/>
      <c r="M2" s="1844"/>
    </row>
    <row r="3" spans="1:37" ht="18" customHeight="1" thickBot="1">
      <c r="A3" s="1853" t="s">
        <v>1595</v>
      </c>
      <c r="B3" s="1854">
        <f ca="1">IF(ISERROR(D2/F43),0,ROUND(D2/F43,0))</f>
        <v>0</v>
      </c>
      <c r="C3" s="1849" t="s">
        <v>1596</v>
      </c>
      <c r="D3" s="1849"/>
      <c r="E3" s="1850"/>
      <c r="F3" s="1851"/>
      <c r="G3" s="1852"/>
      <c r="H3" s="744" t="s">
        <v>1590</v>
      </c>
      <c r="I3" s="1844"/>
      <c r="J3" s="1844"/>
      <c r="K3" s="1845"/>
      <c r="L3" s="1844"/>
      <c r="M3" s="1844"/>
    </row>
    <row r="4" spans="1:37" ht="18" customHeight="1">
      <c r="A4" s="341" t="s">
        <v>1597</v>
      </c>
      <c r="B4" s="342" t="s">
        <v>1598</v>
      </c>
      <c r="C4" s="342" t="s">
        <v>1599</v>
      </c>
      <c r="D4" s="342" t="s">
        <v>1600</v>
      </c>
      <c r="E4" s="343" t="s">
        <v>1601</v>
      </c>
      <c r="F4" s="344"/>
      <c r="G4" s="1855"/>
      <c r="H4" s="341" t="s">
        <v>1597</v>
      </c>
      <c r="I4" s="342" t="s">
        <v>1598</v>
      </c>
      <c r="J4" s="342" t="s">
        <v>1599</v>
      </c>
      <c r="K4" s="342" t="s">
        <v>1600</v>
      </c>
      <c r="L4" s="343" t="s">
        <v>1601</v>
      </c>
      <c r="M4" s="344"/>
    </row>
    <row r="5" spans="1:37" ht="18" customHeight="1">
      <c r="A5" s="345">
        <v>1</v>
      </c>
      <c r="B5" s="346" t="s">
        <v>1602</v>
      </c>
      <c r="C5" s="1295">
        <f ca="1">C6+C10+C12</f>
        <v>0</v>
      </c>
      <c r="D5" s="1826" t="s">
        <v>1603</v>
      </c>
      <c r="E5" s="1296"/>
      <c r="F5" s="1297"/>
      <c r="G5" s="1855"/>
      <c r="H5" s="345">
        <v>1</v>
      </c>
      <c r="I5" s="346" t="s">
        <v>1602</v>
      </c>
      <c r="J5" s="1295">
        <f ca="1">J6+J10+J12</f>
        <v>0</v>
      </c>
      <c r="K5" s="1826" t="s">
        <v>1603</v>
      </c>
      <c r="L5" s="1296"/>
      <c r="M5" s="1297"/>
    </row>
    <row r="6" spans="1:37" ht="18" customHeight="1">
      <c r="A6" s="1294" t="s">
        <v>1035</v>
      </c>
      <c r="B6" s="3193" t="s">
        <v>1404</v>
      </c>
      <c r="C6" s="1299">
        <f ca="1">ROUND(F6*F8*F7*(1-F9),0)</f>
        <v>0</v>
      </c>
      <c r="D6" s="165" t="s">
        <v>3025</v>
      </c>
      <c r="E6" s="348" t="s">
        <v>1406</v>
      </c>
      <c r="F6" s="349">
        <f ca="1">INDIRECT("'数据-取费表'!u"&amp;$G$1)</f>
        <v>0</v>
      </c>
      <c r="G6" s="1855"/>
      <c r="H6" s="1294" t="s">
        <v>1035</v>
      </c>
      <c r="I6" s="3193" t="s">
        <v>1404</v>
      </c>
      <c r="J6" s="347">
        <f ca="1">ROUND(M6*M8*M7*(1-M9),0)</f>
        <v>0</v>
      </c>
      <c r="K6" s="1838" t="s">
        <v>3028</v>
      </c>
      <c r="L6" s="348" t="s">
        <v>1406</v>
      </c>
      <c r="M6" s="349">
        <f ca="1">INDIRECT("'数据-取费表'!z"&amp;$G$1)</f>
        <v>0</v>
      </c>
    </row>
    <row r="7" spans="1:37" ht="18" customHeight="1">
      <c r="A7" s="1298"/>
      <c r="B7" s="3194"/>
      <c r="C7" s="1300"/>
      <c r="D7" s="353"/>
      <c r="E7" s="1301" t="s">
        <v>1407</v>
      </c>
      <c r="F7" s="349">
        <f ca="1">IF(INDIRECT("'数据-取费表'!ah"&amp;$G$1)="",INDIRECT("'数据-取费表'!k"&amp;$G$1),INDIRECT("'数据-取费表'!ah"&amp;$G$1))</f>
        <v>0</v>
      </c>
      <c r="G7" s="1855"/>
      <c r="H7" s="350"/>
      <c r="I7" s="3194"/>
      <c r="J7" s="352"/>
      <c r="K7" s="353"/>
      <c r="L7" s="348" t="s">
        <v>1407</v>
      </c>
      <c r="M7" s="349">
        <f ca="1">F7</f>
        <v>0</v>
      </c>
    </row>
    <row r="8" spans="1:37" ht="18" customHeight="1">
      <c r="A8" s="350"/>
      <c r="B8" s="3194"/>
      <c r="C8" s="352"/>
      <c r="D8" s="353"/>
      <c r="E8" s="348" t="s">
        <v>1408</v>
      </c>
      <c r="F8" s="349">
        <f ca="1">INDIRECT("'数据-取费表'!ai"&amp;$G$1)</f>
        <v>0</v>
      </c>
      <c r="G8" s="1855"/>
      <c r="H8" s="350"/>
      <c r="I8" s="3194"/>
      <c r="J8" s="352"/>
      <c r="K8" s="353"/>
      <c r="L8" s="348" t="s">
        <v>1408</v>
      </c>
      <c r="M8" s="349">
        <f ca="1">INDIRECT("'数据-取费表'!ai"&amp;$G$1)</f>
        <v>0</v>
      </c>
    </row>
    <row r="9" spans="1:37" ht="18" customHeight="1">
      <c r="A9" s="350"/>
      <c r="B9" s="3195"/>
      <c r="C9" s="352"/>
      <c r="D9" s="353"/>
      <c r="E9" s="348" t="s">
        <v>1409</v>
      </c>
      <c r="F9" s="358">
        <f ca="1">INDIRECT("'数据-取费表'!w"&amp;$G$1)</f>
        <v>0</v>
      </c>
      <c r="G9" s="1855"/>
      <c r="H9" s="350"/>
      <c r="I9" s="3195"/>
      <c r="J9" s="352"/>
      <c r="K9" s="353"/>
      <c r="L9" s="359" t="s">
        <v>1409</v>
      </c>
      <c r="M9" s="360">
        <f ca="1">INDIRECT("'数据-取费表'!ab"&amp;$G$1)</f>
        <v>0</v>
      </c>
    </row>
    <row r="10" spans="1:37" ht="18" customHeight="1">
      <c r="A10" s="1294" t="s">
        <v>1039</v>
      </c>
      <c r="B10" s="1827" t="s">
        <v>1410</v>
      </c>
      <c r="C10" s="362">
        <f ca="1">ROUND(IF(F10="押一",F6*F8*F7/12*F11,IF(F10="押二",F6*F8*F7/12*2*F11,IF(F10="押三",F6*F8*F7/12*3*F11,C11*F11))),0)</f>
        <v>0</v>
      </c>
      <c r="D10" s="1828" t="s">
        <v>3026</v>
      </c>
      <c r="E10" s="359" t="s">
        <v>1412</v>
      </c>
      <c r="F10" s="1369"/>
      <c r="G10" s="1855"/>
      <c r="H10" s="1294" t="s">
        <v>1039</v>
      </c>
      <c r="I10" s="1827" t="s">
        <v>1410</v>
      </c>
      <c r="J10" s="347">
        <f ca="1">ROUND(IF(M10="押一",M6*M8*M7/12*M11,IF(M10="押二",M6*M8*M7/12*2*M11,IF(M10="押三",M6*M8*M7/12*3*M11,J11*M11))),0)</f>
        <v>0</v>
      </c>
      <c r="K10" s="1839" t="s">
        <v>3027</v>
      </c>
      <c r="L10" s="359" t="s">
        <v>1412</v>
      </c>
      <c r="M10" s="1369"/>
    </row>
    <row r="11" spans="1:37" ht="18" customHeight="1">
      <c r="A11" s="354"/>
      <c r="B11" s="1829" t="s">
        <v>1604</v>
      </c>
      <c r="C11" s="1181"/>
      <c r="D11" s="353"/>
      <c r="E11" s="359" t="s">
        <v>1414</v>
      </c>
      <c r="F11" s="360">
        <f ca="1">'数据-取费表'!B39</f>
        <v>1.4999999999999999E-2</v>
      </c>
      <c r="G11" s="1855"/>
      <c r="H11" s="1302"/>
      <c r="I11" s="1829" t="s">
        <v>1605</v>
      </c>
      <c r="J11" s="1181"/>
      <c r="K11" s="748"/>
      <c r="L11" s="359"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6">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8" t="s">
        <v>1419</v>
      </c>
      <c r="C14" s="364">
        <f ca="1">ROUND(INDIRECT("'数据-取费表'!l"&amp;$G$1)*F43+'数据-取费表'!L14*INDIRECT("'数据-取费表'!S"&amp;$G$1),0)</f>
        <v>0</v>
      </c>
      <c r="D14" s="1804" t="s">
        <v>1420</v>
      </c>
      <c r="E14" s="1798"/>
      <c r="F14" s="365"/>
      <c r="G14" s="1855"/>
      <c r="H14" s="1204" t="s">
        <v>1035</v>
      </c>
      <c r="I14" s="348" t="s">
        <v>1421</v>
      </c>
      <c r="J14" s="24">
        <f ca="1">C29</f>
        <v>0</v>
      </c>
      <c r="K14" s="15"/>
      <c r="L14" s="982"/>
      <c r="M14" s="983"/>
    </row>
    <row r="15" spans="1:37" s="1862" customFormat="1" ht="18" customHeight="1" thickBot="1">
      <c r="A15" s="1204" t="s">
        <v>1036</v>
      </c>
      <c r="B15" s="348" t="s">
        <v>1422</v>
      </c>
      <c r="C15" s="24">
        <f ca="1">ROUND(C14*F15,0)</f>
        <v>0</v>
      </c>
      <c r="D15" s="366" t="s">
        <v>1423</v>
      </c>
      <c r="E15" s="366" t="s">
        <v>1424</v>
      </c>
      <c r="F15" s="367">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1425</v>
      </c>
      <c r="C16" s="24">
        <f ca="1">ROUND(INDIRECT("'数据-取费表'!l"&amp;$G$1)*F43*F16,0)</f>
        <v>0</v>
      </c>
      <c r="D16" s="348" t="s">
        <v>1423</v>
      </c>
      <c r="E16" s="348" t="s">
        <v>1424</v>
      </c>
      <c r="F16" s="368">
        <f ca="1">IF(INDIRECT("'数据-取费表'!c"&amp;$G$1)="住宅",'数据-取费表'!B34,0)</f>
        <v>0</v>
      </c>
      <c r="G16" s="1855"/>
      <c r="H16" s="1332" t="s">
        <v>1030</v>
      </c>
      <c r="I16" s="1333" t="s">
        <v>1426</v>
      </c>
      <c r="J16" s="356">
        <f ca="1">ROUND(J17+J22+J23+J24,0)</f>
        <v>0</v>
      </c>
      <c r="K16" s="1340" t="s">
        <v>1427</v>
      </c>
      <c r="L16" s="1341"/>
      <c r="M16" s="1297"/>
    </row>
    <row r="17" spans="1:37" s="1862" customFormat="1" ht="18" customHeight="1">
      <c r="A17" s="1204" t="s">
        <v>1391</v>
      </c>
      <c r="B17" s="348" t="s">
        <v>1428</v>
      </c>
      <c r="C17" s="24">
        <f ca="1">ROUND(F17*(F43+INDIRECT("'数据-取费表'!S"&amp;$G$1)),0)</f>
        <v>0</v>
      </c>
      <c r="D17" s="348" t="s">
        <v>1429</v>
      </c>
      <c r="E17" s="348" t="s">
        <v>1430</v>
      </c>
      <c r="F17" s="26">
        <f>'数据-取费表'!B35</f>
        <v>200</v>
      </c>
      <c r="G17" s="1858"/>
      <c r="H17" s="1204" t="s">
        <v>1035</v>
      </c>
      <c r="I17" s="348" t="s">
        <v>1431</v>
      </c>
      <c r="J17" s="24">
        <f ca="1">ROUND(IF(项目基本情况!B11="自然人",J5*M17,J18+J19+J20),0)</f>
        <v>0</v>
      </c>
      <c r="K17" s="1804" t="s">
        <v>1432</v>
      </c>
      <c r="L17" s="1802" t="s">
        <v>1433</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1434</v>
      </c>
      <c r="C18" s="24">
        <f ca="1">ROUND(C14*F18,0)</f>
        <v>0</v>
      </c>
      <c r="D18" s="348" t="s">
        <v>1423</v>
      </c>
      <c r="E18" s="348" t="s">
        <v>1424</v>
      </c>
      <c r="F18" s="368">
        <f>'数据-取费表'!B36</f>
        <v>1.4999999999999999E-2</v>
      </c>
      <c r="G18" s="1858"/>
      <c r="H18" s="1204" t="s">
        <v>1034</v>
      </c>
      <c r="I18" s="348" t="s">
        <v>1435</v>
      </c>
      <c r="J18" s="24">
        <f ca="1">ROUND(J5*M18/(1+'数据-取费表'!C42),0)</f>
        <v>0</v>
      </c>
      <c r="K18" s="1802" t="s">
        <v>1436</v>
      </c>
      <c r="L18" s="348" t="s">
        <v>1424</v>
      </c>
      <c r="M18" s="368">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1437</v>
      </c>
      <c r="C19" s="24">
        <f ca="1">SUM(C14:C18)</f>
        <v>0</v>
      </c>
      <c r="D19" s="140" t="s">
        <v>1438</v>
      </c>
      <c r="E19" s="1822"/>
      <c r="F19" s="26"/>
      <c r="G19" s="1855"/>
      <c r="H19" s="1204" t="s">
        <v>1036</v>
      </c>
      <c r="I19" s="348" t="s">
        <v>1439</v>
      </c>
      <c r="J19" s="24">
        <f ca="1">IF(K19="按租金收入计税",ROUND(J5*M19,0),ROUND(C29*M19*0.7,0))</f>
        <v>0</v>
      </c>
      <c r="K19" s="1832" t="s">
        <v>1440</v>
      </c>
      <c r="L19" s="348" t="s">
        <v>1424</v>
      </c>
      <c r="M19" s="368">
        <f>IF(K19="按租金收入计税",'数据-取费表'!B51,'数据-取费表'!B50)</f>
        <v>1.2E-2</v>
      </c>
    </row>
    <row r="20" spans="1:37" s="1862" customFormat="1" ht="18" customHeight="1">
      <c r="A20" s="1204" t="s">
        <v>1039</v>
      </c>
      <c r="B20" s="348" t="s">
        <v>1441</v>
      </c>
      <c r="C20" s="24">
        <f ca="1">ROUND(C19*F20,0)</f>
        <v>0</v>
      </c>
      <c r="D20" s="370" t="s">
        <v>1442</v>
      </c>
      <c r="E20" s="348" t="s">
        <v>1424</v>
      </c>
      <c r="F20" s="368">
        <f>'数据-取费表'!B37</f>
        <v>0.02</v>
      </c>
      <c r="G20" s="1858"/>
      <c r="H20" s="1204" t="s">
        <v>1390</v>
      </c>
      <c r="I20" s="165" t="s">
        <v>1443</v>
      </c>
      <c r="J20" s="25">
        <f ca="1">ROUND(M20*M21,0)</f>
        <v>0</v>
      </c>
      <c r="K20" s="371" t="s">
        <v>1444</v>
      </c>
      <c r="L20" s="348" t="s">
        <v>1445</v>
      </c>
      <c r="M20" s="372">
        <f>'数据-取费表'!B52</f>
        <v>3</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1446</v>
      </c>
      <c r="C21" s="24" t="s">
        <v>1</v>
      </c>
      <c r="D21" s="370" t="s">
        <v>1447</v>
      </c>
      <c r="E21" s="348" t="s">
        <v>1448</v>
      </c>
      <c r="F21" s="368">
        <f>'数据-取费表'!B38</f>
        <v>0.02</v>
      </c>
      <c r="G21" s="1858"/>
      <c r="H21" s="373"/>
      <c r="I21" s="357"/>
      <c r="J21" s="29"/>
      <c r="K21" s="374"/>
      <c r="L21" s="348" t="s">
        <v>1449</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2"/>
      <c r="F22" s="26"/>
      <c r="G22" s="1855"/>
      <c r="H22" s="1204" t="s">
        <v>1039</v>
      </c>
      <c r="I22" s="348" t="s">
        <v>1451</v>
      </c>
      <c r="J22" s="24">
        <f ca="1">ROUND(J14*M22,0)</f>
        <v>0</v>
      </c>
      <c r="K22" s="1802" t="s">
        <v>1452</v>
      </c>
      <c r="L22" s="348" t="s">
        <v>1424</v>
      </c>
      <c r="M22" s="375">
        <f ca="1">INDIRECT("'数据-取费表'!Ak"&amp;$G$1)</f>
        <v>0</v>
      </c>
    </row>
    <row r="23" spans="1:37" s="1862" customFormat="1" ht="18" customHeight="1">
      <c r="A23" s="1204"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8"/>
      <c r="H23" s="1204" t="s">
        <v>1075</v>
      </c>
      <c r="I23" s="348" t="s">
        <v>1455</v>
      </c>
      <c r="J23" s="24">
        <f ca="1">ROUND(J13*M23,0)</f>
        <v>0</v>
      </c>
      <c r="K23" s="1802" t="s">
        <v>1456</v>
      </c>
      <c r="L23" s="348" t="s">
        <v>1457</v>
      </c>
      <c r="M23" s="377">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8" t="s">
        <v>1463</v>
      </c>
      <c r="C25" s="24"/>
      <c r="D25" s="140" t="s">
        <v>1464</v>
      </c>
      <c r="E25" s="1822"/>
      <c r="F25" s="26"/>
      <c r="G25" s="1855"/>
      <c r="H25" s="1332" t="s">
        <v>1031</v>
      </c>
      <c r="I25" s="1347" t="s">
        <v>1465</v>
      </c>
      <c r="J25" s="356">
        <f ca="1">J5-J16</f>
        <v>0</v>
      </c>
      <c r="K25" s="1348" t="s">
        <v>1466</v>
      </c>
      <c r="L25" s="1349"/>
      <c r="M25" s="1350"/>
    </row>
    <row r="26" spans="1:37" ht="18" customHeight="1">
      <c r="A26" s="1204" t="s">
        <v>1034</v>
      </c>
      <c r="B26" s="348" t="s">
        <v>1467</v>
      </c>
      <c r="C26" s="24">
        <f ca="1">ROUND((C19+C20)*F26,0)</f>
        <v>0</v>
      </c>
      <c r="D26" s="370" t="s">
        <v>1468</v>
      </c>
      <c r="E26" s="359" t="s">
        <v>1469</v>
      </c>
      <c r="F26" s="358">
        <f ca="1">INDIRECT("'数据-取费表'!q"&amp;$G$1)</f>
        <v>0</v>
      </c>
      <c r="G26" s="1855"/>
      <c r="H26" s="345" t="s">
        <v>1032</v>
      </c>
      <c r="I26" s="346" t="s">
        <v>1470</v>
      </c>
      <c r="J26" s="347">
        <f ca="1">IF(J5&lt;&gt;0,ROUND(J25*(1-((1+M28)/(1+M26))^M27)/(M26-M28),0),0)</f>
        <v>0</v>
      </c>
      <c r="K26" s="371" t="s">
        <v>1471</v>
      </c>
      <c r="L26" s="348" t="s">
        <v>1472</v>
      </c>
      <c r="M26" s="358">
        <f ca="1">INDIRECT("'数据-取费表'!I"&amp;$G$1)</f>
        <v>0</v>
      </c>
    </row>
    <row r="27" spans="1:37" ht="18" customHeight="1">
      <c r="A27" s="1204" t="s">
        <v>1036</v>
      </c>
      <c r="B27" s="348" t="s">
        <v>1473</v>
      </c>
      <c r="C27" s="24">
        <f ca="1">ROUND(F21*F26,4)</f>
        <v>0</v>
      </c>
      <c r="D27" s="370" t="s">
        <v>1474</v>
      </c>
      <c r="E27" s="366"/>
      <c r="F27" s="367"/>
      <c r="G27" s="1855"/>
      <c r="H27" s="350"/>
      <c r="I27" s="351"/>
      <c r="J27" s="352"/>
      <c r="K27" s="379" t="s">
        <v>1475</v>
      </c>
      <c r="L27" s="348" t="s">
        <v>1476</v>
      </c>
      <c r="M27" s="380">
        <f ca="1">INDIRECT("'数据-取费表'!ag"&amp;$G$1)</f>
        <v>0</v>
      </c>
    </row>
    <row r="28" spans="1:37" s="1862" customFormat="1" ht="18" customHeight="1">
      <c r="A28" s="1204" t="s">
        <v>1037</v>
      </c>
      <c r="B28" s="348" t="s">
        <v>1477</v>
      </c>
      <c r="C28" s="24">
        <f>ROUND(F28/(1+'数据-取费表'!C42),4)</f>
        <v>5.33E-2</v>
      </c>
      <c r="D28" s="370" t="s">
        <v>1478</v>
      </c>
      <c r="E28" s="348" t="s">
        <v>1424</v>
      </c>
      <c r="F28" s="368">
        <f>'数据-取费表'!B41</f>
        <v>5.6000000000000001E-2</v>
      </c>
      <c r="G28" s="1858"/>
      <c r="H28" s="354"/>
      <c r="I28" s="355"/>
      <c r="J28" s="356"/>
      <c r="K28" s="374"/>
      <c r="L28" s="348" t="s">
        <v>1479</v>
      </c>
      <c r="M28" s="358">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1" t="s">
        <v>1033</v>
      </c>
      <c r="I29" s="382" t="s">
        <v>1481</v>
      </c>
      <c r="J29" s="383">
        <f ca="1">ROUND(J26/(1+F40)^F41,0)</f>
        <v>0</v>
      </c>
      <c r="K29" s="384" t="s">
        <v>1482</v>
      </c>
      <c r="L29" s="385"/>
      <c r="M29" s="386">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6">
        <f ca="1">ROUND(C31+C36+C37+C38,0)</f>
        <v>0</v>
      </c>
      <c r="D30" s="1340" t="s">
        <v>1427</v>
      </c>
      <c r="E30" s="1341"/>
      <c r="F30" s="1297"/>
      <c r="G30" s="1855"/>
      <c r="H30" s="745"/>
      <c r="I30" s="746"/>
      <c r="J30" s="747"/>
      <c r="K30" s="748"/>
      <c r="L30" s="749"/>
      <c r="M30" s="750"/>
    </row>
    <row r="31" spans="1:37" ht="18" customHeight="1">
      <c r="A31" s="1204" t="s">
        <v>1035</v>
      </c>
      <c r="B31" s="348" t="s">
        <v>1431</v>
      </c>
      <c r="C31" s="24">
        <f ca="1">ROUND(IF(项目基本情况!B11="自然人",C5*F31,C32+C33+C34),0)</f>
        <v>0</v>
      </c>
      <c r="D31" s="1804" t="s">
        <v>1432</v>
      </c>
      <c r="E31" s="1802" t="s">
        <v>1483</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1435</v>
      </c>
      <c r="C32" s="24">
        <f ca="1">IF(项目基本情况!B11="自然人","——",ROUND(C5*F32/(1+'数据-取费表'!C42),0))</f>
        <v>0</v>
      </c>
      <c r="D32" s="1802" t="s">
        <v>1436</v>
      </c>
      <c r="E32" s="348" t="s">
        <v>1424</v>
      </c>
      <c r="F32" s="378">
        <f>'数据-取费表'!B41</f>
        <v>5.6000000000000001E-2</v>
      </c>
      <c r="G32" s="1855"/>
      <c r="H32" s="745"/>
      <c r="I32" s="746"/>
      <c r="J32" s="747"/>
      <c r="K32" s="748"/>
      <c r="L32" s="749"/>
      <c r="M32" s="750"/>
    </row>
    <row r="33" spans="1:18" ht="18" customHeight="1">
      <c r="A33" s="1204" t="s">
        <v>1036</v>
      </c>
      <c r="B33" s="348" t="s">
        <v>1439</v>
      </c>
      <c r="C33" s="24">
        <f ca="1">IF(项目基本情况!B11="自然人","——",IF(D33="按租金收入计税",ROUND(C5*F33,0),IF(D33="按房产原值计税",ROUND(C29*F33*0.7,0),INDIRECT("'数据-取费表'!Aj"&amp;$G$1))))</f>
        <v>0</v>
      </c>
      <c r="D33" s="1832" t="s">
        <v>1440</v>
      </c>
      <c r="E33" s="348" t="s">
        <v>1424</v>
      </c>
      <c r="F33" s="368">
        <f>IF(D33="按票据","——",IF(D33="按租金收入计税",'数据-取费表'!B51,'数据-取费表'!B50))</f>
        <v>1.2E-2</v>
      </c>
      <c r="G33" s="1855"/>
      <c r="H33" s="1863"/>
      <c r="I33" s="1864"/>
      <c r="J33" s="1865"/>
      <c r="K33" s="1866"/>
      <c r="L33" s="1863"/>
      <c r="M33" s="1863"/>
    </row>
    <row r="34" spans="1:18" ht="18" customHeight="1">
      <c r="A34" s="1294" t="s">
        <v>1390</v>
      </c>
      <c r="B34" s="165" t="s">
        <v>1443</v>
      </c>
      <c r="C34" s="25">
        <f ca="1">IF(项目基本情况!B11="自然人","——",ROUND(F34*F35,))</f>
        <v>0</v>
      </c>
      <c r="D34" s="371" t="s">
        <v>1444</v>
      </c>
      <c r="E34" s="348" t="s">
        <v>1445</v>
      </c>
      <c r="F34" s="372">
        <f>'数据-取费表'!B52</f>
        <v>3</v>
      </c>
      <c r="G34" s="1855"/>
      <c r="H34" s="745"/>
      <c r="I34" s="1864"/>
      <c r="J34" s="1865"/>
      <c r="K34" s="1867"/>
      <c r="L34" s="1868"/>
      <c r="M34" s="1868"/>
    </row>
    <row r="35" spans="1:18" ht="18" customHeight="1">
      <c r="A35" s="1356"/>
      <c r="B35" s="1354"/>
      <c r="C35" s="29"/>
      <c r="D35" s="374"/>
      <c r="E35" s="348" t="s">
        <v>1449</v>
      </c>
      <c r="F35" s="349">
        <f ca="1">INDIRECT("'数据-取费表'!r"&amp;$G$1)</f>
        <v>0</v>
      </c>
      <c r="G35" s="1855"/>
      <c r="H35" s="745"/>
      <c r="I35" s="1864"/>
      <c r="J35" s="1865"/>
      <c r="K35" s="1866"/>
      <c r="L35" s="1863"/>
      <c r="M35" s="1863"/>
    </row>
    <row r="36" spans="1:18" ht="18" customHeight="1">
      <c r="A36" s="1355" t="s">
        <v>1039</v>
      </c>
      <c r="B36" s="348" t="s">
        <v>1451</v>
      </c>
      <c r="C36" s="24">
        <f ca="1">ROUND(C29*F36,0)</f>
        <v>0</v>
      </c>
      <c r="D36" s="1802" t="s">
        <v>1484</v>
      </c>
      <c r="E36" s="348" t="s">
        <v>1424</v>
      </c>
      <c r="F36" s="375">
        <f ca="1">INDIRECT("'数据-取费表'!Ak"&amp;$G$1)</f>
        <v>0</v>
      </c>
      <c r="G36" s="1855"/>
      <c r="H36" s="1863"/>
      <c r="I36" s="1864"/>
      <c r="J36" s="1865"/>
      <c r="K36" s="751"/>
      <c r="L36" s="1863"/>
      <c r="M36" s="1863"/>
    </row>
    <row r="37" spans="1:18" ht="18" customHeight="1">
      <c r="A37" s="1204" t="s">
        <v>1075</v>
      </c>
      <c r="B37" s="348" t="s">
        <v>1455</v>
      </c>
      <c r="C37" s="24">
        <f ca="1">ROUND(C13*F37,0)</f>
        <v>0</v>
      </c>
      <c r="D37" s="1802" t="s">
        <v>1456</v>
      </c>
      <c r="E37" s="348" t="s">
        <v>1457</v>
      </c>
      <c r="F37" s="377">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6">
        <f ca="1">C5-C30</f>
        <v>0</v>
      </c>
      <c r="D39" s="1348" t="s">
        <v>1486</v>
      </c>
      <c r="E39" s="1349"/>
      <c r="F39" s="1350"/>
      <c r="G39" s="1855"/>
      <c r="H39" s="1863"/>
      <c r="I39" s="1864"/>
      <c r="J39" s="1865"/>
      <c r="K39" s="1869"/>
      <c r="L39" s="1863"/>
      <c r="M39" s="1863"/>
    </row>
    <row r="40" spans="1:18" ht="18" customHeight="1">
      <c r="A40" s="345" t="s">
        <v>1032</v>
      </c>
      <c r="B40" s="346" t="s">
        <v>1487</v>
      </c>
      <c r="C40" s="347" t="e">
        <f ca="1">ROUND(C39*(1-((1+F42)/(1+F40))^F41)/(F40-F42),0)</f>
        <v>#DIV/0!</v>
      </c>
      <c r="D40" s="371" t="s">
        <v>1471</v>
      </c>
      <c r="E40" s="348" t="s">
        <v>1472</v>
      </c>
      <c r="F40" s="358">
        <f ca="1">INDIRECT("'数据-取费表'!I"&amp;$G$1)</f>
        <v>0</v>
      </c>
      <c r="G40" s="1855"/>
      <c r="H40" s="1843"/>
      <c r="I40" s="1864"/>
      <c r="J40" s="1865"/>
      <c r="K40" s="1869"/>
      <c r="L40" s="1843"/>
      <c r="M40" s="1843"/>
    </row>
    <row r="41" spans="1:18" ht="18" customHeight="1">
      <c r="A41" s="350"/>
      <c r="B41" s="351"/>
      <c r="C41" s="352"/>
      <c r="D41" s="379" t="s">
        <v>1488</v>
      </c>
      <c r="E41" s="348" t="s">
        <v>1476</v>
      </c>
      <c r="F41" s="380">
        <f ca="1">IF(INDIRECT("'数据-取费表'!af"&amp;$G$1)=0,INDIRECT("'数据-取费表'!ae"&amp;$G$1),INDIRECT("'数据-取费表'!af"&amp;$G$1))</f>
        <v>0</v>
      </c>
      <c r="G41" s="1855"/>
      <c r="H41" s="732"/>
      <c r="I41" s="1864"/>
      <c r="J41" s="1865"/>
      <c r="K41" s="751"/>
      <c r="L41" s="732"/>
      <c r="M41" s="732"/>
    </row>
    <row r="42" spans="1:18" ht="18" customHeight="1">
      <c r="A42" s="354"/>
      <c r="B42" s="355"/>
      <c r="C42" s="356"/>
      <c r="D42" s="374"/>
      <c r="E42" s="348" t="s">
        <v>1479</v>
      </c>
      <c r="F42" s="358">
        <f ca="1">INDIRECT("'数据-取费表'!v"&amp;$G$1)</f>
        <v>0</v>
      </c>
      <c r="G42" s="1855"/>
      <c r="H42" s="732"/>
      <c r="I42" s="1864"/>
      <c r="J42" s="1865"/>
      <c r="K42" s="751"/>
      <c r="L42" s="732"/>
      <c r="M42" s="732"/>
    </row>
    <row r="43" spans="1:18" ht="18" customHeight="1" thickBot="1">
      <c r="A43" s="381" t="s">
        <v>1033</v>
      </c>
      <c r="B43" s="382" t="s">
        <v>1489</v>
      </c>
      <c r="C43" s="383" t="e">
        <f ca="1">ROUND(C40/F43,0)</f>
        <v>#DIV/0!</v>
      </c>
      <c r="D43" s="384" t="s">
        <v>1490</v>
      </c>
      <c r="E43" s="385" t="s">
        <v>1491</v>
      </c>
      <c r="F43" s="386">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1606</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6"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9">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70" t="s">
        <v>1410</v>
      </c>
      <c r="C53" s="362">
        <f ca="1">ROUND(IF(F53="押一",F49*F51*F50/12*F11,IF(F53="押二",F49*F51*F50/12*2*F11,IF(F53="押三",F49*F51*F50/12*3*F11,C54*F11))),0)</f>
        <v>0</v>
      </c>
      <c r="D53" s="1828" t="s">
        <v>1411</v>
      </c>
      <c r="E53" s="359" t="s">
        <v>1412</v>
      </c>
      <c r="F53" s="1369"/>
      <c r="I53" s="1909" t="s">
        <v>1549</v>
      </c>
      <c r="J53" s="1910" t="b">
        <f>IF(M47="住宅",J51,IF(D1="——",MIN(J51,L48),IF(D1="在建（套用方法）",MIN(J51,L48-'数据-取费表'!B24),IF(D1="土地（套用方法）",MIN(J51,L48-'数据-取费表'!B20)))))</f>
        <v>0</v>
      </c>
      <c r="K53" s="3191" t="s">
        <v>1550</v>
      </c>
      <c r="L53" s="3192"/>
      <c r="O53" s="1888" t="s">
        <v>1046</v>
      </c>
      <c r="P53" s="1889" t="s">
        <v>1551</v>
      </c>
      <c r="Q53" s="1890" t="e">
        <f ca="1">Q47+Q48</f>
        <v>#DIV/0!</v>
      </c>
      <c r="R53" s="1890" t="s">
        <v>1047</v>
      </c>
    </row>
    <row r="54" spans="1:18" s="1846" customFormat="1" ht="13.5" thickBot="1">
      <c r="A54" s="1197"/>
      <c r="B54" s="1945" t="s">
        <v>1605</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7">
        <f ca="1">C13</f>
        <v>0</v>
      </c>
      <c r="D56" s="1918"/>
      <c r="E56" s="1919"/>
      <c r="F56" s="1911"/>
      <c r="I56" s="1920" t="s">
        <v>1556</v>
      </c>
      <c r="J56" s="1921"/>
      <c r="K56" s="1891" t="s">
        <v>1557</v>
      </c>
      <c r="L56" s="1894">
        <f ca="1">IF(L48&lt;J51,"——",L48-J51)</f>
        <v>0</v>
      </c>
      <c r="O56" s="1888" t="s">
        <v>1040</v>
      </c>
      <c r="P56" s="1889" t="s">
        <v>1530</v>
      </c>
      <c r="Q56" s="1890" t="e">
        <f ca="1">C40+J29</f>
        <v>#DIV/0!</v>
      </c>
      <c r="R56" s="1890" t="s">
        <v>1531</v>
      </c>
    </row>
    <row r="57" spans="1:18" s="1846" customFormat="1" ht="24.75" thickBot="1">
      <c r="A57" s="1922"/>
      <c r="B57" s="1172" t="s">
        <v>1480</v>
      </c>
      <c r="C57" s="283">
        <f ca="1">C29</f>
        <v>0</v>
      </c>
      <c r="D57" s="1923"/>
      <c r="E57" s="1924"/>
      <c r="F57" s="1925"/>
      <c r="I57" s="1926" t="s">
        <v>1558</v>
      </c>
      <c r="J57" s="1927">
        <f ca="1">IF(OR(M47="住宅",J51&lt;L48,J56="是"),"——",J51-L48)</f>
        <v>0</v>
      </c>
      <c r="K57" s="1891" t="s">
        <v>1607</v>
      </c>
      <c r="L57" s="1894">
        <f ca="1">IF(L48&lt;J51,"——",IF(L55="比较法",L49,IF(L55="基准地价",L50,L51)))</f>
        <v>0</v>
      </c>
      <c r="O57" s="1888" t="s">
        <v>1041</v>
      </c>
      <c r="P57" s="1889" t="s">
        <v>1608</v>
      </c>
      <c r="Q57" s="1890" t="e">
        <f ca="1">L60</f>
        <v>#DIV/0!</v>
      </c>
      <c r="R57" s="1890" t="s">
        <v>1609</v>
      </c>
    </row>
    <row r="58" spans="1:18" s="1846" customFormat="1" ht="24.75" thickBot="1">
      <c r="A58" s="361" t="s">
        <v>1030</v>
      </c>
      <c r="B58" s="1180" t="s">
        <v>1426</v>
      </c>
      <c r="C58" s="362">
        <f ca="1">ROUND(C59+C64+C65+C66,0)</f>
        <v>0</v>
      </c>
      <c r="D58" s="1182" t="s">
        <v>1427</v>
      </c>
      <c r="E58" s="1183"/>
      <c r="F58" s="1184"/>
      <c r="I58" s="1926" t="s">
        <v>1562</v>
      </c>
      <c r="J58" s="1928" t="e">
        <f ca="1">IF(J55&lt;0.4,0.4,J55)</f>
        <v>#DIV/0!</v>
      </c>
      <c r="K58" s="1904" t="s">
        <v>1610</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ROUND(IF(项目基本情况!B11="自然人",C48*F59,C60+C61+C62),0)</f>
        <v>0</v>
      </c>
      <c r="D59" s="1185" t="s">
        <v>1432</v>
      </c>
      <c r="E59" s="1186" t="s">
        <v>1433</v>
      </c>
      <c r="F59" s="369" t="str">
        <f ca="1">IF(项目基本情况!B11="企业","",IF(INDIRECT("'数据-取费表'!c"&amp;$G$1)="住宅",5%,IF(F49*F50*F51/12/(1+'数据-取费表'!C42)&gt;20000,12%,7%)))</f>
        <v/>
      </c>
      <c r="I59" s="1926" t="s">
        <v>1565</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8">
        <f t="shared" ref="F60:F66" si="0">F32</f>
        <v>5.6000000000000001E-2</v>
      </c>
      <c r="I60" s="1929" t="s">
        <v>1567</v>
      </c>
      <c r="J60" s="1930" t="e">
        <f ca="1">IF(OR(M47="住宅",J51&lt;L48,J56="是"),"0",ROUND(J59/(1+J52)^J53,0))</f>
        <v>#DIV/0!</v>
      </c>
      <c r="K60" s="1931" t="s">
        <v>1568</v>
      </c>
      <c r="L60" s="1930" t="e">
        <f ca="1">IF(OR(M47="住宅",L48&lt;J51),0,ROUND(L57*(L58/L59-1),0))</f>
        <v>#DIV/0!</v>
      </c>
      <c r="O60" s="1898" t="s">
        <v>1044</v>
      </c>
      <c r="P60" s="1889" t="s">
        <v>1569</v>
      </c>
      <c r="Q60" s="1890" t="e">
        <f ca="1">L58</f>
        <v>#DIV/0!</v>
      </c>
      <c r="R60" s="1890" t="s">
        <v>1570</v>
      </c>
    </row>
    <row r="61" spans="1:18" s="1846" customFormat="1" ht="13.5" thickBot="1">
      <c r="A61" s="1204" t="s">
        <v>1494</v>
      </c>
      <c r="B61" s="1172" t="s">
        <v>1495</v>
      </c>
      <c r="C61" s="24">
        <f ca="1">IF(项目基本情况!B11="自然人","——",IF(D61="按租金收入计税",ROUND(C48*F61,0),IF(D61="按房产原值计税",ROUND(C57*F61*0.7,0),INDIRECT("'数据-取费表'!Aj"&amp;$G$1))))</f>
        <v>0</v>
      </c>
      <c r="D61" s="1832" t="s">
        <v>1440</v>
      </c>
      <c r="E61" s="1172" t="s">
        <v>1496</v>
      </c>
      <c r="F61" s="368">
        <f t="shared" si="0"/>
        <v>1.2E-2</v>
      </c>
      <c r="I61" s="1932"/>
      <c r="J61" s="1932"/>
      <c r="K61" s="1932"/>
      <c r="L61" s="1932"/>
      <c r="O61" s="1898" t="s">
        <v>1045</v>
      </c>
      <c r="P61" s="1889" t="str">
        <f>K59</f>
        <v>建设期及建筑物耐用年限下的土地年期修正系数Kn</v>
      </c>
      <c r="Q61" s="1890" t="e">
        <f ca="1">L59</f>
        <v>#DIV/0!</v>
      </c>
      <c r="R61" s="1890" t="s">
        <v>1571</v>
      </c>
    </row>
    <row r="62" spans="1:18" s="1846" customFormat="1" ht="13.5" thickBot="1">
      <c r="A62" s="1204" t="s">
        <v>1497</v>
      </c>
      <c r="B62" s="1171" t="s">
        <v>1498</v>
      </c>
      <c r="C62" s="25">
        <f ca="1">IF(项目基本情况!B11="自然人","——",ROUND(F62*F63,0))</f>
        <v>0</v>
      </c>
      <c r="D62" s="1187" t="s">
        <v>1499</v>
      </c>
      <c r="E62" s="1172" t="s">
        <v>1500</v>
      </c>
      <c r="F62" s="372">
        <f t="shared" si="0"/>
        <v>3</v>
      </c>
      <c r="I62" s="1933" t="s">
        <v>1572</v>
      </c>
      <c r="J62" s="1934" t="s">
        <v>1573</v>
      </c>
      <c r="K62" s="1934" t="s">
        <v>1574</v>
      </c>
      <c r="L62" s="1934" t="s">
        <v>1575</v>
      </c>
      <c r="M62" s="1935" t="s">
        <v>1576</v>
      </c>
      <c r="O62" s="1888" t="s">
        <v>1046</v>
      </c>
      <c r="P62" s="1889" t="s">
        <v>1577</v>
      </c>
      <c r="Q62" s="1890" t="e">
        <f ca="1">Q56+Q57</f>
        <v>#DIV/0!</v>
      </c>
      <c r="R62" s="1890" t="s">
        <v>1047</v>
      </c>
    </row>
    <row r="63" spans="1:18" s="1846" customFormat="1" ht="13.5" thickBot="1">
      <c r="A63" s="373"/>
      <c r="B63" s="1178"/>
      <c r="C63" s="29"/>
      <c r="D63" s="1188"/>
      <c r="E63" s="1172" t="s">
        <v>1501</v>
      </c>
      <c r="F63" s="349">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ROUND(C57*F64,0)</f>
        <v>0</v>
      </c>
      <c r="D64" s="1186" t="s">
        <v>1504</v>
      </c>
      <c r="E64" s="1172" t="s">
        <v>1496</v>
      </c>
      <c r="F64" s="375">
        <f t="shared" ca="1" si="0"/>
        <v>0</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0</v>
      </c>
      <c r="D65" s="1186" t="s">
        <v>1456</v>
      </c>
      <c r="E65" s="1172" t="s">
        <v>1457</v>
      </c>
      <c r="F65" s="377">
        <f t="shared" ca="1" si="0"/>
        <v>0</v>
      </c>
      <c r="I65" s="1933" t="s">
        <v>1581</v>
      </c>
      <c r="J65" s="1934">
        <v>40</v>
      </c>
      <c r="K65" s="1934">
        <v>30</v>
      </c>
      <c r="L65" s="1934">
        <v>50</v>
      </c>
      <c r="M65" s="1936">
        <v>0.02</v>
      </c>
      <c r="O65" s="1888" t="s">
        <v>1040</v>
      </c>
      <c r="P65" s="1889" t="s">
        <v>1582</v>
      </c>
      <c r="Q65" s="1890" t="e">
        <f ca="1">C40+J29</f>
        <v>#DIV/0!</v>
      </c>
      <c r="R65" s="1890" t="s">
        <v>1531</v>
      </c>
    </row>
    <row r="66" spans="1:18" s="1846" customFormat="1" ht="16.5" thickBot="1">
      <c r="A66" s="1204" t="s">
        <v>1506</v>
      </c>
      <c r="B66" s="1172" t="s">
        <v>1441</v>
      </c>
      <c r="C66" s="24">
        <f ca="1">ROUND(C48*F66,0)</f>
        <v>0</v>
      </c>
      <c r="D66" s="1186" t="s">
        <v>1507</v>
      </c>
      <c r="E66" s="1172" t="s">
        <v>1424</v>
      </c>
      <c r="F66" s="358">
        <f t="shared" ca="1" si="0"/>
        <v>0</v>
      </c>
      <c r="O66" s="1888" t="s">
        <v>1041</v>
      </c>
      <c r="P66" s="1889" t="s">
        <v>1560</v>
      </c>
      <c r="Q66" s="1890" t="e">
        <f ca="1">L60</f>
        <v>#DIV/0!</v>
      </c>
      <c r="R66" s="1890" t="s">
        <v>1583</v>
      </c>
    </row>
    <row r="67" spans="1:18" s="1846" customFormat="1" ht="16.5" thickBot="1">
      <c r="A67" s="1179" t="s">
        <v>1031</v>
      </c>
      <c r="B67" s="1189" t="s">
        <v>1465</v>
      </c>
      <c r="C67" s="362">
        <f ca="1">C48-C58</f>
        <v>0</v>
      </c>
      <c r="D67" s="1185" t="s">
        <v>1466</v>
      </c>
      <c r="E67" s="1190"/>
      <c r="F67" s="1191"/>
      <c r="O67" s="1898" t="s">
        <v>1042</v>
      </c>
      <c r="P67" s="1889" t="s">
        <v>1564</v>
      </c>
      <c r="Q67" s="1937">
        <f ca="1">L51</f>
        <v>0</v>
      </c>
      <c r="R67" s="1890" t="s">
        <v>1584</v>
      </c>
    </row>
    <row r="68" spans="1:18" s="1846" customFormat="1" ht="16.5" thickBot="1">
      <c r="A68" s="1169" t="s">
        <v>1032</v>
      </c>
      <c r="B68" s="1170" t="s">
        <v>1487</v>
      </c>
      <c r="C68" s="347" t="e">
        <f ca="1">ROUND(C67*(1-((1+F70)/(1+F68))^F69)/(F68-F70),0)</f>
        <v>#DIV/0!</v>
      </c>
      <c r="D68" s="1187" t="s">
        <v>1471</v>
      </c>
      <c r="E68" s="1172" t="s">
        <v>1472</v>
      </c>
      <c r="F68" s="358">
        <f ca="1">F40</f>
        <v>0</v>
      </c>
      <c r="O68" s="1898" t="s">
        <v>1043</v>
      </c>
      <c r="P68" s="1938" t="s">
        <v>1585</v>
      </c>
      <c r="Q68" s="1890">
        <f ca="1">ROUND(Q69-Q70*Q71,0)</f>
        <v>0</v>
      </c>
      <c r="R68" s="1890" t="s">
        <v>1051</v>
      </c>
    </row>
    <row r="69" spans="1:18" s="1846" customFormat="1" ht="13.5" thickBot="1">
      <c r="A69" s="1173"/>
      <c r="B69" s="1174"/>
      <c r="C69" s="352"/>
      <c r="D69" s="1192" t="s">
        <v>1475</v>
      </c>
      <c r="E69" s="1172" t="s">
        <v>1476</v>
      </c>
      <c r="F69" s="380">
        <f ca="1">F41</f>
        <v>0</v>
      </c>
      <c r="O69" s="1898" t="s">
        <v>1048</v>
      </c>
      <c r="P69" s="1938" t="s">
        <v>1586</v>
      </c>
      <c r="Q69" s="1890">
        <f ca="1">C39</f>
        <v>0</v>
      </c>
      <c r="R69" s="1890" t="s">
        <v>1531</v>
      </c>
    </row>
    <row r="70" spans="1:18" s="1846" customFormat="1" ht="13.5" thickBot="1">
      <c r="A70" s="1176"/>
      <c r="B70" s="1177"/>
      <c r="C70" s="356"/>
      <c r="D70" s="1188"/>
      <c r="E70" s="1172" t="s">
        <v>1479</v>
      </c>
      <c r="F70" s="1278">
        <f ca="1">F42</f>
        <v>0</v>
      </c>
      <c r="O70" s="1898" t="s">
        <v>1049</v>
      </c>
      <c r="P70" s="1938" t="s">
        <v>1587</v>
      </c>
      <c r="Q70" s="1890">
        <f ca="1">C13</f>
        <v>0</v>
      </c>
      <c r="R70" s="1890" t="s">
        <v>1531</v>
      </c>
    </row>
    <row r="71" spans="1:18" s="1846" customFormat="1" ht="13.5" thickBot="1">
      <c r="A71" s="1193" t="s">
        <v>1033</v>
      </c>
      <c r="B71" s="1194" t="s">
        <v>1489</v>
      </c>
      <c r="C71" s="383" t="e">
        <f ca="1">ROUND(C68/F71,0)</f>
        <v>#DIV/0!</v>
      </c>
      <c r="D71" s="1195" t="s">
        <v>1490</v>
      </c>
      <c r="E71" s="1196" t="s">
        <v>1491</v>
      </c>
      <c r="F71" s="386">
        <f ca="1">F43</f>
        <v>0</v>
      </c>
      <c r="O71" s="1898" t="s">
        <v>1050</v>
      </c>
      <c r="P71" s="1938" t="s">
        <v>1588</v>
      </c>
      <c r="Q71" s="1901">
        <f ca="1">C76</f>
        <v>0</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8" t="s">
        <v>1589</v>
      </c>
      <c r="C74" s="1940"/>
      <c r="D74" s="1846"/>
      <c r="E74" s="1846"/>
      <c r="F74" s="1846"/>
      <c r="O74" s="1898" t="s">
        <v>1052</v>
      </c>
      <c r="P74" s="1889" t="str">
        <f>K59</f>
        <v>建设期及建筑物耐用年限下的土地年期修正系数Kn</v>
      </c>
      <c r="Q74" s="1890" t="e">
        <f ca="1">L59</f>
        <v>#DIV/0!</v>
      </c>
      <c r="R74" s="1890" t="s">
        <v>1571</v>
      </c>
    </row>
    <row r="75" spans="1:18" ht="13.5" thickBot="1">
      <c r="A75" s="1846"/>
      <c r="B75" s="387" t="s">
        <v>1508</v>
      </c>
      <c r="C75" s="388">
        <f ca="1">ROUND(C13*C76,0)</f>
        <v>0</v>
      </c>
      <c r="D75" s="1846"/>
      <c r="E75" s="1846"/>
      <c r="F75" s="1846"/>
      <c r="K75" s="1872"/>
      <c r="L75" s="1846"/>
      <c r="O75" s="1888" t="s">
        <v>1046</v>
      </c>
      <c r="P75" s="1889" t="s">
        <v>1551</v>
      </c>
      <c r="Q75" s="1890" t="e">
        <f ca="1">Q65+Q66</f>
        <v>#DIV/0!</v>
      </c>
      <c r="R75" s="1890" t="s">
        <v>1047</v>
      </c>
    </row>
    <row r="76" spans="1:18">
      <c r="B76" s="389" t="s">
        <v>1509</v>
      </c>
      <c r="C76" s="390">
        <f ca="1">INDIRECT("'数据-取费表'!j"&amp;$G$1)</f>
        <v>0</v>
      </c>
      <c r="I76" s="1846"/>
      <c r="J76" s="1846"/>
      <c r="K76" s="1872"/>
      <c r="L76" s="1846"/>
    </row>
    <row r="77" spans="1:18">
      <c r="B77" s="391" t="s">
        <v>1510</v>
      </c>
      <c r="C77" s="392"/>
      <c r="I77" s="1846"/>
      <c r="J77" s="1846"/>
      <c r="K77" s="1872"/>
      <c r="L77" s="1846"/>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6" t="s">
        <v>2522</v>
      </c>
      <c r="B1" s="2567"/>
      <c r="C1" s="2567"/>
      <c r="D1" s="2567"/>
      <c r="E1" s="2568"/>
    </row>
    <row r="2" spans="1:6" ht="15.75">
      <c r="A2" s="2569" t="s">
        <v>2323</v>
      </c>
      <c r="B2" s="2570">
        <f ca="1">SUMIF(B6:B13,"&lt;&gt;#ref!",B6:B13)</f>
        <v>5569</v>
      </c>
      <c r="C2" s="2571" t="s">
        <v>2515</v>
      </c>
      <c r="D2" s="2572" t="s">
        <v>2516</v>
      </c>
      <c r="E2" s="2573">
        <f>SUM(E6:E13)</f>
        <v>2300.98</v>
      </c>
    </row>
    <row r="3" spans="1:6" ht="15.75">
      <c r="A3" s="2569" t="s">
        <v>1396</v>
      </c>
      <c r="B3" s="2570">
        <f ca="1">ROUND(B2*10000/E2,0)</f>
        <v>24203</v>
      </c>
      <c r="C3" s="2571" t="s">
        <v>2523</v>
      </c>
      <c r="D3" s="2574"/>
      <c r="E3" s="2575"/>
    </row>
    <row r="4" spans="1:6" ht="15.75">
      <c r="A4" s="2576"/>
      <c r="B4" s="2574"/>
      <c r="C4" s="2574"/>
      <c r="D4" s="2574"/>
      <c r="E4" s="2575"/>
    </row>
    <row r="5" spans="1:6" ht="15">
      <c r="A5" s="2577" t="s">
        <v>2517</v>
      </c>
      <c r="B5" s="3196" t="s">
        <v>2518</v>
      </c>
      <c r="C5" s="3196"/>
      <c r="D5" s="2578"/>
      <c r="E5" s="2579" t="s">
        <v>2519</v>
      </c>
      <c r="F5" s="2580" t="s">
        <v>2520</v>
      </c>
    </row>
    <row r="6" spans="1:6">
      <c r="A6" s="2581" t="str">
        <f>'数据-取费表'!AN6</f>
        <v>收益法</v>
      </c>
      <c r="B6" s="2580">
        <f ca="1">IF(F6="是",'数据-取费表'!AO6,0)</f>
        <v>5569</v>
      </c>
      <c r="C6" s="2571" t="s">
        <v>2515</v>
      </c>
      <c r="D6" s="2574"/>
      <c r="E6" s="2582">
        <f>IF(OR(A6=0,F6="否"),0,'数据-取费表'!K6+'数据-取费表'!S6)</f>
        <v>2300.98</v>
      </c>
      <c r="F6" s="2583" t="s">
        <v>2521</v>
      </c>
    </row>
    <row r="7" spans="1:6">
      <c r="A7" s="2581">
        <f>'数据-取费表'!AN7</f>
        <v>0</v>
      </c>
      <c r="B7" s="2580" t="e">
        <f ca="1">IF(F7="是",'数据-取费表'!AO7,0)</f>
        <v>#REF!</v>
      </c>
      <c r="C7" s="2571" t="s">
        <v>2515</v>
      </c>
      <c r="D7" s="2574"/>
      <c r="E7" s="2582">
        <f>IF(OR(A7=0,F7="否"),0,'数据-取费表'!K7+'数据-取费表'!S7)</f>
        <v>0</v>
      </c>
      <c r="F7" s="2583" t="s">
        <v>2521</v>
      </c>
    </row>
    <row r="8" spans="1:6">
      <c r="A8" s="2581">
        <f>'数据-取费表'!AN8</f>
        <v>0</v>
      </c>
      <c r="B8" s="2580" t="e">
        <f ca="1">IF(F8="是",'数据-取费表'!AO8,0)</f>
        <v>#REF!</v>
      </c>
      <c r="C8" s="2571" t="s">
        <v>2515</v>
      </c>
      <c r="D8" s="2574"/>
      <c r="E8" s="2582">
        <f>IF(OR(A8=0,F8="否"),0,'数据-取费表'!K8+'数据-取费表'!S8)</f>
        <v>0</v>
      </c>
      <c r="F8" s="2583" t="s">
        <v>2521</v>
      </c>
    </row>
    <row r="9" spans="1:6">
      <c r="A9" s="2581">
        <f>'数据-取费表'!AN9</f>
        <v>0</v>
      </c>
      <c r="B9" s="2580" t="e">
        <f ca="1">IF(F9="是",'数据-取费表'!AO9,0)</f>
        <v>#REF!</v>
      </c>
      <c r="C9" s="2571" t="s">
        <v>2515</v>
      </c>
      <c r="D9" s="2574"/>
      <c r="E9" s="2582">
        <f>IF(OR(A9=0,F9="否"),0,'数据-取费表'!K9+'数据-取费表'!S9)</f>
        <v>0</v>
      </c>
      <c r="F9" s="2583" t="s">
        <v>2521</v>
      </c>
    </row>
    <row r="10" spans="1:6">
      <c r="A10" s="2581">
        <f>'数据-取费表'!AN10</f>
        <v>0</v>
      </c>
      <c r="B10" s="2580" t="e">
        <f ca="1">IF(F10="是",'数据-取费表'!AO10,0)</f>
        <v>#REF!</v>
      </c>
      <c r="C10" s="2571" t="s">
        <v>2515</v>
      </c>
      <c r="D10" s="2574"/>
      <c r="E10" s="2582">
        <f>IF(OR(A10=0,F10="否"),0,'数据-取费表'!K10+'数据-取费表'!S10)</f>
        <v>0</v>
      </c>
      <c r="F10" s="2583" t="s">
        <v>2521</v>
      </c>
    </row>
    <row r="11" spans="1:6">
      <c r="A11" s="2581">
        <f>'数据-取费表'!AN11</f>
        <v>0</v>
      </c>
      <c r="B11" s="2580" t="e">
        <f ca="1">IF(F11="是",'数据-取费表'!AO11,0)</f>
        <v>#REF!</v>
      </c>
      <c r="C11" s="2571" t="s">
        <v>2515</v>
      </c>
      <c r="D11" s="2574"/>
      <c r="E11" s="2582">
        <f>IF(OR(A11=0,F11="否"),0,'数据-取费表'!K11+'数据-取费表'!S11)</f>
        <v>0</v>
      </c>
      <c r="F11" s="2583" t="s">
        <v>2521</v>
      </c>
    </row>
    <row r="12" spans="1:6">
      <c r="A12" s="2581">
        <f>'数据-取费表'!AN12</f>
        <v>0</v>
      </c>
      <c r="B12" s="2580" t="e">
        <f ca="1">IF(F12="是",'数据-取费表'!AO12,0)</f>
        <v>#REF!</v>
      </c>
      <c r="C12" s="2571" t="s">
        <v>2515</v>
      </c>
      <c r="D12" s="2574"/>
      <c r="E12" s="2582">
        <f>IF(OR(A12=0,F12="否"),0,'数据-取费表'!K12+'数据-取费表'!S12)</f>
        <v>0</v>
      </c>
      <c r="F12" s="2583" t="s">
        <v>2521</v>
      </c>
    </row>
    <row r="13" spans="1:6" ht="15" thickBot="1">
      <c r="A13" s="2584">
        <f>'数据-取费表'!AN13</f>
        <v>0</v>
      </c>
      <c r="B13" s="2580" t="e">
        <f ca="1">IF(F13="是",'数据-取费表'!AO13,0)</f>
        <v>#REF!</v>
      </c>
      <c r="C13" s="2585" t="s">
        <v>2515</v>
      </c>
      <c r="D13" s="2586"/>
      <c r="E13" s="2582">
        <f>IF(OR(A13=0,F13="否"),0,'数据-取费表'!K13+'数据-取费表'!S13)</f>
        <v>0</v>
      </c>
      <c r="F13" s="2583"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7" t="s">
        <v>1076</v>
      </c>
      <c r="B1" s="3198"/>
      <c r="C1" s="3199"/>
      <c r="D1" s="3200">
        <f>SUM(I10,I15,I20,I21,I23)</f>
        <v>0</v>
      </c>
      <c r="E1" s="3200"/>
      <c r="F1" s="3200"/>
      <c r="G1" s="3200"/>
      <c r="H1" s="3200"/>
      <c r="I1" s="3201"/>
    </row>
    <row r="2" spans="1:9">
      <c r="A2" s="3202" t="s">
        <v>1077</v>
      </c>
      <c r="B2" s="3203" t="s">
        <v>1078</v>
      </c>
      <c r="C2" s="3203"/>
      <c r="D2" s="1304" t="s">
        <v>1079</v>
      </c>
      <c r="E2" s="1304" t="s">
        <v>1080</v>
      </c>
      <c r="F2" s="1304" t="s">
        <v>1081</v>
      </c>
      <c r="G2" s="1304" t="s">
        <v>1082</v>
      </c>
      <c r="H2" s="1304" t="s">
        <v>1083</v>
      </c>
      <c r="I2" s="1305" t="s">
        <v>1084</v>
      </c>
    </row>
    <row r="3" spans="1:9">
      <c r="A3" s="3202"/>
      <c r="B3" s="3203" t="s">
        <v>1085</v>
      </c>
      <c r="C3" s="3203"/>
      <c r="D3" s="1306"/>
      <c r="E3" s="1304"/>
      <c r="F3" s="1307"/>
      <c r="G3" s="1307"/>
      <c r="H3" s="1308"/>
      <c r="I3" s="1309">
        <f>ROUND(D3*E3*F3*G3*H3/10000,0)</f>
        <v>0</v>
      </c>
    </row>
    <row r="4" spans="1:9">
      <c r="A4" s="3202"/>
      <c r="B4" s="3203" t="s">
        <v>1086</v>
      </c>
      <c r="C4" s="3203"/>
      <c r="D4" s="1306"/>
      <c r="E4" s="1304"/>
      <c r="F4" s="1307"/>
      <c r="G4" s="1307"/>
      <c r="H4" s="1308"/>
      <c r="I4" s="1309">
        <f t="shared" ref="I4:I9" si="0">ROUND(D4*E4*F4*G4*H4/10000,0)</f>
        <v>0</v>
      </c>
    </row>
    <row r="5" spans="1:9">
      <c r="A5" s="3202"/>
      <c r="B5" s="3203" t="s">
        <v>1087</v>
      </c>
      <c r="C5" s="3203"/>
      <c r="D5" s="1306"/>
      <c r="E5" s="1304"/>
      <c r="F5" s="1307"/>
      <c r="G5" s="1307"/>
      <c r="H5" s="1308"/>
      <c r="I5" s="1309">
        <f t="shared" si="0"/>
        <v>0</v>
      </c>
    </row>
    <row r="6" spans="1:9">
      <c r="A6" s="3202"/>
      <c r="B6" s="3203" t="s">
        <v>1088</v>
      </c>
      <c r="C6" s="3203"/>
      <c r="D6" s="1306"/>
      <c r="E6" s="1304"/>
      <c r="F6" s="1307"/>
      <c r="G6" s="1307"/>
      <c r="H6" s="1308"/>
      <c r="I6" s="1309">
        <f t="shared" si="0"/>
        <v>0</v>
      </c>
    </row>
    <row r="7" spans="1:9">
      <c r="A7" s="3202"/>
      <c r="B7" s="3203" t="s">
        <v>1089</v>
      </c>
      <c r="C7" s="3203"/>
      <c r="D7" s="1306"/>
      <c r="E7" s="1304"/>
      <c r="F7" s="1307"/>
      <c r="G7" s="1307"/>
      <c r="H7" s="1308"/>
      <c r="I7" s="1309">
        <f t="shared" si="0"/>
        <v>0</v>
      </c>
    </row>
    <row r="8" spans="1:9">
      <c r="A8" s="3202"/>
      <c r="B8" s="3203" t="s">
        <v>1090</v>
      </c>
      <c r="C8" s="3203"/>
      <c r="D8" s="1306"/>
      <c r="E8" s="1304"/>
      <c r="F8" s="1307"/>
      <c r="G8" s="1307"/>
      <c r="H8" s="1308"/>
      <c r="I8" s="1309">
        <f t="shared" si="0"/>
        <v>0</v>
      </c>
    </row>
    <row r="9" spans="1:9">
      <c r="A9" s="3202"/>
      <c r="B9" s="3203" t="s">
        <v>1091</v>
      </c>
      <c r="C9" s="3203"/>
      <c r="D9" s="1306"/>
      <c r="E9" s="1304"/>
      <c r="F9" s="1307"/>
      <c r="G9" s="1307"/>
      <c r="H9" s="1308"/>
      <c r="I9" s="1309">
        <f t="shared" si="0"/>
        <v>0</v>
      </c>
    </row>
    <row r="10" spans="1:9">
      <c r="A10" s="3202"/>
      <c r="B10" s="3204" t="s">
        <v>1092</v>
      </c>
      <c r="C10" s="3204"/>
      <c r="D10" s="1310"/>
      <c r="E10" s="1310" t="e">
        <f>ROUND(D1*10000/D10/H9,0)</f>
        <v>#DIV/0!</v>
      </c>
      <c r="F10" s="1311"/>
      <c r="G10" s="1311"/>
      <c r="H10" s="1312"/>
      <c r="I10" s="1313">
        <f>SUM(I3:I9)</f>
        <v>0</v>
      </c>
    </row>
    <row r="11" spans="1:9" ht="14.25">
      <c r="A11" s="3202" t="s">
        <v>1093</v>
      </c>
      <c r="B11" s="3203" t="s">
        <v>1094</v>
      </c>
      <c r="C11" s="3203"/>
      <c r="D11" s="1306" t="s">
        <v>1095</v>
      </c>
      <c r="E11" s="1306" t="s">
        <v>1096</v>
      </c>
      <c r="F11" s="1307" t="s">
        <v>1097</v>
      </c>
      <c r="G11" s="1307" t="s">
        <v>1083</v>
      </c>
      <c r="H11" s="1314" t="s">
        <v>1098</v>
      </c>
      <c r="I11" s="1305" t="s">
        <v>1084</v>
      </c>
    </row>
    <row r="12" spans="1:9">
      <c r="A12" s="3202"/>
      <c r="B12" s="3203" t="s">
        <v>1099</v>
      </c>
      <c r="C12" s="3203"/>
      <c r="D12" s="1306"/>
      <c r="E12" s="1306"/>
      <c r="F12" s="1307"/>
      <c r="G12" s="1308"/>
      <c r="H12" s="1315"/>
      <c r="I12" s="1305">
        <f>ROUND(D12*E12*F12*G12/10000,0)</f>
        <v>0</v>
      </c>
    </row>
    <row r="13" spans="1:9">
      <c r="A13" s="3202"/>
      <c r="B13" s="3203" t="s">
        <v>1100</v>
      </c>
      <c r="C13" s="3203"/>
      <c r="D13" s="1306"/>
      <c r="E13" s="1306"/>
      <c r="F13" s="1307"/>
      <c r="G13" s="1308"/>
      <c r="H13" s="1315"/>
      <c r="I13" s="1305">
        <f>ROUND(D13*E13*F13*G13/10000,0)</f>
        <v>0</v>
      </c>
    </row>
    <row r="14" spans="1:9">
      <c r="A14" s="3202"/>
      <c r="B14" s="3203" t="s">
        <v>1101</v>
      </c>
      <c r="C14" s="3203"/>
      <c r="D14" s="1306"/>
      <c r="E14" s="1306"/>
      <c r="F14" s="1307"/>
      <c r="G14" s="1308"/>
      <c r="H14" s="1315"/>
      <c r="I14" s="1305">
        <f>ROUND(D14*E14*F14*G14/10000,0)</f>
        <v>0</v>
      </c>
    </row>
    <row r="15" spans="1:9">
      <c r="A15" s="3202"/>
      <c r="B15" s="3204" t="s">
        <v>1092</v>
      </c>
      <c r="C15" s="3204"/>
      <c r="D15" s="1310"/>
      <c r="E15" s="1310">
        <f>SUM(E12:E14)</f>
        <v>0</v>
      </c>
      <c r="F15" s="1311"/>
      <c r="G15" s="1308"/>
      <c r="H15" s="1315"/>
      <c r="I15" s="1316">
        <f>SUM(I12:I14)</f>
        <v>0</v>
      </c>
    </row>
    <row r="16" spans="1:9" ht="24">
      <c r="A16" s="3202" t="s">
        <v>1102</v>
      </c>
      <c r="B16" s="3203" t="s">
        <v>1103</v>
      </c>
      <c r="C16" s="3203"/>
      <c r="D16" s="1306" t="s">
        <v>1079</v>
      </c>
      <c r="E16" s="1317" t="s">
        <v>1104</v>
      </c>
      <c r="F16" s="1307" t="s">
        <v>1105</v>
      </c>
      <c r="G16" s="1308" t="s">
        <v>1083</v>
      </c>
      <c r="H16" s="1314" t="s">
        <v>1098</v>
      </c>
      <c r="I16" s="1305" t="s">
        <v>1084</v>
      </c>
    </row>
    <row r="17" spans="1:9" ht="14.25">
      <c r="A17" s="3202"/>
      <c r="B17" s="3203" t="s">
        <v>1106</v>
      </c>
      <c r="C17" s="3203"/>
      <c r="D17" s="1306"/>
      <c r="E17" s="1306"/>
      <c r="F17" s="1307"/>
      <c r="G17" s="1308"/>
      <c r="H17" s="1318"/>
      <c r="I17" s="1319">
        <f>ROUND(D17*E17*F17*G17/10000,0)</f>
        <v>0</v>
      </c>
    </row>
    <row r="18" spans="1:9" ht="14.25">
      <c r="A18" s="3202"/>
      <c r="B18" s="3203" t="s">
        <v>1107</v>
      </c>
      <c r="C18" s="3203"/>
      <c r="D18" s="1306"/>
      <c r="E18" s="1306"/>
      <c r="F18" s="1307"/>
      <c r="G18" s="1308"/>
      <c r="H18" s="1318"/>
      <c r="I18" s="1319">
        <f>ROUND(D18*E18*F18*G18/10000,0)</f>
        <v>0</v>
      </c>
    </row>
    <row r="19" spans="1:9" ht="14.25">
      <c r="A19" s="3202"/>
      <c r="B19" s="3203" t="s">
        <v>1108</v>
      </c>
      <c r="C19" s="3203"/>
      <c r="D19" s="1306"/>
      <c r="E19" s="1306"/>
      <c r="F19" s="1307"/>
      <c r="G19" s="1308"/>
      <c r="H19" s="1318"/>
      <c r="I19" s="1319">
        <f>ROUND(D19*E19*F19*G19/10000,0)</f>
        <v>0</v>
      </c>
    </row>
    <row r="20" spans="1:9">
      <c r="A20" s="3202"/>
      <c r="B20" s="3204" t="s">
        <v>1092</v>
      </c>
      <c r="C20" s="3204"/>
      <c r="D20" s="1310">
        <f>SUM(D17:D19)</f>
        <v>0</v>
      </c>
      <c r="E20" s="1310"/>
      <c r="F20" s="1311"/>
      <c r="G20" s="1308"/>
      <c r="H20" s="1315"/>
      <c r="I20" s="1316">
        <f>SUM(I17:I19)</f>
        <v>0</v>
      </c>
    </row>
    <row r="21" spans="1:9">
      <c r="A21" s="3202" t="s">
        <v>1109</v>
      </c>
      <c r="B21" s="3206"/>
      <c r="C21" s="3206"/>
      <c r="D21" s="3206"/>
      <c r="E21" s="3206"/>
      <c r="F21" s="3206"/>
      <c r="G21" s="3206"/>
      <c r="H21" s="1769">
        <v>0.1</v>
      </c>
      <c r="I21" s="1313">
        <f>ROUND(I10*H21,0)</f>
        <v>0</v>
      </c>
    </row>
    <row r="22" spans="1:9" ht="14.25">
      <c r="A22" s="3207" t="s">
        <v>1110</v>
      </c>
      <c r="B22" s="3208"/>
      <c r="C22" s="3209"/>
      <c r="D22" s="1320" t="s">
        <v>1111</v>
      </c>
      <c r="E22" s="1320" t="s">
        <v>1112</v>
      </c>
      <c r="F22" s="1321" t="s">
        <v>1113</v>
      </c>
      <c r="G22" s="1321" t="s">
        <v>1114</v>
      </c>
      <c r="H22" s="1314" t="s">
        <v>1115</v>
      </c>
      <c r="I22" s="1305" t="s">
        <v>1116</v>
      </c>
    </row>
    <row r="23" spans="1:9" ht="14.25" thickBot="1">
      <c r="A23" s="3210"/>
      <c r="B23" s="3211"/>
      <c r="C23" s="3212"/>
      <c r="D23" s="1322"/>
      <c r="E23" s="1322"/>
      <c r="F23" s="1322"/>
      <c r="G23" s="1323"/>
      <c r="H23" s="1324"/>
      <c r="I23" s="1325">
        <f>ROUND(E23*D23*F23*(1-G23)/10000,0)</f>
        <v>0</v>
      </c>
    </row>
    <row r="26" spans="1:9">
      <c r="A26" s="1326" t="s">
        <v>1117</v>
      </c>
      <c r="B26" s="1326"/>
      <c r="C26" s="1326"/>
      <c r="D26" s="1326"/>
      <c r="E26" s="3213">
        <f>C27-C30-C31-C32</f>
        <v>0</v>
      </c>
      <c r="F26" s="3213"/>
      <c r="G26" s="3213"/>
      <c r="H26" s="1741" t="s">
        <v>1341</v>
      </c>
    </row>
    <row r="27" spans="1:9">
      <c r="A27" s="1327">
        <v>1</v>
      </c>
      <c r="B27" s="1328" t="s">
        <v>1118</v>
      </c>
      <c r="C27" s="1328">
        <f>C28+C29</f>
        <v>0</v>
      </c>
      <c r="D27" s="1328"/>
      <c r="E27" s="3214"/>
      <c r="F27" s="3214"/>
      <c r="G27" s="3214"/>
    </row>
    <row r="28" spans="1:9">
      <c r="A28" s="1329" t="s">
        <v>1119</v>
      </c>
      <c r="B28" s="1328" t="s">
        <v>1120</v>
      </c>
      <c r="C28" s="1328"/>
      <c r="D28" s="1328"/>
      <c r="E28" s="3214"/>
      <c r="F28" s="3214"/>
      <c r="G28" s="321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5"/>
      <c r="F32" s="3205"/>
      <c r="G32" s="3205"/>
    </row>
    <row r="33" spans="1:7" hidden="1">
      <c r="A33" s="3215" t="s">
        <v>1129</v>
      </c>
      <c r="B33" s="3216"/>
      <c r="C33" s="3216"/>
      <c r="D33" s="3217"/>
      <c r="E33" s="3213"/>
      <c r="F33" s="3213"/>
      <c r="G33" s="3213"/>
    </row>
    <row r="34" spans="1:7" hidden="1">
      <c r="A34" s="1331">
        <v>1</v>
      </c>
      <c r="B34" s="1328" t="s">
        <v>1130</v>
      </c>
      <c r="C34" s="1328"/>
      <c r="D34" s="1328"/>
      <c r="E34" s="3214"/>
      <c r="F34" s="3214"/>
      <c r="G34" s="3214"/>
    </row>
    <row r="35" spans="1:7" hidden="1">
      <c r="A35" s="1331">
        <v>2</v>
      </c>
      <c r="B35" s="1328" t="s">
        <v>1131</v>
      </c>
      <c r="C35" s="1328"/>
      <c r="D35" s="1328"/>
      <c r="E35" s="3214"/>
      <c r="F35" s="3214"/>
      <c r="G35" s="3214"/>
    </row>
    <row r="36" spans="1:7" hidden="1">
      <c r="A36" s="1331">
        <v>3</v>
      </c>
      <c r="B36" s="1328" t="s">
        <v>1132</v>
      </c>
      <c r="C36" s="1328"/>
      <c r="D36" s="1328"/>
      <c r="E36" s="3214"/>
      <c r="F36" s="3214"/>
      <c r="G36" s="3214"/>
    </row>
    <row r="37" spans="1:7" hidden="1">
      <c r="A37" s="1331">
        <v>4</v>
      </c>
      <c r="B37" s="1328" t="s">
        <v>1133</v>
      </c>
      <c r="C37" s="1328"/>
      <c r="D37" s="1328"/>
      <c r="E37" s="3214"/>
      <c r="F37" s="3214"/>
      <c r="G37" s="3214"/>
    </row>
    <row r="38" spans="1:7" hidden="1">
      <c r="A38" s="3215" t="s">
        <v>1134</v>
      </c>
      <c r="B38" s="3216"/>
      <c r="C38" s="3216"/>
      <c r="D38" s="3217"/>
      <c r="E38" s="3213"/>
      <c r="F38" s="3213"/>
      <c r="G38" s="32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9"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2524</v>
      </c>
      <c r="B1" s="2587" t="s">
        <v>2525</v>
      </c>
      <c r="C1" s="1638" t="s">
        <v>2526</v>
      </c>
      <c r="D1" s="1625"/>
      <c r="E1" s="2588"/>
      <c r="F1" s="2589" t="s">
        <v>2527</v>
      </c>
      <c r="G1" s="1635" t="s">
        <v>2528</v>
      </c>
      <c r="H1" s="1634"/>
      <c r="I1" s="1634"/>
      <c r="J1" s="1634"/>
      <c r="K1" s="1636"/>
      <c r="L1" s="1637"/>
      <c r="M1" s="1638"/>
      <c r="N1" s="1638"/>
      <c r="O1" s="1638"/>
      <c r="P1" s="2590"/>
      <c r="Q1" s="1624"/>
      <c r="R1" s="1624"/>
      <c r="S1" s="1624"/>
      <c r="T1" s="1624"/>
      <c r="U1" s="1624"/>
      <c r="V1" s="1624"/>
      <c r="W1" s="1624"/>
      <c r="X1" s="1624"/>
      <c r="Y1" s="1624"/>
      <c r="Z1" s="1624"/>
      <c r="AA1" s="1624"/>
      <c r="AB1" s="1624"/>
      <c r="AC1" s="1632"/>
    </row>
    <row r="2" spans="1:29" s="394" customFormat="1" ht="28.5" customHeight="1" thickTop="1">
      <c r="A2" s="1621" t="s">
        <v>1395</v>
      </c>
      <c r="B2" s="1421" t="e">
        <f ca="1">IF(C2="——",ROUND(C49*D3/10000,0),ROUND(C49*D3/10000,0)-D2)</f>
        <v>#DIV/0!</v>
      </c>
      <c r="C2" s="2591"/>
      <c r="D2" s="1368" t="e">
        <f ca="1">SUMIF(INDIRECT("'"&amp;F2&amp;"'"&amp;"!A:A"),"承租人权益价值",INDIRECT("'"&amp;F2&amp;"'"&amp;"!c:c"))</f>
        <v>#REF!</v>
      </c>
      <c r="E2" s="2592" t="s">
        <v>2529</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4" customFormat="1" ht="28.5" customHeight="1" thickBot="1">
      <c r="A3" s="248" t="s">
        <v>1396</v>
      </c>
      <c r="B3" s="400" t="e">
        <f ca="1">IF(C2="——",C49,ROUND(B2*10000/D3,0))</f>
        <v>#DIV/0!</v>
      </c>
      <c r="C3" s="401" t="s">
        <v>2530</v>
      </c>
      <c r="D3" s="400">
        <f>IF(D1="",'数据-汇总表'!E3,SUMIF('数据-汇总表'!$C19:$C33,D1,'数据-汇总表'!$E19:$E33))</f>
        <v>2300.98</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2" t="s">
        <v>2531</v>
      </c>
      <c r="B4" s="403"/>
      <c r="C4" s="3157" t="s">
        <v>2532</v>
      </c>
      <c r="D4" s="3158"/>
      <c r="E4" s="3159" t="s">
        <v>2533</v>
      </c>
      <c r="F4" s="3160"/>
      <c r="G4" s="3157" t="s">
        <v>2534</v>
      </c>
      <c r="H4" s="3158"/>
      <c r="I4" s="3157" t="s">
        <v>2535</v>
      </c>
      <c r="J4" s="3158"/>
      <c r="K4" s="2601" t="s">
        <v>2536</v>
      </c>
      <c r="L4" s="1133"/>
      <c r="M4" s="1134"/>
      <c r="N4" s="1134"/>
      <c r="O4" s="1134"/>
      <c r="P4" s="3227" t="s">
        <v>2537</v>
      </c>
      <c r="Q4" s="3228"/>
      <c r="R4" s="3219" t="s">
        <v>2533</v>
      </c>
      <c r="S4" s="3220"/>
      <c r="T4" s="3219" t="s">
        <v>2534</v>
      </c>
      <c r="U4" s="3220"/>
      <c r="V4" s="3170" t="s">
        <v>2535</v>
      </c>
      <c r="W4" s="3170"/>
      <c r="X4" s="1817"/>
      <c r="Y4" s="3219" t="s">
        <v>2537</v>
      </c>
      <c r="Z4" s="3220"/>
      <c r="AA4" s="3218" t="s">
        <v>2533</v>
      </c>
      <c r="AB4" s="3218" t="s">
        <v>2534</v>
      </c>
      <c r="AC4" s="3218" t="s">
        <v>2535</v>
      </c>
    </row>
    <row r="5" spans="1:29" ht="15">
      <c r="A5" s="405"/>
      <c r="B5" s="406"/>
      <c r="C5" s="3222" t="s">
        <v>2538</v>
      </c>
      <c r="D5" s="3223"/>
      <c r="E5" s="3221" t="s">
        <v>2539</v>
      </c>
      <c r="F5" s="3150"/>
      <c r="G5" s="3222" t="s">
        <v>2540</v>
      </c>
      <c r="H5" s="3223"/>
      <c r="I5" s="3222" t="s">
        <v>2541</v>
      </c>
      <c r="J5" s="3223"/>
      <c r="K5" s="2602"/>
      <c r="L5" s="1133"/>
      <c r="M5" s="1134"/>
      <c r="N5" s="1134"/>
      <c r="O5" s="1134"/>
      <c r="P5" s="3229"/>
      <c r="Q5" s="3164"/>
      <c r="R5" s="3147"/>
      <c r="S5" s="3148"/>
      <c r="T5" s="3147"/>
      <c r="U5" s="3148"/>
      <c r="V5" s="3170"/>
      <c r="W5" s="3170"/>
      <c r="X5" s="1817"/>
      <c r="Y5" s="3147"/>
      <c r="Z5" s="3148"/>
      <c r="AA5" s="3141"/>
      <c r="AB5" s="3141"/>
      <c r="AC5" s="3141"/>
    </row>
    <row r="6" spans="1:29" ht="15.75" thickBot="1">
      <c r="A6" s="407"/>
      <c r="B6" s="408"/>
      <c r="C6" s="3224" t="s">
        <v>2542</v>
      </c>
      <c r="D6" s="3225"/>
      <c r="E6" s="3226" t="s">
        <v>2542</v>
      </c>
      <c r="F6" s="3152"/>
      <c r="G6" s="3224" t="s">
        <v>2542</v>
      </c>
      <c r="H6" s="3225"/>
      <c r="I6" s="3224" t="s">
        <v>2542</v>
      </c>
      <c r="J6" s="3225"/>
      <c r="K6" s="2602" t="s">
        <v>2543</v>
      </c>
      <c r="L6" s="1133"/>
      <c r="M6" s="1134"/>
      <c r="N6" s="1134"/>
      <c r="O6" s="1134"/>
      <c r="P6" s="3230"/>
      <c r="Q6" s="3166"/>
      <c r="R6" s="3147"/>
      <c r="S6" s="3148"/>
      <c r="T6" s="3167"/>
      <c r="U6" s="3168"/>
      <c r="V6" s="3170"/>
      <c r="W6" s="3170"/>
      <c r="X6" s="1817"/>
      <c r="Y6" s="3167"/>
      <c r="Z6" s="3168"/>
      <c r="AA6" s="3142"/>
      <c r="AB6" s="3142"/>
      <c r="AC6" s="3142"/>
    </row>
    <row r="7" spans="1:29" s="117" customFormat="1" ht="15.75" thickBot="1">
      <c r="A7" s="409" t="s">
        <v>2544</v>
      </c>
      <c r="B7" s="410"/>
      <c r="C7" s="411">
        <f>'数据-取费表'!B2</f>
        <v>43040</v>
      </c>
      <c r="D7" s="412">
        <v>100</v>
      </c>
      <c r="E7" s="413"/>
      <c r="F7" s="414">
        <f>SUMIF(58:58,YEAR(E7)&amp;"-"&amp;MONTH(E7),59:59)</f>
        <v>0</v>
      </c>
      <c r="G7" s="413"/>
      <c r="H7" s="412">
        <f>SUMIF(58:58,YEAR(G7)&amp;"-"&amp;MONTH(G7),59:59)</f>
        <v>0</v>
      </c>
      <c r="I7" s="413"/>
      <c r="J7" s="412">
        <f>SUMIF(58:58,YEAR(I7)&amp;"-"&amp;MONTH(I7),59:59)</f>
        <v>0</v>
      </c>
      <c r="K7" s="2603"/>
      <c r="L7" s="1135"/>
      <c r="M7" s="1136"/>
      <c r="N7" s="1136"/>
      <c r="O7" s="1136"/>
      <c r="P7" s="3143" t="s">
        <v>2545</v>
      </c>
      <c r="Q7" s="3172"/>
      <c r="R7" s="770" t="s">
        <v>23</v>
      </c>
      <c r="S7" s="771">
        <f t="shared" ref="S7:S15" si="0">F7</f>
        <v>0</v>
      </c>
      <c r="T7" s="770" t="s">
        <v>23</v>
      </c>
      <c r="U7" s="771">
        <f t="shared" ref="U7:U15" si="1">H7</f>
        <v>0</v>
      </c>
      <c r="V7" s="770" t="s">
        <v>23</v>
      </c>
      <c r="W7" s="771">
        <f t="shared" ref="W7:W15" si="2">J7</f>
        <v>0</v>
      </c>
      <c r="X7" s="772"/>
      <c r="Y7" s="3143" t="s">
        <v>2545</v>
      </c>
      <c r="Z7" s="3144"/>
      <c r="AA7" s="773" t="e">
        <f>D7/F7</f>
        <v>#DIV/0!</v>
      </c>
      <c r="AB7" s="773" t="e">
        <f>D7/H7</f>
        <v>#DIV/0!</v>
      </c>
      <c r="AC7" s="773" t="e">
        <f>D7/J7</f>
        <v>#DIV/0!</v>
      </c>
    </row>
    <row r="8" spans="1:29" s="117" customFormat="1" ht="15.75" thickBot="1">
      <c r="A8" s="409" t="s">
        <v>2546</v>
      </c>
      <c r="B8" s="410"/>
      <c r="C8" s="415" t="s">
        <v>2547</v>
      </c>
      <c r="D8" s="412">
        <v>100</v>
      </c>
      <c r="E8" s="2604"/>
      <c r="F8" s="414">
        <f>SUMIF(61:61,E8,62:62)-SUMIF(61:61,C8,62:62)+100</f>
        <v>0</v>
      </c>
      <c r="G8" s="415"/>
      <c r="H8" s="412">
        <f>SUMIF(61:61,G8,62:62)-SUMIF(61:61,C8,62:62)+100</f>
        <v>0</v>
      </c>
      <c r="I8" s="2604"/>
      <c r="J8" s="412">
        <f>SUMIF(61:61,I8,62:62)-SUMIF(61:61,C8,62:62)+100</f>
        <v>0</v>
      </c>
      <c r="K8" s="2603"/>
      <c r="L8" s="1135"/>
      <c r="M8" s="1136"/>
      <c r="N8" s="1136"/>
      <c r="O8" s="1136"/>
      <c r="P8" s="3143" t="s">
        <v>2548</v>
      </c>
      <c r="Q8" s="3144"/>
      <c r="R8" s="770" t="s">
        <v>23</v>
      </c>
      <c r="S8" s="771">
        <f t="shared" si="0"/>
        <v>0</v>
      </c>
      <c r="T8" s="770" t="s">
        <v>23</v>
      </c>
      <c r="U8" s="771">
        <f t="shared" si="1"/>
        <v>0</v>
      </c>
      <c r="V8" s="770" t="s">
        <v>23</v>
      </c>
      <c r="W8" s="771">
        <f t="shared" si="2"/>
        <v>0</v>
      </c>
      <c r="X8" s="772"/>
      <c r="Y8" s="3143" t="s">
        <v>2548</v>
      </c>
      <c r="Z8" s="3144"/>
      <c r="AA8" s="773" t="e">
        <f t="shared" ref="AA8:AA19" si="3">D8/F8</f>
        <v>#DIV/0!</v>
      </c>
      <c r="AB8" s="773" t="e">
        <f t="shared" ref="AB8:AB19" si="4">D8/H8</f>
        <v>#DIV/0!</v>
      </c>
      <c r="AC8" s="773" t="e">
        <f t="shared" ref="AC8:AC19" si="5">D8/J8</f>
        <v>#DIV/0!</v>
      </c>
    </row>
    <row r="9" spans="1:29" s="117" customFormat="1">
      <c r="A9" s="416" t="s">
        <v>2549</v>
      </c>
      <c r="B9" s="71" t="s">
        <v>2550</v>
      </c>
      <c r="C9" s="417"/>
      <c r="D9" s="135">
        <v>100</v>
      </c>
      <c r="E9" s="418"/>
      <c r="F9" s="419">
        <f>SUMIF(63:63,E9,64:64)-SUMIF(63:63,C9,64:64)+100</f>
        <v>100</v>
      </c>
      <c r="G9" s="420"/>
      <c r="H9" s="135">
        <f>SUMIF(63:63,G9,64:64)-SUMIF(63:63,C9,64:64)+100</f>
        <v>100</v>
      </c>
      <c r="I9" s="420"/>
      <c r="J9" s="135">
        <f>SUMIF(63:63,I9,64:64)-SUMIF(63:63,C9,64:64)+100</f>
        <v>100</v>
      </c>
      <c r="K9" s="2603"/>
      <c r="L9" s="1135"/>
      <c r="M9" s="1136"/>
      <c r="N9" s="1136"/>
      <c r="O9" s="1136"/>
      <c r="P9" s="3153" t="s">
        <v>2551</v>
      </c>
      <c r="Q9" s="1799" t="str">
        <f t="shared" ref="Q9:Q15" si="6">B9</f>
        <v>用途</v>
      </c>
      <c r="R9" s="770" t="s">
        <v>17</v>
      </c>
      <c r="S9" s="771">
        <f t="shared" si="0"/>
        <v>100</v>
      </c>
      <c r="T9" s="770" t="s">
        <v>17</v>
      </c>
      <c r="U9" s="771">
        <f t="shared" si="1"/>
        <v>100</v>
      </c>
      <c r="V9" s="770" t="s">
        <v>17</v>
      </c>
      <c r="W9" s="771">
        <f t="shared" si="2"/>
        <v>100</v>
      </c>
      <c r="X9" s="772"/>
      <c r="Y9" s="3017" t="s">
        <v>2552</v>
      </c>
      <c r="Z9" s="55" t="str">
        <f t="shared" ref="Z9:Z15" si="7">Q9</f>
        <v>用途</v>
      </c>
      <c r="AA9" s="773">
        <f t="shared" si="3"/>
        <v>1</v>
      </c>
      <c r="AB9" s="773">
        <f t="shared" si="4"/>
        <v>1</v>
      </c>
      <c r="AC9" s="773">
        <f t="shared" si="5"/>
        <v>1</v>
      </c>
    </row>
    <row r="10" spans="1:29" s="428" customFormat="1" ht="27">
      <c r="A10" s="422"/>
      <c r="B10" s="423" t="s">
        <v>2553</v>
      </c>
      <c r="C10" s="424"/>
      <c r="D10" s="136">
        <v>100</v>
      </c>
      <c r="E10" s="425"/>
      <c r="F10" s="426">
        <f>SUMIF(65:65,E10,66:66)-SUMIF(65:65,C10,66:66)+100</f>
        <v>100</v>
      </c>
      <c r="G10" s="424"/>
      <c r="H10" s="136">
        <f>SUMIF(65:65,G10,66:66)-SUMIF(65:65,C10,66:66)+100</f>
        <v>100</v>
      </c>
      <c r="I10" s="424"/>
      <c r="J10" s="136">
        <f>SUMIF(65:65,I10,66:66)-SUMIF(65:65,C10,66:66)+100</f>
        <v>100</v>
      </c>
      <c r="K10" s="427"/>
      <c r="L10" s="1138"/>
      <c r="M10" s="1139"/>
      <c r="N10" s="1139"/>
      <c r="O10" s="1139"/>
      <c r="P10" s="3153"/>
      <c r="Q10" s="1799"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9"/>
      <c r="B11" s="423" t="s">
        <v>2554</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1"/>
      <c r="M11" s="1134"/>
      <c r="N11" s="1134"/>
      <c r="O11" s="1134"/>
      <c r="P11" s="3153"/>
      <c r="Q11" s="1799" t="str">
        <f t="shared" si="6"/>
        <v>容积率</v>
      </c>
      <c r="R11" s="770" t="s">
        <v>21</v>
      </c>
      <c r="S11" s="771" t="e">
        <f t="shared" si="0"/>
        <v>#N/A</v>
      </c>
      <c r="T11" s="770" t="s">
        <v>21</v>
      </c>
      <c r="U11" s="771" t="e">
        <f t="shared" si="1"/>
        <v>#N/A</v>
      </c>
      <c r="V11" s="770" t="s">
        <v>21</v>
      </c>
      <c r="W11" s="771" t="e">
        <f t="shared" si="2"/>
        <v>#N/A</v>
      </c>
      <c r="X11" s="772"/>
      <c r="Y11" s="3017"/>
      <c r="Z11" s="55" t="str">
        <f t="shared" si="7"/>
        <v>容积率</v>
      </c>
      <c r="AA11" s="773" t="e">
        <f t="shared" si="3"/>
        <v>#N/A</v>
      </c>
      <c r="AB11" s="773" t="e">
        <f t="shared" si="4"/>
        <v>#N/A</v>
      </c>
      <c r="AC11" s="773" t="e">
        <f t="shared" si="5"/>
        <v>#N/A</v>
      </c>
    </row>
    <row r="12" spans="1:29" s="117" customFormat="1" ht="15">
      <c r="A12" s="432"/>
      <c r="B12" s="2605">
        <v>111</v>
      </c>
      <c r="C12" s="433"/>
      <c r="D12" s="434">
        <v>100</v>
      </c>
      <c r="E12" s="433"/>
      <c r="F12" s="426">
        <f>SUMIF(70:70,E12,71:71)-SUMIF(70:70,C12,71:71)+100</f>
        <v>100</v>
      </c>
      <c r="G12" s="433"/>
      <c r="H12" s="136">
        <f>SUMIF(70:70,G12,71:71)-SUMIF(70:70,C12,71:71)+100</f>
        <v>100</v>
      </c>
      <c r="I12" s="433"/>
      <c r="J12" s="136">
        <f>SUMIF(70:70,I12,71:71)-SUMIF(70:70,C12,71:71)+100</f>
        <v>100</v>
      </c>
      <c r="K12" s="2606"/>
      <c r="L12" s="1135"/>
      <c r="M12" s="1136"/>
      <c r="N12" s="1136"/>
      <c r="O12" s="1136"/>
      <c r="P12" s="3153"/>
      <c r="Q12" s="1799">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c r="A13" s="429"/>
      <c r="B13" s="2605">
        <v>111</v>
      </c>
      <c r="C13" s="435"/>
      <c r="D13" s="436">
        <v>100</v>
      </c>
      <c r="E13" s="435"/>
      <c r="F13" s="426">
        <f>SUMIF(72:72,E13,73:73)-SUMIF(72:72,C13,73:73)+100</f>
        <v>100</v>
      </c>
      <c r="G13" s="435"/>
      <c r="H13" s="436">
        <f>SUMIF(72:72,G13,73:73)-SUMIF(72:72,C13,73:73)+100</f>
        <v>100</v>
      </c>
      <c r="I13" s="435"/>
      <c r="J13" s="436">
        <f>SUMIF(72:72,I13,73:73)-SUMIF(72:72,C13,73:73)+100</f>
        <v>100</v>
      </c>
      <c r="K13" s="2606"/>
      <c r="L13" s="1143"/>
      <c r="M13" s="1134"/>
      <c r="N13" s="1134"/>
      <c r="O13" s="1134"/>
      <c r="P13" s="3153"/>
      <c r="Q13" s="1799">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thickBot="1">
      <c r="A14" s="437"/>
      <c r="B14" s="2607">
        <v>111</v>
      </c>
      <c r="C14" s="438"/>
      <c r="D14" s="439">
        <v>100</v>
      </c>
      <c r="E14" s="438"/>
      <c r="F14" s="440">
        <f>SUMIF(74:74,E14,75:75)-SUMIF(74:74,C14,75:75)+100</f>
        <v>100</v>
      </c>
      <c r="G14" s="438"/>
      <c r="H14" s="439">
        <f>SUMIF(74:74,G14,75:75)-SUMIF(74:74,C14,75:75)+100</f>
        <v>100</v>
      </c>
      <c r="I14" s="438"/>
      <c r="J14" s="439">
        <f>SUMIF(74:74,I14,75:75)-SUMIF(74:74,C14,75:75)+100</f>
        <v>100</v>
      </c>
      <c r="K14" s="2606"/>
      <c r="L14" s="1143"/>
      <c r="M14" s="1134"/>
      <c r="N14" s="1134"/>
      <c r="O14" s="1134"/>
      <c r="P14" s="3153"/>
      <c r="Q14" s="1799">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15">
      <c r="A15" s="441" t="s">
        <v>2555</v>
      </c>
      <c r="B15" s="69" t="s">
        <v>2084</v>
      </c>
      <c r="C15" s="2608">
        <f>估价对象房地状况!C3</f>
        <v>0</v>
      </c>
      <c r="D15" s="442">
        <v>100</v>
      </c>
      <c r="E15" s="445"/>
      <c r="F15" s="442">
        <f>SUMIF(76:76,E16,77:77)-SUMIF(76:76,C16,77:77)+100</f>
        <v>100</v>
      </c>
      <c r="G15" s="443"/>
      <c r="H15" s="442">
        <f>SUMIF(76:76,G16,77:77)-SUMIF(76:76,C16,77:77)+100</f>
        <v>100</v>
      </c>
      <c r="I15" s="443"/>
      <c r="J15" s="442">
        <f>SUMIF(76:76,I16,77:77)-SUMIF(76:76,C16,77:77)+100</f>
        <v>100</v>
      </c>
      <c r="K15" s="446"/>
      <c r="L15" s="1143"/>
      <c r="M15" s="1134"/>
      <c r="N15" s="1134"/>
      <c r="O15" s="1134"/>
      <c r="P15" s="3173" t="s">
        <v>2556</v>
      </c>
      <c r="Q15" s="1814" t="str">
        <f t="shared" si="6"/>
        <v>居住社区成熟度</v>
      </c>
      <c r="R15" s="774" t="s">
        <v>21</v>
      </c>
      <c r="S15" s="775">
        <f t="shared" si="0"/>
        <v>100</v>
      </c>
      <c r="T15" s="774" t="s">
        <v>21</v>
      </c>
      <c r="U15" s="775">
        <f t="shared" si="1"/>
        <v>100</v>
      </c>
      <c r="V15" s="774" t="s">
        <v>21</v>
      </c>
      <c r="W15" s="775">
        <f t="shared" si="2"/>
        <v>100</v>
      </c>
      <c r="X15" s="1817"/>
      <c r="Y15" s="3175" t="s">
        <v>2556</v>
      </c>
      <c r="Z15" s="1818" t="str">
        <f t="shared" si="7"/>
        <v>居住社区成熟度</v>
      </c>
      <c r="AA15" s="1815">
        <f t="shared" si="3"/>
        <v>1</v>
      </c>
      <c r="AB15" s="1815">
        <f t="shared" si="4"/>
        <v>1</v>
      </c>
      <c r="AC15" s="1815">
        <f t="shared" si="5"/>
        <v>1</v>
      </c>
    </row>
    <row r="16" spans="1:29" ht="15">
      <c r="A16" s="429"/>
      <c r="B16" s="447"/>
      <c r="C16" s="448"/>
      <c r="D16" s="449"/>
      <c r="E16" s="2609"/>
      <c r="F16" s="449"/>
      <c r="G16" s="2610"/>
      <c r="H16" s="451"/>
      <c r="I16" s="2610"/>
      <c r="J16" s="449"/>
      <c r="K16" s="2611"/>
      <c r="L16" s="1143"/>
      <c r="M16" s="1134"/>
      <c r="N16" s="1134"/>
      <c r="O16" s="1134"/>
      <c r="P16" s="3174"/>
      <c r="Q16" s="1814"/>
      <c r="R16" s="774"/>
      <c r="S16" s="775"/>
      <c r="T16" s="774"/>
      <c r="U16" s="775"/>
      <c r="V16" s="774"/>
      <c r="W16" s="775"/>
      <c r="X16" s="1817"/>
      <c r="Y16" s="3176"/>
      <c r="Z16" s="1818"/>
      <c r="AA16" s="1815">
        <v>1</v>
      </c>
      <c r="AB16" s="1815">
        <v>1</v>
      </c>
      <c r="AC16" s="1815">
        <v>1</v>
      </c>
    </row>
    <row r="17" spans="1:29" ht="156.75">
      <c r="A17" s="429"/>
      <c r="B17" s="452" t="s">
        <v>2093</v>
      </c>
      <c r="C17" s="2612" t="str">
        <f>估价对象房地状况!C6</f>
        <v>估价对象紧邻白家疃路，周边路网密集程度一般，行车出入便捷度一般。周边2公里范围内有522路、651路等公交，公共交通便捷度一般。综合评价交通便捷度一般。</v>
      </c>
      <c r="D17" s="451">
        <v>100</v>
      </c>
      <c r="E17" s="455"/>
      <c r="F17" s="451">
        <f>SUMIF(78:78,E18,79:79)-SUMIF(78:78,C18,79:79)+100</f>
        <v>100</v>
      </c>
      <c r="G17" s="453"/>
      <c r="H17" s="456">
        <f>SUMIF(78:78,G18,79:79)-SUMIF(78:78,C18,79:79)+100</f>
        <v>100</v>
      </c>
      <c r="I17" s="453"/>
      <c r="J17" s="456">
        <f>SUMIF(78:78,I18,79:79)-SUMIF(78:78,C18,79:79)+100</f>
        <v>100</v>
      </c>
      <c r="K17" s="446"/>
      <c r="L17" s="1143"/>
      <c r="M17" s="1134"/>
      <c r="N17" s="1134"/>
      <c r="O17" s="1134"/>
      <c r="P17" s="3174"/>
      <c r="Q17" s="1814" t="str">
        <f>B17</f>
        <v>交通便捷度</v>
      </c>
      <c r="R17" s="774" t="s">
        <v>21</v>
      </c>
      <c r="S17" s="775">
        <f>F17</f>
        <v>100</v>
      </c>
      <c r="T17" s="774" t="s">
        <v>21</v>
      </c>
      <c r="U17" s="775">
        <f>H17</f>
        <v>100</v>
      </c>
      <c r="V17" s="774" t="s">
        <v>21</v>
      </c>
      <c r="W17" s="775">
        <f>J17</f>
        <v>100</v>
      </c>
      <c r="X17" s="1817"/>
      <c r="Y17" s="3176"/>
      <c r="Z17" s="1818" t="str">
        <f>Q17</f>
        <v>交通便捷度</v>
      </c>
      <c r="AA17" s="1815">
        <f t="shared" si="3"/>
        <v>1</v>
      </c>
      <c r="AB17" s="1815">
        <f t="shared" si="4"/>
        <v>1</v>
      </c>
      <c r="AC17" s="1815">
        <f t="shared" si="5"/>
        <v>1</v>
      </c>
    </row>
    <row r="18" spans="1:29" ht="15">
      <c r="A18" s="429"/>
      <c r="B18" s="457"/>
      <c r="C18" s="2613"/>
      <c r="D18" s="451"/>
      <c r="E18" s="2614"/>
      <c r="F18" s="451"/>
      <c r="G18" s="2615"/>
      <c r="H18" s="449"/>
      <c r="I18" s="2615"/>
      <c r="J18" s="449"/>
      <c r="K18" s="2611"/>
      <c r="L18" s="1143"/>
      <c r="M18" s="1134"/>
      <c r="N18" s="1134"/>
      <c r="O18" s="1134"/>
      <c r="P18" s="3174"/>
      <c r="Q18" s="1814"/>
      <c r="R18" s="774"/>
      <c r="S18" s="775"/>
      <c r="T18" s="774"/>
      <c r="U18" s="775"/>
      <c r="V18" s="774"/>
      <c r="W18" s="775"/>
      <c r="X18" s="1817"/>
      <c r="Y18" s="3176"/>
      <c r="Z18" s="1818"/>
      <c r="AA18" s="1815">
        <v>1</v>
      </c>
      <c r="AB18" s="1815">
        <v>1</v>
      </c>
      <c r="AC18" s="1815">
        <v>1</v>
      </c>
    </row>
    <row r="19" spans="1:29" ht="171">
      <c r="A19" s="429"/>
      <c r="B19" s="452" t="s">
        <v>2091</v>
      </c>
      <c r="C19" s="2612" t="str">
        <f>估价对象房地状况!C7</f>
        <v>周边2公里内的公共服务配套设施较为齐备，有购物场所（华联超市）、医院（北京中医药大学附属医院）、银行（民生银行）、学校（翠微小学）、餐饮（嘉和一品）等公共服务配套设施。</v>
      </c>
      <c r="D19" s="456">
        <v>100</v>
      </c>
      <c r="E19" s="460"/>
      <c r="F19" s="456">
        <f>SUMIF(80:80,E20,81:81)-SUMIF(80:80,C20,81:81)+100</f>
        <v>100</v>
      </c>
      <c r="G19" s="458"/>
      <c r="H19" s="451">
        <f>SUMIF(80:80,G20,81:81)-SUMIF(80:80,C20,81:81)+100</f>
        <v>100</v>
      </c>
      <c r="I19" s="458"/>
      <c r="J19" s="451">
        <f>SUMIF(80:80,I20,81:81)-SUMIF(80:80,C20,81:81)+100</f>
        <v>100</v>
      </c>
      <c r="K19" s="446"/>
      <c r="L19" s="1143"/>
      <c r="M19" s="1134"/>
      <c r="N19" s="1134"/>
      <c r="O19" s="1134"/>
      <c r="P19" s="3174"/>
      <c r="Q19" s="1814" t="str">
        <f>B19</f>
        <v>公共配套设施</v>
      </c>
      <c r="R19" s="774" t="s">
        <v>21</v>
      </c>
      <c r="S19" s="775">
        <f>F19</f>
        <v>100</v>
      </c>
      <c r="T19" s="774" t="s">
        <v>21</v>
      </c>
      <c r="U19" s="775">
        <f>H19</f>
        <v>100</v>
      </c>
      <c r="V19" s="774" t="s">
        <v>21</v>
      </c>
      <c r="W19" s="775">
        <f>J19</f>
        <v>100</v>
      </c>
      <c r="X19" s="1817"/>
      <c r="Y19" s="3176"/>
      <c r="Z19" s="1818" t="str">
        <f>Q19</f>
        <v>公共配套设施</v>
      </c>
      <c r="AA19" s="1815">
        <f t="shared" si="3"/>
        <v>1</v>
      </c>
      <c r="AB19" s="1815">
        <f t="shared" si="4"/>
        <v>1</v>
      </c>
      <c r="AC19" s="1815">
        <f t="shared" si="5"/>
        <v>1</v>
      </c>
    </row>
    <row r="20" spans="1:29" ht="15">
      <c r="A20" s="429"/>
      <c r="B20" s="457"/>
      <c r="C20" s="448"/>
      <c r="D20" s="449"/>
      <c r="E20" s="2609"/>
      <c r="F20" s="449"/>
      <c r="G20" s="2610"/>
      <c r="H20" s="449"/>
      <c r="I20" s="2610"/>
      <c r="J20" s="449"/>
      <c r="K20" s="2611"/>
      <c r="L20" s="1143"/>
      <c r="M20" s="1134"/>
      <c r="N20" s="1134"/>
      <c r="O20" s="1134"/>
      <c r="P20" s="3174"/>
      <c r="Q20" s="1814"/>
      <c r="R20" s="774"/>
      <c r="S20" s="775"/>
      <c r="T20" s="774"/>
      <c r="U20" s="775"/>
      <c r="V20" s="774"/>
      <c r="W20" s="775"/>
      <c r="X20" s="1817"/>
      <c r="Y20" s="3176"/>
      <c r="Z20" s="1818"/>
      <c r="AA20" s="1815">
        <v>1</v>
      </c>
      <c r="AB20" s="1815">
        <v>1</v>
      </c>
      <c r="AC20" s="1815">
        <v>1</v>
      </c>
    </row>
    <row r="21" spans="1:29" ht="15">
      <c r="A21" s="429"/>
      <c r="B21" s="1387" t="s">
        <v>2094</v>
      </c>
      <c r="C21" s="2612" t="str">
        <f>估价对象房地状况!C8</f>
        <v>七通</v>
      </c>
      <c r="D21" s="451">
        <v>100</v>
      </c>
      <c r="E21" s="460"/>
      <c r="F21" s="456">
        <f>SUMIF(82:82,E22,83:83)-SUMIF(82:82,C22,83:83)+100</f>
        <v>100</v>
      </c>
      <c r="G21" s="458"/>
      <c r="H21" s="451">
        <f>SUMIF(82:82,G22,83:83)-SUMIF(82:82,C22,83:83)+100</f>
        <v>100</v>
      </c>
      <c r="I21" s="458"/>
      <c r="J21" s="451">
        <f>SUMIF(82:82,I22,83:83)-SUMIF(82:82,C22,83:83)+100</f>
        <v>100</v>
      </c>
      <c r="K21" s="446"/>
      <c r="L21" s="1143"/>
      <c r="M21" s="1134"/>
      <c r="N21" s="1134"/>
      <c r="O21" s="1134"/>
      <c r="P21" s="3174"/>
      <c r="Q21" s="1814" t="str">
        <f>B21</f>
        <v>基础设施水平</v>
      </c>
      <c r="R21" s="774" t="s">
        <v>17</v>
      </c>
      <c r="S21" s="775">
        <f>F21</f>
        <v>100</v>
      </c>
      <c r="T21" s="774" t="s">
        <v>17</v>
      </c>
      <c r="U21" s="775">
        <f>H21</f>
        <v>100</v>
      </c>
      <c r="V21" s="774" t="s">
        <v>17</v>
      </c>
      <c r="W21" s="775">
        <f>J21</f>
        <v>100</v>
      </c>
      <c r="X21" s="1817"/>
      <c r="Y21" s="3176"/>
      <c r="Z21" s="1818" t="str">
        <f>Q21</f>
        <v>基础设施水平</v>
      </c>
      <c r="AA21" s="1815">
        <f t="shared" ref="AA21" si="8">D21/F21</f>
        <v>1</v>
      </c>
      <c r="AB21" s="1815">
        <f t="shared" ref="AB21" si="9">D21/H21</f>
        <v>1</v>
      </c>
      <c r="AC21" s="1815">
        <f t="shared" ref="AC21" si="10">D21/J21</f>
        <v>1</v>
      </c>
    </row>
    <row r="22" spans="1:29" ht="15">
      <c r="A22" s="429"/>
      <c r="B22" s="1387"/>
      <c r="C22" s="2613"/>
      <c r="D22" s="449"/>
      <c r="E22" s="448"/>
      <c r="F22" s="449"/>
      <c r="G22" s="2616"/>
      <c r="H22" s="449"/>
      <c r="I22" s="448"/>
      <c r="J22" s="449"/>
      <c r="K22" s="2617"/>
      <c r="L22" s="1143"/>
      <c r="M22" s="1134"/>
      <c r="N22" s="1134"/>
      <c r="O22" s="1134"/>
      <c r="P22" s="3174"/>
      <c r="Q22" s="1814"/>
      <c r="R22" s="774"/>
      <c r="S22" s="775"/>
      <c r="T22" s="774"/>
      <c r="U22" s="775"/>
      <c r="V22" s="774"/>
      <c r="W22" s="775"/>
      <c r="X22" s="1817"/>
      <c r="Y22" s="3176"/>
      <c r="Z22" s="1818"/>
      <c r="AA22" s="1815">
        <v>1</v>
      </c>
      <c r="AB22" s="1815">
        <v>1</v>
      </c>
      <c r="AC22" s="1815">
        <v>1</v>
      </c>
    </row>
    <row r="23" spans="1:29" ht="128.25">
      <c r="A23" s="429"/>
      <c r="B23" s="452" t="s">
        <v>2098</v>
      </c>
      <c r="C23" s="2612" t="str">
        <f>估价对象房地状况!C9</f>
        <v>估价对象周边约2公里范围有温泉公园，自然环境一般；周边约2公里范围内有北京行政学院等人文设施，人文环境一般；综合评价环境状况一般。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3"/>
      <c r="M23" s="1134"/>
      <c r="N23" s="1134"/>
      <c r="O23" s="1134"/>
      <c r="P23" s="3174"/>
      <c r="Q23" s="1814" t="str">
        <f>B23</f>
        <v>自然及人文环境</v>
      </c>
      <c r="R23" s="774" t="s">
        <v>21</v>
      </c>
      <c r="S23" s="775">
        <f>F23</f>
        <v>100</v>
      </c>
      <c r="T23" s="774" t="s">
        <v>21</v>
      </c>
      <c r="U23" s="775">
        <f>H23</f>
        <v>100</v>
      </c>
      <c r="V23" s="774" t="s">
        <v>21</v>
      </c>
      <c r="W23" s="775">
        <f>J23</f>
        <v>100</v>
      </c>
      <c r="X23" s="1817"/>
      <c r="Y23" s="3176"/>
      <c r="Z23" s="1818" t="str">
        <f>Q23</f>
        <v>自然及人文环境</v>
      </c>
      <c r="AA23" s="1815">
        <f>D23/F23</f>
        <v>1</v>
      </c>
      <c r="AB23" s="1815">
        <f>D23/H23</f>
        <v>1</v>
      </c>
      <c r="AC23" s="1815">
        <f>D23/J23</f>
        <v>1</v>
      </c>
    </row>
    <row r="24" spans="1:29" ht="15">
      <c r="A24" s="429"/>
      <c r="B24" s="457"/>
      <c r="C24" s="448"/>
      <c r="D24" s="449"/>
      <c r="E24" s="2609"/>
      <c r="F24" s="449"/>
      <c r="G24" s="2610"/>
      <c r="H24" s="449"/>
      <c r="I24" s="2610"/>
      <c r="J24" s="449"/>
      <c r="K24" s="2611"/>
      <c r="L24" s="1143"/>
      <c r="M24" s="1134"/>
      <c r="N24" s="1134"/>
      <c r="O24" s="1134"/>
      <c r="P24" s="3174"/>
      <c r="Q24" s="1814"/>
      <c r="R24" s="774"/>
      <c r="S24" s="775"/>
      <c r="T24" s="774"/>
      <c r="U24" s="775"/>
      <c r="V24" s="774"/>
      <c r="W24" s="775"/>
      <c r="X24" s="1817"/>
      <c r="Y24" s="3176"/>
      <c r="Z24" s="1818"/>
      <c r="AA24" s="1815">
        <v>1</v>
      </c>
      <c r="AB24" s="1815">
        <v>1</v>
      </c>
      <c r="AC24" s="1815">
        <v>1</v>
      </c>
    </row>
    <row r="25" spans="1:29" ht="15">
      <c r="A25" s="429"/>
      <c r="B25" s="423" t="s">
        <v>2557</v>
      </c>
      <c r="C25" s="461"/>
      <c r="D25" s="436">
        <v>100</v>
      </c>
      <c r="E25" s="2618"/>
      <c r="F25" s="436">
        <f>SUMIF(86:86,E25,87:87)-SUMIF(86:86,C25,87:87)+100</f>
        <v>100</v>
      </c>
      <c r="G25" s="2619"/>
      <c r="H25" s="436">
        <f>SUMIF(86:86,G25,87:87)-SUMIF(86:86,C25,87:87)+100</f>
        <v>100</v>
      </c>
      <c r="I25" s="2619"/>
      <c r="J25" s="436">
        <f>SUMIF(86:86,I25,87:87)-SUMIF(86:86,C25,87:87)+100</f>
        <v>100</v>
      </c>
      <c r="K25" s="427"/>
      <c r="L25" s="1143"/>
      <c r="M25" s="1134"/>
      <c r="N25" s="1134"/>
      <c r="O25" s="1134"/>
      <c r="P25" s="3174"/>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76"/>
      <c r="Z25" s="1818" t="str">
        <f>Q25</f>
        <v>楼层-1</v>
      </c>
      <c r="AA25" s="1815">
        <f t="shared" ref="AA25:AA46" si="15">D25/F25</f>
        <v>1</v>
      </c>
      <c r="AB25" s="1815">
        <f t="shared" ref="AB25:AB46" si="16">D25/H25</f>
        <v>1</v>
      </c>
      <c r="AC25" s="1815">
        <f t="shared" ref="AC25:AC46" si="17">D25/J25</f>
        <v>1</v>
      </c>
    </row>
    <row r="26" spans="1:29" ht="15">
      <c r="A26" s="429"/>
      <c r="B26" s="423" t="s">
        <v>2558</v>
      </c>
      <c r="C26" s="461"/>
      <c r="D26" s="436">
        <v>100</v>
      </c>
      <c r="E26" s="2618"/>
      <c r="F26" s="436">
        <f>SUMIF(88:88,E26,89:89)-SUMIF(88:88,C26,89:89)+100</f>
        <v>100</v>
      </c>
      <c r="G26" s="2619"/>
      <c r="H26" s="436">
        <f>SUMIF(88:88,G26,89:89)-SUMIF(88:88,C26,89:89)+100</f>
        <v>100</v>
      </c>
      <c r="I26" s="2619"/>
      <c r="J26" s="436">
        <f>SUMIF(88:88,I26,89:89)-SUMIF(88:88,C26,89:89)+100</f>
        <v>100</v>
      </c>
      <c r="K26" s="427"/>
      <c r="L26" s="1143"/>
      <c r="M26" s="1134"/>
      <c r="N26" s="1134"/>
      <c r="O26" s="1134"/>
      <c r="P26" s="3174"/>
      <c r="Q26" s="1814" t="str">
        <f t="shared" si="11"/>
        <v>朝向</v>
      </c>
      <c r="R26" s="774" t="s">
        <v>21</v>
      </c>
      <c r="S26" s="775">
        <f t="shared" si="12"/>
        <v>100</v>
      </c>
      <c r="T26" s="774" t="s">
        <v>21</v>
      </c>
      <c r="U26" s="775">
        <f t="shared" si="13"/>
        <v>100</v>
      </c>
      <c r="V26" s="774" t="s">
        <v>21</v>
      </c>
      <c r="W26" s="775">
        <f t="shared" si="14"/>
        <v>100</v>
      </c>
      <c r="X26" s="1817"/>
      <c r="Y26" s="3176"/>
      <c r="Z26" s="1818" t="str">
        <f>Q26</f>
        <v>朝向</v>
      </c>
      <c r="AA26" s="1815">
        <f t="shared" si="15"/>
        <v>1</v>
      </c>
      <c r="AB26" s="1815">
        <f t="shared" si="16"/>
        <v>1</v>
      </c>
      <c r="AC26" s="1815">
        <f t="shared" si="17"/>
        <v>1</v>
      </c>
    </row>
    <row r="27" spans="1:29" s="117" customFormat="1" ht="15">
      <c r="A27" s="432"/>
      <c r="B27" s="1389">
        <v>111</v>
      </c>
      <c r="C27" s="433"/>
      <c r="D27" s="463">
        <v>100</v>
      </c>
      <c r="E27" s="466"/>
      <c r="F27" s="463">
        <f>SUMIF(90:90,E27,91:91)-SUMIF(90:90,C27,91:91)+100</f>
        <v>100</v>
      </c>
      <c r="G27" s="464"/>
      <c r="H27" s="463">
        <f>SUMIF(90:90,G27,91:91)-SUMIF(90:90,C27,91:91)+100</f>
        <v>100</v>
      </c>
      <c r="I27" s="464"/>
      <c r="J27" s="463">
        <f>SUMIF(90:90,I27,91:91)-SUMIF(90:90,C27,91:91)+100</f>
        <v>100</v>
      </c>
      <c r="K27" s="2606"/>
      <c r="L27" s="1135"/>
      <c r="M27" s="1136"/>
      <c r="N27" s="1136"/>
      <c r="O27" s="1136"/>
      <c r="P27" s="3174"/>
      <c r="Q27" s="1799">
        <f t="shared" si="11"/>
        <v>111</v>
      </c>
      <c r="R27" s="770" t="s">
        <v>21</v>
      </c>
      <c r="S27" s="771">
        <f t="shared" si="12"/>
        <v>100</v>
      </c>
      <c r="T27" s="770" t="s">
        <v>21</v>
      </c>
      <c r="U27" s="771">
        <f t="shared" si="13"/>
        <v>100</v>
      </c>
      <c r="V27" s="770" t="s">
        <v>21</v>
      </c>
      <c r="W27" s="771">
        <f t="shared" si="14"/>
        <v>100</v>
      </c>
      <c r="X27" s="772"/>
      <c r="Y27" s="3176"/>
      <c r="Z27" s="55">
        <f>Q27</f>
        <v>111</v>
      </c>
      <c r="AA27" s="1815">
        <f t="shared" si="15"/>
        <v>1</v>
      </c>
      <c r="AB27" s="1815">
        <f t="shared" si="16"/>
        <v>1</v>
      </c>
      <c r="AC27" s="1815">
        <f t="shared" si="17"/>
        <v>1</v>
      </c>
    </row>
    <row r="28" spans="1:29" ht="15">
      <c r="A28" s="429"/>
      <c r="B28" s="1389">
        <v>111</v>
      </c>
      <c r="C28" s="435"/>
      <c r="D28" s="436">
        <v>100</v>
      </c>
      <c r="E28" s="435"/>
      <c r="F28" s="436">
        <f>SUMIF(92:92,E28,93:93)-SUMIF(92:92,C28,93:93)+100</f>
        <v>100</v>
      </c>
      <c r="G28" s="2620"/>
      <c r="H28" s="436">
        <f>SUMIF(92:92,G28,93:93)-SUMIF(92:92,C28,93:93)+100</f>
        <v>100</v>
      </c>
      <c r="I28" s="435"/>
      <c r="J28" s="436">
        <f>SUMIF(92:92,I28,93:93)-SUMIF(92:92,C28,93:93)+100</f>
        <v>100</v>
      </c>
      <c r="K28" s="2606"/>
      <c r="L28" s="1143"/>
      <c r="M28" s="1134"/>
      <c r="N28" s="1134"/>
      <c r="O28" s="1134"/>
      <c r="P28" s="3174"/>
      <c r="Q28" s="1814">
        <f t="shared" si="11"/>
        <v>111</v>
      </c>
      <c r="R28" s="774" t="s">
        <v>21</v>
      </c>
      <c r="S28" s="775">
        <f t="shared" si="12"/>
        <v>100</v>
      </c>
      <c r="T28" s="774" t="s">
        <v>21</v>
      </c>
      <c r="U28" s="775">
        <f t="shared" si="13"/>
        <v>100</v>
      </c>
      <c r="V28" s="774" t="s">
        <v>21</v>
      </c>
      <c r="W28" s="775">
        <f t="shared" si="14"/>
        <v>100</v>
      </c>
      <c r="X28" s="1817"/>
      <c r="Y28" s="3176"/>
      <c r="Z28" s="1818">
        <f t="shared" ref="Z28:Z46" si="18">Q28</f>
        <v>111</v>
      </c>
      <c r="AA28" s="1815">
        <f t="shared" si="15"/>
        <v>1</v>
      </c>
      <c r="AB28" s="1815">
        <f t="shared" si="16"/>
        <v>1</v>
      </c>
      <c r="AC28" s="1815">
        <f t="shared" si="17"/>
        <v>1</v>
      </c>
    </row>
    <row r="29" spans="1:29" ht="15">
      <c r="A29" s="429"/>
      <c r="B29" s="1389">
        <v>111</v>
      </c>
      <c r="C29" s="435"/>
      <c r="D29" s="436">
        <v>100</v>
      </c>
      <c r="E29" s="435"/>
      <c r="F29" s="436">
        <f>SUMIF(94:94,E29,95:95)-SUMIF(94:94,C29,95:95)+100</f>
        <v>100</v>
      </c>
      <c r="G29" s="2620"/>
      <c r="H29" s="436">
        <f>SUMIF(94:94,G29,95:95)-SUMIF(94:94,C29,95:95)+100</f>
        <v>100</v>
      </c>
      <c r="I29" s="435"/>
      <c r="J29" s="436">
        <f>SUMIF(94:94,I29,95:95)-SUMIF(94:94,C29,95:95)+100</f>
        <v>100</v>
      </c>
      <c r="K29" s="2606"/>
      <c r="L29" s="1143"/>
      <c r="M29" s="1134"/>
      <c r="N29" s="1134"/>
      <c r="O29" s="1134"/>
      <c r="P29" s="3174"/>
      <c r="Q29" s="1814">
        <f t="shared" si="11"/>
        <v>111</v>
      </c>
      <c r="R29" s="774" t="s">
        <v>21</v>
      </c>
      <c r="S29" s="775">
        <f t="shared" si="12"/>
        <v>100</v>
      </c>
      <c r="T29" s="774" t="s">
        <v>21</v>
      </c>
      <c r="U29" s="775">
        <f t="shared" si="13"/>
        <v>100</v>
      </c>
      <c r="V29" s="774" t="s">
        <v>21</v>
      </c>
      <c r="W29" s="775">
        <f t="shared" si="14"/>
        <v>100</v>
      </c>
      <c r="X29" s="1817"/>
      <c r="Y29" s="3176"/>
      <c r="Z29" s="1818">
        <f t="shared" si="18"/>
        <v>111</v>
      </c>
      <c r="AA29" s="1815">
        <f t="shared" si="15"/>
        <v>1</v>
      </c>
      <c r="AB29" s="1815">
        <f t="shared" si="16"/>
        <v>1</v>
      </c>
      <c r="AC29" s="1815">
        <f t="shared" si="17"/>
        <v>1</v>
      </c>
    </row>
    <row r="30" spans="1:29" ht="15">
      <c r="A30" s="429"/>
      <c r="B30" s="1389">
        <v>111</v>
      </c>
      <c r="C30" s="435"/>
      <c r="D30" s="436">
        <v>100</v>
      </c>
      <c r="E30" s="435"/>
      <c r="F30" s="436">
        <f>SUMIF(96:96,E30,97:97)-SUMIF(96:96,C30,97:97)+100</f>
        <v>100</v>
      </c>
      <c r="G30" s="2620"/>
      <c r="H30" s="436">
        <f>SUMIF(96:96,G30,97:97)-SUMIF(96:96,C30,97:97)+100</f>
        <v>100</v>
      </c>
      <c r="I30" s="435"/>
      <c r="J30" s="436">
        <f>SUMIF(96:96,I30,97:97)-SUMIF(96:96,C30,97:97)+100</f>
        <v>100</v>
      </c>
      <c r="K30" s="2606"/>
      <c r="L30" s="1143"/>
      <c r="M30" s="1134"/>
      <c r="N30" s="1134"/>
      <c r="O30" s="1134"/>
      <c r="P30" s="3174"/>
      <c r="Q30" s="1814">
        <f t="shared" si="11"/>
        <v>111</v>
      </c>
      <c r="R30" s="774" t="s">
        <v>21</v>
      </c>
      <c r="S30" s="775">
        <f t="shared" si="12"/>
        <v>100</v>
      </c>
      <c r="T30" s="774" t="s">
        <v>21</v>
      </c>
      <c r="U30" s="775">
        <f t="shared" si="13"/>
        <v>100</v>
      </c>
      <c r="V30" s="774" t="s">
        <v>21</v>
      </c>
      <c r="W30" s="775">
        <f t="shared" si="14"/>
        <v>100</v>
      </c>
      <c r="X30" s="1817"/>
      <c r="Y30" s="3176"/>
      <c r="Z30" s="1818">
        <f t="shared" si="18"/>
        <v>111</v>
      </c>
      <c r="AA30" s="1815">
        <f t="shared" si="15"/>
        <v>1</v>
      </c>
      <c r="AB30" s="1815">
        <f t="shared" si="16"/>
        <v>1</v>
      </c>
      <c r="AC30" s="1815">
        <f t="shared" si="17"/>
        <v>1</v>
      </c>
    </row>
    <row r="31" spans="1:29" ht="15.75" thickBot="1">
      <c r="A31" s="437"/>
      <c r="B31" s="1389">
        <v>111</v>
      </c>
      <c r="C31" s="438"/>
      <c r="D31" s="439">
        <v>100</v>
      </c>
      <c r="E31" s="438"/>
      <c r="F31" s="439">
        <f>SUMIF(98:98,E31,99:99)-SUMIF(98:98,C31,99:99)+100</f>
        <v>100</v>
      </c>
      <c r="G31" s="2621"/>
      <c r="H31" s="439">
        <f>SUMIF(98:98,G31,99:99)-SUMIF(98:98,C31,99:99)+100</f>
        <v>100</v>
      </c>
      <c r="I31" s="438"/>
      <c r="J31" s="439">
        <f>SUMIF(98:98,I31,99:99)-SUMIF(98:98,C31,99:99)+100</f>
        <v>100</v>
      </c>
      <c r="K31" s="2606"/>
      <c r="L31" s="1143"/>
      <c r="M31" s="1134"/>
      <c r="N31" s="1134"/>
      <c r="O31" s="1134"/>
      <c r="P31" s="3174"/>
      <c r="Q31" s="1814">
        <f t="shared" si="11"/>
        <v>111</v>
      </c>
      <c r="R31" s="774" t="s">
        <v>21</v>
      </c>
      <c r="S31" s="775">
        <f t="shared" si="12"/>
        <v>100</v>
      </c>
      <c r="T31" s="774" t="s">
        <v>21</v>
      </c>
      <c r="U31" s="775">
        <f t="shared" si="13"/>
        <v>100</v>
      </c>
      <c r="V31" s="774" t="s">
        <v>21</v>
      </c>
      <c r="W31" s="775">
        <f t="shared" si="14"/>
        <v>100</v>
      </c>
      <c r="X31" s="1817"/>
      <c r="Y31" s="3176"/>
      <c r="Z31" s="1818">
        <f t="shared" si="18"/>
        <v>111</v>
      </c>
      <c r="AA31" s="1815">
        <f t="shared" si="15"/>
        <v>1</v>
      </c>
      <c r="AB31" s="1815">
        <f t="shared" si="16"/>
        <v>1</v>
      </c>
      <c r="AC31" s="1815">
        <f t="shared" si="17"/>
        <v>1</v>
      </c>
    </row>
    <row r="32" spans="1:29" ht="15">
      <c r="A32" s="441" t="s">
        <v>2559</v>
      </c>
      <c r="B32" s="71" t="s">
        <v>2560</v>
      </c>
      <c r="C32" s="2622"/>
      <c r="D32" s="468">
        <v>100</v>
      </c>
      <c r="E32" s="2623"/>
      <c r="F32" s="462">
        <f>SUMIF(100:100,E32,101:101)-SUMIF(100:100,C32,101:101)+100</f>
        <v>100</v>
      </c>
      <c r="G32" s="2622"/>
      <c r="H32" s="468">
        <f>SUMIF(100:100,G32,101:101)-SUMIF(100:100,C32,101:101)+100</f>
        <v>100</v>
      </c>
      <c r="I32" s="2623"/>
      <c r="J32" s="436">
        <f>SUMIF(100:100,I32,101:101)-SUMIF(100:100,C32,101:101)+100</f>
        <v>100</v>
      </c>
      <c r="K32" s="427"/>
      <c r="L32" s="1143"/>
      <c r="M32" s="1134"/>
      <c r="N32" s="1134"/>
      <c r="O32" s="1134"/>
      <c r="P32" s="3177" t="s">
        <v>2561</v>
      </c>
      <c r="Q32" s="1814" t="str">
        <f t="shared" si="11"/>
        <v>建筑类型</v>
      </c>
      <c r="R32" s="774" t="s">
        <v>21</v>
      </c>
      <c r="S32" s="775">
        <f t="shared" si="12"/>
        <v>100</v>
      </c>
      <c r="T32" s="774" t="s">
        <v>21</v>
      </c>
      <c r="U32" s="775">
        <f t="shared" si="13"/>
        <v>100</v>
      </c>
      <c r="V32" s="774" t="s">
        <v>21</v>
      </c>
      <c r="W32" s="775">
        <f t="shared" si="14"/>
        <v>100</v>
      </c>
      <c r="X32" s="1817"/>
      <c r="Y32" s="3180" t="s">
        <v>2561</v>
      </c>
      <c r="Z32" s="1818" t="str">
        <f t="shared" si="18"/>
        <v>建筑类型</v>
      </c>
      <c r="AA32" s="1815">
        <f t="shared" si="15"/>
        <v>1</v>
      </c>
      <c r="AB32" s="1815">
        <f t="shared" si="16"/>
        <v>1</v>
      </c>
      <c r="AC32" s="1815">
        <f t="shared" si="17"/>
        <v>1</v>
      </c>
    </row>
    <row r="33" spans="1:29" s="472" customFormat="1" ht="15">
      <c r="A33" s="469"/>
      <c r="B33" s="423" t="s">
        <v>2562</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6"/>
      <c r="L33" s="1141"/>
      <c r="M33" s="1144"/>
      <c r="N33" s="1144"/>
      <c r="O33" s="1144"/>
      <c r="P33" s="3178"/>
      <c r="Q33" s="776" t="str">
        <f t="shared" si="11"/>
        <v>项目建筑规模</v>
      </c>
      <c r="R33" s="777" t="s">
        <v>21</v>
      </c>
      <c r="S33" s="778" t="e">
        <f t="shared" si="12"/>
        <v>#N/A</v>
      </c>
      <c r="T33" s="777" t="s">
        <v>21</v>
      </c>
      <c r="U33" s="778" t="e">
        <f t="shared" si="13"/>
        <v>#N/A</v>
      </c>
      <c r="V33" s="777" t="s">
        <v>21</v>
      </c>
      <c r="W33" s="778" t="e">
        <f t="shared" si="14"/>
        <v>#N/A</v>
      </c>
      <c r="X33" s="779"/>
      <c r="Y33" s="3180"/>
      <c r="Z33" s="780" t="str">
        <f t="shared" si="18"/>
        <v>项目建筑规模</v>
      </c>
      <c r="AA33" s="1815" t="e">
        <f t="shared" si="15"/>
        <v>#N/A</v>
      </c>
      <c r="AB33" s="1815" t="e">
        <f t="shared" si="16"/>
        <v>#N/A</v>
      </c>
      <c r="AC33" s="1815" t="e">
        <f t="shared" si="17"/>
        <v>#N/A</v>
      </c>
    </row>
    <row r="34" spans="1:29" ht="15">
      <c r="A34" s="473"/>
      <c r="B34" s="423" t="s">
        <v>2563</v>
      </c>
      <c r="C34" s="2624"/>
      <c r="D34" s="436">
        <v>100</v>
      </c>
      <c r="E34" s="2625"/>
      <c r="F34" s="462">
        <f>SUMIF(105:105,E34,106:106)-SUMIF(105:105,C34,106:106)+100</f>
        <v>100</v>
      </c>
      <c r="G34" s="2624"/>
      <c r="H34" s="436">
        <f>SUMIF(105:105,G34,106:106)-SUMIF(105:105,C34,106:106)+100</f>
        <v>100</v>
      </c>
      <c r="I34" s="2625"/>
      <c r="J34" s="436">
        <f>SUMIF(105:105,I34,106:106)-SUMIF(105:105,C34,106:106)+100</f>
        <v>100</v>
      </c>
      <c r="K34" s="427"/>
      <c r="L34" s="1143"/>
      <c r="M34" s="1134"/>
      <c r="N34" s="1134"/>
      <c r="O34" s="1134"/>
      <c r="P34" s="3178"/>
      <c r="Q34" s="1814" t="str">
        <f t="shared" si="11"/>
        <v>建筑结构</v>
      </c>
      <c r="R34" s="774" t="s">
        <v>21</v>
      </c>
      <c r="S34" s="775">
        <f t="shared" si="12"/>
        <v>100</v>
      </c>
      <c r="T34" s="774" t="s">
        <v>21</v>
      </c>
      <c r="U34" s="775">
        <f t="shared" si="13"/>
        <v>100</v>
      </c>
      <c r="V34" s="774" t="s">
        <v>21</v>
      </c>
      <c r="W34" s="775">
        <f t="shared" si="14"/>
        <v>100</v>
      </c>
      <c r="X34" s="1817"/>
      <c r="Y34" s="3180"/>
      <c r="Z34" s="1818" t="str">
        <f t="shared" si="18"/>
        <v>建筑结构</v>
      </c>
      <c r="AA34" s="1815">
        <f t="shared" si="15"/>
        <v>1</v>
      </c>
      <c r="AB34" s="1815">
        <f t="shared" si="16"/>
        <v>1</v>
      </c>
      <c r="AC34" s="1815">
        <f t="shared" si="17"/>
        <v>1</v>
      </c>
    </row>
    <row r="35" spans="1:29" ht="15">
      <c r="A35" s="473"/>
      <c r="B35" s="423" t="s">
        <v>2564</v>
      </c>
      <c r="C35" s="2618"/>
      <c r="D35" s="436">
        <v>100</v>
      </c>
      <c r="E35" s="2619"/>
      <c r="F35" s="462">
        <f>SUMIF(107:107,E35,108:108)-SUMIF(107:107,C35,108:108)+100</f>
        <v>100</v>
      </c>
      <c r="G35" s="2618"/>
      <c r="H35" s="436">
        <f>SUMIF(107:107,G35,108:108)-SUMIF(107:107,C35,108:108)+100</f>
        <v>100</v>
      </c>
      <c r="I35" s="2619"/>
      <c r="J35" s="436">
        <f>SUMIF(107:107,I35,108:108)-SUMIF(107:107,C35,108:108)+100</f>
        <v>100</v>
      </c>
      <c r="K35" s="427"/>
      <c r="L35" s="1143"/>
      <c r="M35" s="1134"/>
      <c r="N35" s="1134"/>
      <c r="O35" s="1134"/>
      <c r="P35" s="3178"/>
      <c r="Q35" s="1814" t="str">
        <f t="shared" si="11"/>
        <v>建筑品质</v>
      </c>
      <c r="R35" s="774" t="s">
        <v>21</v>
      </c>
      <c r="S35" s="775">
        <f t="shared" si="12"/>
        <v>100</v>
      </c>
      <c r="T35" s="774" t="s">
        <v>21</v>
      </c>
      <c r="U35" s="775">
        <f t="shared" si="13"/>
        <v>100</v>
      </c>
      <c r="V35" s="774" t="s">
        <v>21</v>
      </c>
      <c r="W35" s="775">
        <f t="shared" si="14"/>
        <v>100</v>
      </c>
      <c r="X35" s="1817"/>
      <c r="Y35" s="3180"/>
      <c r="Z35" s="1818" t="str">
        <f t="shared" si="18"/>
        <v>建筑品质</v>
      </c>
      <c r="AA35" s="1815">
        <f t="shared" si="15"/>
        <v>1</v>
      </c>
      <c r="AB35" s="1815">
        <f t="shared" si="16"/>
        <v>1</v>
      </c>
      <c r="AC35" s="1815">
        <f t="shared" si="17"/>
        <v>1</v>
      </c>
    </row>
    <row r="36" spans="1:29" ht="15">
      <c r="A36" s="473"/>
      <c r="B36" s="423" t="s">
        <v>2565</v>
      </c>
      <c r="C36" s="2618"/>
      <c r="D36" s="436">
        <v>100</v>
      </c>
      <c r="E36" s="2619"/>
      <c r="F36" s="462">
        <f>SUMIF(109:109,E36,110:110)-SUMIF(109:109,C36,110:110)+100</f>
        <v>100</v>
      </c>
      <c r="G36" s="2618"/>
      <c r="H36" s="436">
        <f>SUMIF(109:109,G36,110:110)-SUMIF(109:109,C36,110:110)+100</f>
        <v>100</v>
      </c>
      <c r="I36" s="2619"/>
      <c r="J36" s="436">
        <f>SUMIF(109:109,I36,110:110)-SUMIF(109:109,C36,110:110)+100</f>
        <v>100</v>
      </c>
      <c r="K36" s="427"/>
      <c r="L36" s="1143"/>
      <c r="M36" s="1134"/>
      <c r="N36" s="1134"/>
      <c r="O36" s="1134"/>
      <c r="P36" s="3178"/>
      <c r="Q36" s="1814" t="str">
        <f t="shared" si="11"/>
        <v>公共部分装修</v>
      </c>
      <c r="R36" s="774" t="s">
        <v>21</v>
      </c>
      <c r="S36" s="775">
        <f t="shared" si="12"/>
        <v>100</v>
      </c>
      <c r="T36" s="774" t="s">
        <v>21</v>
      </c>
      <c r="U36" s="775">
        <f t="shared" si="13"/>
        <v>100</v>
      </c>
      <c r="V36" s="774" t="s">
        <v>21</v>
      </c>
      <c r="W36" s="775">
        <f t="shared" si="14"/>
        <v>100</v>
      </c>
      <c r="X36" s="1817"/>
      <c r="Y36" s="3180"/>
      <c r="Z36" s="1818" t="str">
        <f t="shared" si="18"/>
        <v>公共部分装修</v>
      </c>
      <c r="AA36" s="1815">
        <f t="shared" si="15"/>
        <v>1</v>
      </c>
      <c r="AB36" s="1815">
        <f t="shared" si="16"/>
        <v>1</v>
      </c>
      <c r="AC36" s="1815">
        <f t="shared" si="17"/>
        <v>1</v>
      </c>
    </row>
    <row r="37" spans="1:29" s="117" customFormat="1" ht="15">
      <c r="A37" s="474"/>
      <c r="B37" s="423" t="s">
        <v>2566</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5"/>
      <c r="M37" s="1136"/>
      <c r="N37" s="1136"/>
      <c r="O37" s="1136"/>
      <c r="P37" s="3178"/>
      <c r="Q37" s="1799" t="str">
        <f t="shared" si="11"/>
        <v>成新度</v>
      </c>
      <c r="R37" s="770" t="s">
        <v>21</v>
      </c>
      <c r="S37" s="771" t="e">
        <f t="shared" si="12"/>
        <v>#N/A</v>
      </c>
      <c r="T37" s="770" t="s">
        <v>21</v>
      </c>
      <c r="U37" s="771" t="e">
        <f t="shared" si="13"/>
        <v>#N/A</v>
      </c>
      <c r="V37" s="770" t="s">
        <v>21</v>
      </c>
      <c r="W37" s="771" t="e">
        <f t="shared" si="14"/>
        <v>#N/A</v>
      </c>
      <c r="X37" s="772"/>
      <c r="Y37" s="3180"/>
      <c r="Z37" s="55" t="str">
        <f t="shared" si="18"/>
        <v>成新度</v>
      </c>
      <c r="AA37" s="773" t="e">
        <f t="shared" si="15"/>
        <v>#N/A</v>
      </c>
      <c r="AB37" s="773" t="e">
        <f t="shared" si="16"/>
        <v>#N/A</v>
      </c>
      <c r="AC37" s="773" t="e">
        <f t="shared" si="17"/>
        <v>#N/A</v>
      </c>
    </row>
    <row r="38" spans="1:29" ht="15">
      <c r="A38" s="473"/>
      <c r="B38" s="423" t="s">
        <v>2567</v>
      </c>
      <c r="C38" s="2618"/>
      <c r="D38" s="436">
        <v>100</v>
      </c>
      <c r="E38" s="2619"/>
      <c r="F38" s="462">
        <f>SUMIF(114:114,E38,115:115)-SUMIF(114:114,C38,115:115)+100</f>
        <v>100</v>
      </c>
      <c r="G38" s="2618"/>
      <c r="H38" s="436">
        <f>SUMIF(114:114,G38,115:115)-SUMIF(114:114,C38,115:115)+100</f>
        <v>100</v>
      </c>
      <c r="I38" s="2619"/>
      <c r="J38" s="436">
        <f>SUMIF(114:114,I38,115:115)-SUMIF(114:114,C38,115:115)+100</f>
        <v>100</v>
      </c>
      <c r="K38" s="427"/>
      <c r="L38" s="1143"/>
      <c r="M38" s="1134"/>
      <c r="N38" s="1134"/>
      <c r="O38" s="1134"/>
      <c r="P38" s="3178" t="s">
        <v>2561</v>
      </c>
      <c r="Q38" s="1814" t="str">
        <f t="shared" si="11"/>
        <v>物业管理</v>
      </c>
      <c r="R38" s="774" t="s">
        <v>21</v>
      </c>
      <c r="S38" s="775">
        <f t="shared" si="12"/>
        <v>100</v>
      </c>
      <c r="T38" s="774" t="s">
        <v>21</v>
      </c>
      <c r="U38" s="775">
        <f t="shared" si="13"/>
        <v>100</v>
      </c>
      <c r="V38" s="774" t="s">
        <v>21</v>
      </c>
      <c r="W38" s="775">
        <f t="shared" si="14"/>
        <v>100</v>
      </c>
      <c r="X38" s="1817"/>
      <c r="Y38" s="3180" t="s">
        <v>2561</v>
      </c>
      <c r="Z38" s="1818" t="str">
        <f t="shared" si="18"/>
        <v>物业管理</v>
      </c>
      <c r="AA38" s="1815">
        <f t="shared" si="15"/>
        <v>1</v>
      </c>
      <c r="AB38" s="1815">
        <f t="shared" si="16"/>
        <v>1</v>
      </c>
      <c r="AC38" s="1815">
        <f t="shared" si="17"/>
        <v>1</v>
      </c>
    </row>
    <row r="39" spans="1:29" ht="15">
      <c r="A39" s="473"/>
      <c r="B39" s="423" t="s">
        <v>2568</v>
      </c>
      <c r="C39" s="2618"/>
      <c r="D39" s="436">
        <v>100</v>
      </c>
      <c r="E39" s="2619"/>
      <c r="F39" s="462">
        <f>SUMIF(116:116,E39,117:117)-SUMIF(116:116,C39,117:117)+100</f>
        <v>100</v>
      </c>
      <c r="G39" s="2618"/>
      <c r="H39" s="436">
        <f>SUMIF(116:116,G39,117:117)-SUMIF(116:116,C39,117:117)+100</f>
        <v>100</v>
      </c>
      <c r="I39" s="2619"/>
      <c r="J39" s="436">
        <f>SUMIF(116:116,I39,117:117)-SUMIF(116:116,C39,117:117)+100</f>
        <v>100</v>
      </c>
      <c r="K39" s="427"/>
      <c r="L39" s="1143"/>
      <c r="M39" s="1134"/>
      <c r="N39" s="1134"/>
      <c r="O39" s="1134"/>
      <c r="P39" s="3178"/>
      <c r="Q39" s="1814" t="str">
        <f t="shared" si="11"/>
        <v>市政基础设施</v>
      </c>
      <c r="R39" s="774" t="s">
        <v>21</v>
      </c>
      <c r="S39" s="775">
        <f t="shared" si="12"/>
        <v>100</v>
      </c>
      <c r="T39" s="774" t="s">
        <v>21</v>
      </c>
      <c r="U39" s="775">
        <f t="shared" si="13"/>
        <v>100</v>
      </c>
      <c r="V39" s="774" t="s">
        <v>21</v>
      </c>
      <c r="W39" s="775">
        <f t="shared" si="14"/>
        <v>100</v>
      </c>
      <c r="X39" s="1817"/>
      <c r="Y39" s="3180"/>
      <c r="Z39" s="1818" t="str">
        <f t="shared" si="18"/>
        <v>市政基础设施</v>
      </c>
      <c r="AA39" s="1815">
        <f t="shared" si="15"/>
        <v>1</v>
      </c>
      <c r="AB39" s="1815">
        <f t="shared" si="16"/>
        <v>1</v>
      </c>
      <c r="AC39" s="1815">
        <f t="shared" si="17"/>
        <v>1</v>
      </c>
    </row>
    <row r="40" spans="1:29" ht="15">
      <c r="A40" s="473"/>
      <c r="B40" s="423" t="s">
        <v>2569</v>
      </c>
      <c r="C40" s="2618"/>
      <c r="D40" s="436">
        <v>100</v>
      </c>
      <c r="E40" s="2619"/>
      <c r="F40" s="462">
        <f>SUMIF(118:118,E40,119:119)-SUMIF(118:118,C40,119:119)+100</f>
        <v>100</v>
      </c>
      <c r="G40" s="2618"/>
      <c r="H40" s="436">
        <f>SUMIF(118:118,G40,119:119)-SUMIF(118:118,C40,119:119)+100</f>
        <v>100</v>
      </c>
      <c r="I40" s="2619"/>
      <c r="J40" s="436">
        <f>SUMIF(118:118,I40,119:119)-SUMIF(118:118,C40,119:119)+100</f>
        <v>100</v>
      </c>
      <c r="K40" s="427"/>
      <c r="L40" s="1143"/>
      <c r="M40" s="1134"/>
      <c r="N40" s="1134"/>
      <c r="O40" s="1134"/>
      <c r="P40" s="3178"/>
      <c r="Q40" s="1814" t="str">
        <f t="shared" si="11"/>
        <v>房型</v>
      </c>
      <c r="R40" s="774" t="s">
        <v>21</v>
      </c>
      <c r="S40" s="775">
        <f t="shared" si="12"/>
        <v>100</v>
      </c>
      <c r="T40" s="774" t="s">
        <v>21</v>
      </c>
      <c r="U40" s="775">
        <f t="shared" si="13"/>
        <v>100</v>
      </c>
      <c r="V40" s="774" t="s">
        <v>21</v>
      </c>
      <c r="W40" s="775">
        <f t="shared" si="14"/>
        <v>100</v>
      </c>
      <c r="X40" s="1817"/>
      <c r="Y40" s="3180"/>
      <c r="Z40" s="1818" t="str">
        <f t="shared" si="18"/>
        <v>房型</v>
      </c>
      <c r="AA40" s="1815">
        <f t="shared" si="15"/>
        <v>1</v>
      </c>
      <c r="AB40" s="1815">
        <f t="shared" si="16"/>
        <v>1</v>
      </c>
      <c r="AC40" s="1815">
        <f t="shared" si="17"/>
        <v>1</v>
      </c>
    </row>
    <row r="41" spans="1:29" s="472" customFormat="1" ht="28.5">
      <c r="A41" s="469"/>
      <c r="B41" s="423" t="s">
        <v>2570</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6"/>
      <c r="L41" s="1141"/>
      <c r="M41" s="1144"/>
      <c r="N41" s="1144"/>
      <c r="O41" s="1144"/>
      <c r="P41" s="3178"/>
      <c r="Q41" s="776" t="str">
        <f t="shared" si="11"/>
        <v>单套/主力户型建筑面积</v>
      </c>
      <c r="R41" s="777" t="s">
        <v>21</v>
      </c>
      <c r="S41" s="778">
        <f t="shared" si="12"/>
        <v>100</v>
      </c>
      <c r="T41" s="777" t="s">
        <v>21</v>
      </c>
      <c r="U41" s="778">
        <f t="shared" si="13"/>
        <v>100</v>
      </c>
      <c r="V41" s="777" t="s">
        <v>21</v>
      </c>
      <c r="W41" s="778">
        <f t="shared" si="14"/>
        <v>100</v>
      </c>
      <c r="X41" s="779"/>
      <c r="Y41" s="3180"/>
      <c r="Z41" s="780" t="str">
        <f t="shared" si="18"/>
        <v>单套/主力户型建筑面积</v>
      </c>
      <c r="AA41" s="1815">
        <f t="shared" si="15"/>
        <v>1</v>
      </c>
      <c r="AB41" s="1815">
        <f t="shared" si="16"/>
        <v>1</v>
      </c>
      <c r="AC41" s="1815">
        <f t="shared" si="17"/>
        <v>1</v>
      </c>
    </row>
    <row r="42" spans="1:29" ht="15">
      <c r="A42" s="473"/>
      <c r="B42" s="423" t="s">
        <v>2571</v>
      </c>
      <c r="C42" s="2618"/>
      <c r="D42" s="436">
        <v>100</v>
      </c>
      <c r="E42" s="2619"/>
      <c r="F42" s="462">
        <f>SUMIF(122:122,E42,123:123)-SUMIF(122:122,C42,123:123)+100</f>
        <v>100</v>
      </c>
      <c r="G42" s="2618"/>
      <c r="H42" s="436">
        <f>SUMIF(122:122,G42,123:123)-SUMIF(122:122,C42,123:123)+100</f>
        <v>100</v>
      </c>
      <c r="I42" s="2619"/>
      <c r="J42" s="436">
        <f>SUMIF(122:122,I42,123:123)-SUMIF(122:122,C42,123:123)+100</f>
        <v>100</v>
      </c>
      <c r="K42" s="427"/>
      <c r="L42" s="1143"/>
      <c r="M42" s="1134"/>
      <c r="N42" s="1134"/>
      <c r="O42" s="1134"/>
      <c r="P42" s="3178"/>
      <c r="Q42" s="1814" t="str">
        <f t="shared" si="11"/>
        <v>内部装修</v>
      </c>
      <c r="R42" s="774" t="s">
        <v>21</v>
      </c>
      <c r="S42" s="775">
        <f t="shared" si="12"/>
        <v>100</v>
      </c>
      <c r="T42" s="774" t="s">
        <v>21</v>
      </c>
      <c r="U42" s="775">
        <f t="shared" si="13"/>
        <v>100</v>
      </c>
      <c r="V42" s="774" t="s">
        <v>21</v>
      </c>
      <c r="W42" s="775">
        <f t="shared" si="14"/>
        <v>100</v>
      </c>
      <c r="X42" s="1817"/>
      <c r="Y42" s="3180"/>
      <c r="Z42" s="1818" t="str">
        <f t="shared" si="18"/>
        <v>内部装修</v>
      </c>
      <c r="AA42" s="1815">
        <f t="shared" si="15"/>
        <v>1</v>
      </c>
      <c r="AB42" s="1815">
        <f t="shared" si="16"/>
        <v>1</v>
      </c>
      <c r="AC42" s="1815">
        <f t="shared" si="17"/>
        <v>1</v>
      </c>
    </row>
    <row r="43" spans="1:29" ht="15">
      <c r="A43" s="473"/>
      <c r="B43" s="423" t="s">
        <v>2572</v>
      </c>
      <c r="C43" s="2618"/>
      <c r="D43" s="436">
        <v>100</v>
      </c>
      <c r="E43" s="2619"/>
      <c r="F43" s="462">
        <f>SUMIF(124:124,E43,125:125)-SUMIF(124:124,C43,125:125)+100</f>
        <v>100</v>
      </c>
      <c r="G43" s="2618"/>
      <c r="H43" s="436">
        <f>SUMIF(124:124,G43,125:125)-SUMIF(124:124,C43,125:125)+100</f>
        <v>100</v>
      </c>
      <c r="I43" s="2619"/>
      <c r="J43" s="436">
        <f>SUMIF(124:124,I43,125:125)-SUMIF(124:124,C43,125:125)+100</f>
        <v>100</v>
      </c>
      <c r="K43" s="427"/>
      <c r="L43" s="1143"/>
      <c r="M43" s="1134"/>
      <c r="N43" s="1134"/>
      <c r="O43" s="1134"/>
      <c r="P43" s="3178"/>
      <c r="Q43" s="1814" t="str">
        <f t="shared" si="11"/>
        <v>内部装修维护情况</v>
      </c>
      <c r="R43" s="774" t="s">
        <v>21</v>
      </c>
      <c r="S43" s="775">
        <f t="shared" si="12"/>
        <v>100</v>
      </c>
      <c r="T43" s="774" t="s">
        <v>21</v>
      </c>
      <c r="U43" s="775">
        <f t="shared" si="13"/>
        <v>100</v>
      </c>
      <c r="V43" s="774" t="s">
        <v>21</v>
      </c>
      <c r="W43" s="775">
        <f t="shared" si="14"/>
        <v>100</v>
      </c>
      <c r="X43" s="1817"/>
      <c r="Y43" s="3180"/>
      <c r="Z43" s="1818" t="str">
        <f t="shared" si="18"/>
        <v>内部装修维护情况</v>
      </c>
      <c r="AA43" s="1815">
        <f t="shared" si="15"/>
        <v>1</v>
      </c>
      <c r="AB43" s="1815">
        <f t="shared" si="16"/>
        <v>1</v>
      </c>
      <c r="AC43" s="1815">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6"/>
      <c r="L44" s="1135"/>
      <c r="M44" s="1136"/>
      <c r="N44" s="1136"/>
      <c r="O44" s="1136"/>
      <c r="P44" s="3178"/>
      <c r="Q44" s="1799">
        <f t="shared" si="11"/>
        <v>111</v>
      </c>
      <c r="R44" s="770" t="s">
        <v>21</v>
      </c>
      <c r="S44" s="771">
        <f t="shared" si="12"/>
        <v>100</v>
      </c>
      <c r="T44" s="770" t="s">
        <v>21</v>
      </c>
      <c r="U44" s="771">
        <f t="shared" si="13"/>
        <v>100</v>
      </c>
      <c r="V44" s="770" t="s">
        <v>21</v>
      </c>
      <c r="W44" s="771">
        <f t="shared" si="14"/>
        <v>100</v>
      </c>
      <c r="X44" s="772"/>
      <c r="Y44" s="3180"/>
      <c r="Z44" s="55">
        <f t="shared" si="18"/>
        <v>111</v>
      </c>
      <c r="AA44" s="773">
        <f t="shared" si="15"/>
        <v>1</v>
      </c>
      <c r="AB44" s="773">
        <f t="shared" si="16"/>
        <v>1</v>
      </c>
      <c r="AC44" s="773">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6"/>
      <c r="L45" s="1143"/>
      <c r="M45" s="1134"/>
      <c r="N45" s="1134"/>
      <c r="O45" s="1134"/>
      <c r="P45" s="3178"/>
      <c r="Q45" s="1814">
        <f t="shared" si="11"/>
        <v>111</v>
      </c>
      <c r="R45" s="774" t="s">
        <v>21</v>
      </c>
      <c r="S45" s="775">
        <f t="shared" si="12"/>
        <v>100</v>
      </c>
      <c r="T45" s="774" t="s">
        <v>21</v>
      </c>
      <c r="U45" s="775">
        <f t="shared" si="13"/>
        <v>100</v>
      </c>
      <c r="V45" s="774" t="s">
        <v>21</v>
      </c>
      <c r="W45" s="775">
        <f t="shared" si="14"/>
        <v>100</v>
      </c>
      <c r="X45" s="1817"/>
      <c r="Y45" s="3180"/>
      <c r="Z45" s="1818">
        <f t="shared" si="18"/>
        <v>111</v>
      </c>
      <c r="AA45" s="1815">
        <f t="shared" si="15"/>
        <v>1</v>
      </c>
      <c r="AB45" s="1815">
        <f t="shared" si="16"/>
        <v>1</v>
      </c>
      <c r="AC45" s="1815">
        <f t="shared" si="17"/>
        <v>1</v>
      </c>
    </row>
    <row r="46" spans="1:29" ht="15.75" thickBot="1">
      <c r="A46" s="479"/>
      <c r="B46" s="2607">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6"/>
      <c r="L46" s="1143"/>
      <c r="M46" s="1134"/>
      <c r="N46" s="1134"/>
      <c r="O46" s="1134"/>
      <c r="P46" s="3179"/>
      <c r="Q46" s="1814">
        <f t="shared" si="11"/>
        <v>111</v>
      </c>
      <c r="R46" s="774" t="s">
        <v>20</v>
      </c>
      <c r="S46" s="775">
        <f t="shared" si="12"/>
        <v>100</v>
      </c>
      <c r="T46" s="774" t="s">
        <v>20</v>
      </c>
      <c r="U46" s="775">
        <f t="shared" si="13"/>
        <v>100</v>
      </c>
      <c r="V46" s="774" t="s">
        <v>20</v>
      </c>
      <c r="W46" s="775">
        <f t="shared" si="14"/>
        <v>100</v>
      </c>
      <c r="X46" s="1817"/>
      <c r="Y46" s="3181"/>
      <c r="Z46" s="1818">
        <f t="shared" si="18"/>
        <v>111</v>
      </c>
      <c r="AA46" s="1815">
        <f t="shared" si="15"/>
        <v>1</v>
      </c>
      <c r="AB46" s="1815">
        <f t="shared" si="16"/>
        <v>1</v>
      </c>
      <c r="AC46" s="1815">
        <f t="shared" si="17"/>
        <v>1</v>
      </c>
    </row>
    <row r="47" spans="1:29" ht="15">
      <c r="A47" s="480" t="s">
        <v>2573</v>
      </c>
      <c r="B47" s="481"/>
      <c r="C47" s="1410" t="s">
        <v>19</v>
      </c>
      <c r="D47" s="1411"/>
      <c r="E47" s="1412"/>
      <c r="F47" s="1413"/>
      <c r="G47" s="1414"/>
      <c r="H47" s="1415"/>
      <c r="I47" s="1412"/>
      <c r="J47" s="1415"/>
      <c r="K47" s="2626"/>
      <c r="L47" s="1146"/>
      <c r="M47" s="1147"/>
      <c r="N47" s="1134"/>
      <c r="O47" s="1147"/>
      <c r="P47" s="3182" t="str">
        <f>A47</f>
        <v>成交单价（元/平方米）</v>
      </c>
      <c r="Q47" s="3182"/>
      <c r="R47" s="3183">
        <f>E47</f>
        <v>0</v>
      </c>
      <c r="S47" s="3183"/>
      <c r="T47" s="3183">
        <f>G47</f>
        <v>0</v>
      </c>
      <c r="U47" s="3183"/>
      <c r="V47" s="3183">
        <f>I47</f>
        <v>0</v>
      </c>
      <c r="W47" s="3183"/>
      <c r="X47" s="759"/>
      <c r="Y47" s="781"/>
      <c r="Z47" s="759"/>
      <c r="AA47" s="759"/>
      <c r="AB47" s="759"/>
      <c r="AC47" s="759"/>
    </row>
    <row r="48" spans="1:29" ht="15.75" thickBot="1">
      <c r="A48" s="487" t="s">
        <v>2574</v>
      </c>
      <c r="B48" s="488"/>
      <c r="C48" s="1416" t="e">
        <f>R49</f>
        <v>#DIV/0!</v>
      </c>
      <c r="D48" s="1417"/>
      <c r="E48" s="1418" t="e">
        <f>R48</f>
        <v>#DIV/0!</v>
      </c>
      <c r="F48" s="1418"/>
      <c r="G48" s="1416" t="e">
        <f>T48</f>
        <v>#DIV/0!</v>
      </c>
      <c r="H48" s="1417"/>
      <c r="I48" s="1418" t="e">
        <f>V48</f>
        <v>#DIV/0!</v>
      </c>
      <c r="J48" s="1417"/>
      <c r="K48" s="2627"/>
      <c r="L48" s="1146"/>
      <c r="M48" s="1147"/>
      <c r="N48" s="1147"/>
      <c r="O48" s="1147"/>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9"/>
      <c r="Y48" s="759"/>
      <c r="Z48" s="759"/>
      <c r="AA48" s="759"/>
      <c r="AB48" s="759"/>
      <c r="AC48" s="759"/>
    </row>
    <row r="49" spans="1:29" ht="15.75" thickBot="1">
      <c r="A49" s="493" t="s">
        <v>2575</v>
      </c>
      <c r="B49" s="494"/>
      <c r="C49" s="1419" t="e">
        <f>R49</f>
        <v>#DIV/0!</v>
      </c>
      <c r="D49" s="1420"/>
      <c r="E49" s="1420"/>
      <c r="F49" s="1420"/>
      <c r="G49" s="1420"/>
      <c r="H49" s="1420"/>
      <c r="I49" s="1420"/>
      <c r="J49" s="1420"/>
      <c r="K49" s="2628"/>
      <c r="L49" s="1146"/>
      <c r="M49" s="1147"/>
      <c r="N49" s="1147"/>
      <c r="O49" s="1147"/>
      <c r="P49" s="3231" t="str">
        <f>A49</f>
        <v>估价对象XX用房的比较价值（楼面单价，元/平方米）</v>
      </c>
      <c r="Q49" s="3232"/>
      <c r="R49" s="3233" t="e">
        <f>IF(F1="售价",ROUND(AVERAGE(R48:V48),0),ROUND(AVERAGE(R48:V48),1))</f>
        <v>#DIV/0!</v>
      </c>
      <c r="S49" s="3233"/>
      <c r="T49" s="3233"/>
      <c r="U49" s="3233"/>
      <c r="V49" s="3233"/>
      <c r="W49" s="323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8" t="s">
        <v>2576</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row>
    <row r="53" spans="1:29" ht="13.5" customHeight="1">
      <c r="A53" s="1147"/>
      <c r="B53" s="1147"/>
      <c r="C53" s="498" t="s">
        <v>2577</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row>
    <row r="54" spans="1:29" s="503" customFormat="1" ht="13.5" customHeight="1">
      <c r="A54" s="1148"/>
      <c r="B54" s="1148"/>
      <c r="C54" s="498" t="s">
        <v>2578</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30"/>
    </row>
    <row r="55" spans="1:29" s="503"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2579</v>
      </c>
      <c r="B57" s="759"/>
      <c r="C57" s="764"/>
      <c r="D57" s="764"/>
      <c r="E57" s="764"/>
      <c r="F57" s="765"/>
      <c r="G57" s="765"/>
      <c r="H57" s="764"/>
      <c r="I57" s="764"/>
      <c r="J57" s="764"/>
      <c r="K57" s="1163"/>
      <c r="L57" s="1164"/>
      <c r="M57" s="1162"/>
      <c r="N57" s="1162"/>
      <c r="O57" s="1162"/>
      <c r="P57" s="2631"/>
      <c r="Q57" s="505"/>
    </row>
    <row r="58" spans="1:29" s="509" customFormat="1" ht="15">
      <c r="A58" s="506" t="s">
        <v>2580</v>
      </c>
      <c r="B58" s="507"/>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10"/>
      <c r="B59" s="2632"/>
      <c r="C59" s="1577">
        <v>100</v>
      </c>
      <c r="D59" s="512"/>
      <c r="E59" s="513"/>
      <c r="F59" s="513"/>
      <c r="G59" s="513"/>
      <c r="H59" s="513"/>
      <c r="I59" s="513"/>
      <c r="J59" s="513"/>
      <c r="K59" s="513"/>
      <c r="L59" s="513"/>
      <c r="M59" s="514"/>
      <c r="N59" s="513"/>
      <c r="O59" s="514"/>
      <c r="P59" s="2633"/>
    </row>
    <row r="60" spans="1:29" s="117" customFormat="1" ht="15.75" thickBot="1">
      <c r="A60" s="516" t="s">
        <v>2581</v>
      </c>
      <c r="B60" s="517"/>
      <c r="C60" s="518"/>
      <c r="D60" s="519"/>
      <c r="E60" s="519"/>
      <c r="F60" s="519"/>
      <c r="G60" s="519"/>
      <c r="H60" s="519"/>
      <c r="I60" s="519"/>
      <c r="J60" s="519"/>
      <c r="K60" s="519"/>
      <c r="L60" s="519"/>
      <c r="M60" s="520"/>
      <c r="N60" s="519"/>
      <c r="O60" s="520"/>
      <c r="P60" s="2633"/>
      <c r="Q60" s="505"/>
    </row>
    <row r="61" spans="1:29" s="117" customFormat="1" ht="15">
      <c r="A61" s="522" t="s">
        <v>2582</v>
      </c>
      <c r="B61" s="511"/>
      <c r="C61" s="523" t="s">
        <v>2583</v>
      </c>
      <c r="D61" s="524"/>
      <c r="E61" s="524"/>
      <c r="F61" s="524"/>
      <c r="G61" s="524"/>
      <c r="H61" s="524"/>
      <c r="I61" s="524"/>
      <c r="J61" s="524"/>
      <c r="K61" s="524"/>
      <c r="L61" s="525"/>
      <c r="M61" s="526"/>
      <c r="N61" s="1154"/>
      <c r="O61" s="1154"/>
      <c r="P61" s="2634"/>
      <c r="Q61" s="505"/>
    </row>
    <row r="62" spans="1:29" s="117" customFormat="1" ht="15.75" thickBot="1">
      <c r="A62" s="522"/>
      <c r="B62" s="511"/>
      <c r="C62" s="512">
        <v>100</v>
      </c>
      <c r="D62" s="513"/>
      <c r="E62" s="513"/>
      <c r="F62" s="513"/>
      <c r="G62" s="513"/>
      <c r="H62" s="513"/>
      <c r="I62" s="513"/>
      <c r="J62" s="513"/>
      <c r="K62" s="513"/>
      <c r="L62" s="513"/>
      <c r="M62" s="515"/>
      <c r="N62" s="1154"/>
      <c r="O62" s="1154"/>
      <c r="P62" s="2633"/>
      <c r="Q62" s="505"/>
    </row>
    <row r="63" spans="1:29">
      <c r="A63" s="528" t="s">
        <v>2584</v>
      </c>
      <c r="B63" s="529" t="s">
        <v>2550</v>
      </c>
      <c r="C63" s="530">
        <f>C9</f>
        <v>0</v>
      </c>
      <c r="D63" s="531"/>
      <c r="E63" s="531"/>
      <c r="F63" s="531"/>
      <c r="G63" s="531"/>
      <c r="H63" s="531"/>
      <c r="I63" s="531"/>
      <c r="J63" s="531"/>
      <c r="K63" s="532"/>
      <c r="L63" s="533"/>
      <c r="M63" s="534"/>
      <c r="N63" s="1155"/>
      <c r="O63" s="1155"/>
      <c r="P63" s="2635"/>
      <c r="Q63" s="505"/>
    </row>
    <row r="64" spans="1:29" ht="15.75" thickBot="1">
      <c r="A64" s="535"/>
      <c r="B64" s="536"/>
      <c r="C64" s="537">
        <v>100</v>
      </c>
      <c r="D64" s="537"/>
      <c r="E64" s="537"/>
      <c r="F64" s="537"/>
      <c r="G64" s="537"/>
      <c r="H64" s="537"/>
      <c r="I64" s="537"/>
      <c r="J64" s="537"/>
      <c r="K64" s="537"/>
      <c r="L64" s="537"/>
      <c r="M64" s="538"/>
      <c r="N64" s="1156"/>
      <c r="O64" s="1156"/>
      <c r="P64" s="2635"/>
      <c r="Q64" s="505"/>
    </row>
    <row r="65" spans="1:17" ht="27.75" thickTop="1">
      <c r="A65" s="535"/>
      <c r="B65" s="539" t="s">
        <v>2553</v>
      </c>
      <c r="C65" s="540" t="s">
        <v>2585</v>
      </c>
      <c r="D65" s="540" t="s">
        <v>2586</v>
      </c>
      <c r="E65" s="540" t="s">
        <v>2587</v>
      </c>
      <c r="F65" s="540" t="s">
        <v>2588</v>
      </c>
      <c r="G65" s="540" t="s">
        <v>2589</v>
      </c>
      <c r="H65" s="540" t="s">
        <v>2590</v>
      </c>
      <c r="I65" s="540" t="s">
        <v>2591</v>
      </c>
      <c r="J65" s="540"/>
      <c r="K65" s="541"/>
      <c r="L65" s="542"/>
      <c r="M65" s="543"/>
      <c r="N65" s="1155"/>
      <c r="O65" s="1155"/>
      <c r="P65" s="2635"/>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6"/>
      <c r="O66" s="1156"/>
      <c r="P66" s="2635"/>
      <c r="Q66" s="505"/>
    </row>
    <row r="67" spans="1:17" ht="15.75" thickTop="1">
      <c r="A67" s="535"/>
      <c r="B67" s="547" t="s">
        <v>2554</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5"/>
      <c r="Q67" s="505"/>
    </row>
    <row r="68" spans="1:17" ht="15">
      <c r="A68" s="535"/>
      <c r="B68" s="549"/>
      <c r="C68" s="550"/>
      <c r="D68" s="550"/>
      <c r="E68" s="550"/>
      <c r="F68" s="550"/>
      <c r="G68" s="550"/>
      <c r="H68" s="550"/>
      <c r="I68" s="550"/>
      <c r="J68" s="550"/>
      <c r="K68" s="551"/>
      <c r="L68" s="552"/>
      <c r="M68" s="553"/>
      <c r="N68" s="1155"/>
      <c r="O68" s="1155"/>
      <c r="P68" s="2635"/>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5"/>
      <c r="Q69" s="505"/>
    </row>
    <row r="70" spans="1:17" s="472" customFormat="1" ht="15.75" thickTop="1">
      <c r="A70" s="554"/>
      <c r="B70" s="539">
        <f>B12</f>
        <v>111</v>
      </c>
      <c r="C70" s="555"/>
      <c r="D70" s="555"/>
      <c r="E70" s="555"/>
      <c r="F70" s="555"/>
      <c r="G70" s="555"/>
      <c r="H70" s="556"/>
      <c r="I70" s="556"/>
      <c r="J70" s="556"/>
      <c r="K70" s="556"/>
      <c r="L70" s="557"/>
      <c r="M70" s="558"/>
      <c r="N70" s="1157"/>
      <c r="O70" s="1157"/>
      <c r="P70" s="2636"/>
      <c r="Q70" s="560"/>
    </row>
    <row r="71" spans="1:17" s="472" customFormat="1" ht="15.75" thickBot="1">
      <c r="A71" s="554"/>
      <c r="B71" s="544"/>
      <c r="C71" s="561"/>
      <c r="D71" s="537"/>
      <c r="E71" s="537"/>
      <c r="F71" s="537"/>
      <c r="G71" s="537"/>
      <c r="H71" s="537"/>
      <c r="I71" s="537"/>
      <c r="J71" s="537"/>
      <c r="K71" s="537"/>
      <c r="L71" s="537"/>
      <c r="M71" s="538"/>
      <c r="N71" s="1156"/>
      <c r="O71" s="1156"/>
      <c r="P71" s="2636"/>
      <c r="Q71" s="560"/>
    </row>
    <row r="72" spans="1:17" s="472" customFormat="1" ht="15.75" thickTop="1">
      <c r="A72" s="554"/>
      <c r="B72" s="539">
        <f>B13</f>
        <v>111</v>
      </c>
      <c r="C72" s="555"/>
      <c r="D72" s="555"/>
      <c r="E72" s="555"/>
      <c r="F72" s="555"/>
      <c r="G72" s="555"/>
      <c r="H72" s="556"/>
      <c r="I72" s="556"/>
      <c r="J72" s="556"/>
      <c r="K72" s="556"/>
      <c r="L72" s="557"/>
      <c r="M72" s="558"/>
      <c r="N72" s="1157"/>
      <c r="O72" s="1157"/>
      <c r="P72" s="2637"/>
      <c r="Q72" s="562"/>
    </row>
    <row r="73" spans="1:17" s="472" customFormat="1" ht="15.75" thickBot="1">
      <c r="A73" s="554"/>
      <c r="B73" s="544"/>
      <c r="C73" s="561"/>
      <c r="D73" s="561"/>
      <c r="E73" s="561"/>
      <c r="F73" s="561"/>
      <c r="G73" s="561"/>
      <c r="H73" s="563"/>
      <c r="I73" s="563"/>
      <c r="J73" s="563"/>
      <c r="K73" s="563"/>
      <c r="L73" s="563"/>
      <c r="M73" s="564"/>
      <c r="N73" s="1157"/>
      <c r="O73" s="1157"/>
      <c r="P73" s="2636"/>
      <c r="Q73" s="560"/>
    </row>
    <row r="74" spans="1:17" s="472" customFormat="1" ht="15.75" thickTop="1">
      <c r="A74" s="554"/>
      <c r="B74" s="547">
        <f>B14</f>
        <v>111</v>
      </c>
      <c r="C74" s="555"/>
      <c r="D74" s="555"/>
      <c r="E74" s="555"/>
      <c r="F74" s="555"/>
      <c r="G74" s="524"/>
      <c r="H74" s="565"/>
      <c r="I74" s="565"/>
      <c r="J74" s="565"/>
      <c r="K74" s="565"/>
      <c r="L74" s="566"/>
      <c r="M74" s="567"/>
      <c r="N74" s="1157"/>
      <c r="O74" s="1157"/>
      <c r="P74" s="2638"/>
      <c r="Q74" s="560"/>
    </row>
    <row r="75" spans="1:17" s="472" customFormat="1" ht="15.75" thickBot="1">
      <c r="A75" s="569"/>
      <c r="B75" s="570"/>
      <c r="C75" s="571"/>
      <c r="D75" s="571"/>
      <c r="E75" s="571"/>
      <c r="F75" s="571"/>
      <c r="G75" s="571"/>
      <c r="H75" s="572"/>
      <c r="I75" s="572"/>
      <c r="J75" s="572"/>
      <c r="K75" s="572"/>
      <c r="L75" s="572"/>
      <c r="M75" s="573"/>
      <c r="N75" s="1157"/>
      <c r="O75" s="1157"/>
      <c r="P75" s="2636"/>
      <c r="Q75" s="560"/>
    </row>
    <row r="76" spans="1:17">
      <c r="A76" s="528" t="s">
        <v>2555</v>
      </c>
      <c r="B76" s="529" t="s">
        <v>2592</v>
      </c>
      <c r="C76" s="574" t="s">
        <v>2593</v>
      </c>
      <c r="D76" s="574" t="s">
        <v>2594</v>
      </c>
      <c r="E76" s="574" t="s">
        <v>2595</v>
      </c>
      <c r="F76" s="574" t="s">
        <v>2596</v>
      </c>
      <c r="G76" s="574" t="s">
        <v>2597</v>
      </c>
      <c r="H76" s="530"/>
      <c r="I76" s="530"/>
      <c r="J76" s="530"/>
      <c r="K76" s="575"/>
      <c r="L76" s="576"/>
      <c r="M76" s="577"/>
      <c r="N76" s="1155"/>
      <c r="O76" s="1155"/>
      <c r="P76" s="2639"/>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5"/>
      <c r="Q77" s="505"/>
    </row>
    <row r="78" spans="1:17" ht="15.75" thickTop="1">
      <c r="A78" s="535"/>
      <c r="B78" s="539" t="s">
        <v>2598</v>
      </c>
      <c r="C78" s="579" t="s">
        <v>2593</v>
      </c>
      <c r="D78" s="579" t="s">
        <v>2594</v>
      </c>
      <c r="E78" s="579" t="s">
        <v>2595</v>
      </c>
      <c r="F78" s="579" t="s">
        <v>2596</v>
      </c>
      <c r="G78" s="579" t="s">
        <v>2597</v>
      </c>
      <c r="H78" s="540"/>
      <c r="I78" s="540"/>
      <c r="J78" s="540"/>
      <c r="K78" s="541"/>
      <c r="L78" s="542"/>
      <c r="M78" s="543"/>
      <c r="N78" s="1155"/>
      <c r="O78" s="1155"/>
      <c r="P78" s="2635"/>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5"/>
      <c r="Q79" s="505"/>
    </row>
    <row r="80" spans="1:17" ht="15.75" thickTop="1">
      <c r="A80" s="535"/>
      <c r="B80" s="539" t="s">
        <v>2599</v>
      </c>
      <c r="C80" s="579" t="s">
        <v>2593</v>
      </c>
      <c r="D80" s="579" t="s">
        <v>2594</v>
      </c>
      <c r="E80" s="579" t="s">
        <v>2595</v>
      </c>
      <c r="F80" s="579" t="s">
        <v>2596</v>
      </c>
      <c r="G80" s="579" t="s">
        <v>2597</v>
      </c>
      <c r="H80" s="540"/>
      <c r="I80" s="540"/>
      <c r="J80" s="540"/>
      <c r="K80" s="541"/>
      <c r="L80" s="542"/>
      <c r="M80" s="543"/>
      <c r="N80" s="1155"/>
      <c r="O80" s="1155"/>
      <c r="P80" s="2635"/>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5"/>
      <c r="Q81" s="505"/>
    </row>
    <row r="82" spans="1:17" ht="15.75" thickTop="1">
      <c r="A82" s="535"/>
      <c r="B82" s="547" t="s">
        <v>2094</v>
      </c>
      <c r="C82" s="540" t="s">
        <v>2600</v>
      </c>
      <c r="D82" s="540" t="s">
        <v>2601</v>
      </c>
      <c r="E82" s="540" t="s">
        <v>2602</v>
      </c>
      <c r="F82" s="540" t="s">
        <v>2603</v>
      </c>
      <c r="G82" s="540" t="s">
        <v>2604</v>
      </c>
      <c r="H82" s="540"/>
      <c r="I82" s="540"/>
      <c r="J82" s="540"/>
      <c r="K82" s="540"/>
      <c r="L82" s="540"/>
      <c r="M82" s="1385"/>
      <c r="N82" s="1156"/>
      <c r="O82" s="1156"/>
      <c r="P82" s="2635"/>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6"/>
      <c r="O83" s="1156"/>
      <c r="P83" s="2635"/>
      <c r="Q83" s="505"/>
    </row>
    <row r="84" spans="1:17" ht="15.75" thickTop="1">
      <c r="A84" s="535"/>
      <c r="B84" s="539" t="s">
        <v>2605</v>
      </c>
      <c r="C84" s="579" t="s">
        <v>2593</v>
      </c>
      <c r="D84" s="579" t="s">
        <v>2594</v>
      </c>
      <c r="E84" s="579" t="s">
        <v>2595</v>
      </c>
      <c r="F84" s="579" t="s">
        <v>2596</v>
      </c>
      <c r="G84" s="579" t="s">
        <v>2597</v>
      </c>
      <c r="H84" s="540"/>
      <c r="I84" s="540"/>
      <c r="J84" s="540"/>
      <c r="K84" s="541"/>
      <c r="L84" s="542"/>
      <c r="M84" s="543"/>
      <c r="N84" s="1155"/>
      <c r="O84" s="1155"/>
      <c r="P84" s="2635"/>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5"/>
      <c r="Q85" s="505"/>
    </row>
    <row r="86" spans="1:17" s="117" customFormat="1" ht="15.75" thickTop="1">
      <c r="A86" s="580"/>
      <c r="B86" s="539" t="s">
        <v>2606</v>
      </c>
      <c r="C86" s="555"/>
      <c r="D86" s="555"/>
      <c r="E86" s="555"/>
      <c r="F86" s="555"/>
      <c r="G86" s="555"/>
      <c r="H86" s="555"/>
      <c r="I86" s="555"/>
      <c r="J86" s="555"/>
      <c r="K86" s="555"/>
      <c r="L86" s="581"/>
      <c r="M86" s="582"/>
      <c r="N86" s="1154"/>
      <c r="O86" s="1154"/>
      <c r="P86" s="2635"/>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6"/>
      <c r="O87" s="1156"/>
      <c r="P87" s="2635"/>
      <c r="Q87" s="505"/>
    </row>
    <row r="88" spans="1:17" s="117" customFormat="1" ht="15.75" thickTop="1">
      <c r="A88" s="580"/>
      <c r="B88" s="539" t="s">
        <v>2607</v>
      </c>
      <c r="C88" s="555"/>
      <c r="D88" s="555"/>
      <c r="E88" s="555"/>
      <c r="F88" s="2640"/>
      <c r="G88" s="555"/>
      <c r="H88" s="555"/>
      <c r="I88" s="555"/>
      <c r="J88" s="555"/>
      <c r="K88" s="555"/>
      <c r="L88" s="555"/>
      <c r="M88" s="582"/>
      <c r="N88" s="1154"/>
      <c r="O88" s="1154"/>
      <c r="P88" s="2635"/>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6"/>
      <c r="O89" s="1156"/>
      <c r="P89" s="2635"/>
      <c r="Q89" s="505"/>
    </row>
    <row r="90" spans="1:17" s="472" customFormat="1" ht="15.75" thickTop="1">
      <c r="A90" s="554"/>
      <c r="B90" s="539">
        <f>B27</f>
        <v>111</v>
      </c>
      <c r="C90" s="555"/>
      <c r="D90" s="555"/>
      <c r="E90" s="555"/>
      <c r="F90" s="555"/>
      <c r="G90" s="555"/>
      <c r="H90" s="556"/>
      <c r="I90" s="556"/>
      <c r="J90" s="556"/>
      <c r="K90" s="556"/>
      <c r="L90" s="557"/>
      <c r="M90" s="558"/>
      <c r="N90" s="1157"/>
      <c r="O90" s="1157"/>
      <c r="P90" s="2636"/>
      <c r="Q90" s="560"/>
    </row>
    <row r="91" spans="1:17" s="472" customFormat="1" ht="15.75" thickBot="1">
      <c r="A91" s="554"/>
      <c r="B91" s="544"/>
      <c r="C91" s="561"/>
      <c r="D91" s="561"/>
      <c r="E91" s="561"/>
      <c r="F91" s="561"/>
      <c r="G91" s="561"/>
      <c r="H91" s="563"/>
      <c r="I91" s="563"/>
      <c r="J91" s="563"/>
      <c r="K91" s="563"/>
      <c r="L91" s="563"/>
      <c r="M91" s="564"/>
      <c r="N91" s="1157"/>
      <c r="O91" s="1157"/>
      <c r="P91" s="2636"/>
      <c r="Q91" s="560"/>
    </row>
    <row r="92" spans="1:17" ht="15.75" thickTop="1">
      <c r="A92" s="535"/>
      <c r="B92" s="539">
        <f>B28</f>
        <v>111</v>
      </c>
      <c r="C92" s="555"/>
      <c r="D92" s="555"/>
      <c r="E92" s="555"/>
      <c r="F92" s="555"/>
      <c r="G92" s="584"/>
      <c r="H92" s="584"/>
      <c r="I92" s="584"/>
      <c r="J92" s="584"/>
      <c r="K92" s="585"/>
      <c r="L92" s="586"/>
      <c r="M92" s="587"/>
      <c r="N92" s="1155"/>
      <c r="O92" s="1155"/>
      <c r="P92" s="2635"/>
      <c r="Q92" s="505"/>
    </row>
    <row r="93" spans="1:17" ht="15.75" thickBot="1">
      <c r="A93" s="535"/>
      <c r="B93" s="544"/>
      <c r="C93" s="561"/>
      <c r="D93" s="537"/>
      <c r="E93" s="537"/>
      <c r="F93" s="537"/>
      <c r="G93" s="537"/>
      <c r="H93" s="537"/>
      <c r="I93" s="537"/>
      <c r="J93" s="537"/>
      <c r="K93" s="537"/>
      <c r="L93" s="537"/>
      <c r="M93" s="538"/>
      <c r="N93" s="1156"/>
      <c r="O93" s="1156"/>
      <c r="P93" s="2635"/>
      <c r="Q93" s="505"/>
    </row>
    <row r="94" spans="1:17" ht="15.75" thickTop="1">
      <c r="A94" s="535"/>
      <c r="B94" s="539">
        <f>B29</f>
        <v>111</v>
      </c>
      <c r="C94" s="555"/>
      <c r="D94" s="555"/>
      <c r="E94" s="555"/>
      <c r="F94" s="555"/>
      <c r="G94" s="584"/>
      <c r="H94" s="584"/>
      <c r="I94" s="584"/>
      <c r="J94" s="584"/>
      <c r="K94" s="585"/>
      <c r="L94" s="586"/>
      <c r="M94" s="587"/>
      <c r="N94" s="1155"/>
      <c r="O94" s="1155"/>
      <c r="P94" s="2635"/>
      <c r="Q94" s="505"/>
    </row>
    <row r="95" spans="1:17" ht="15.75" thickBot="1">
      <c r="A95" s="535"/>
      <c r="B95" s="544"/>
      <c r="C95" s="561"/>
      <c r="D95" s="561"/>
      <c r="E95" s="561"/>
      <c r="F95" s="561"/>
      <c r="G95" s="537"/>
      <c r="H95" s="537"/>
      <c r="I95" s="537"/>
      <c r="J95" s="537"/>
      <c r="K95" s="537"/>
      <c r="L95" s="537"/>
      <c r="M95" s="538"/>
      <c r="N95" s="1156"/>
      <c r="O95" s="1156"/>
      <c r="P95" s="2635"/>
      <c r="Q95" s="505"/>
    </row>
    <row r="96" spans="1:17" ht="15.75" thickTop="1">
      <c r="A96" s="535"/>
      <c r="B96" s="539">
        <f>B30</f>
        <v>111</v>
      </c>
      <c r="C96" s="555"/>
      <c r="D96" s="555"/>
      <c r="E96" s="555"/>
      <c r="F96" s="555"/>
      <c r="G96" s="584"/>
      <c r="H96" s="584"/>
      <c r="I96" s="584"/>
      <c r="J96" s="584"/>
      <c r="K96" s="585"/>
      <c r="L96" s="586"/>
      <c r="M96" s="587"/>
      <c r="N96" s="1155"/>
      <c r="O96" s="1155"/>
      <c r="P96" s="2635"/>
      <c r="Q96" s="505"/>
    </row>
    <row r="97" spans="1:17" ht="15.75" thickBot="1">
      <c r="A97" s="535"/>
      <c r="B97" s="544"/>
      <c r="C97" s="571"/>
      <c r="D97" s="571"/>
      <c r="E97" s="571"/>
      <c r="F97" s="571"/>
      <c r="G97" s="537"/>
      <c r="H97" s="537"/>
      <c r="I97" s="537"/>
      <c r="J97" s="537"/>
      <c r="K97" s="537"/>
      <c r="L97" s="537"/>
      <c r="M97" s="538"/>
      <c r="N97" s="1156"/>
      <c r="O97" s="1156"/>
      <c r="P97" s="2635"/>
      <c r="Q97" s="505"/>
    </row>
    <row r="98" spans="1:17" ht="15.75" thickTop="1">
      <c r="A98" s="535"/>
      <c r="B98" s="547">
        <f>B31</f>
        <v>111</v>
      </c>
      <c r="C98" s="588"/>
      <c r="D98" s="588"/>
      <c r="E98" s="588"/>
      <c r="F98" s="588"/>
      <c r="G98" s="588"/>
      <c r="H98" s="588"/>
      <c r="I98" s="588"/>
      <c r="J98" s="588"/>
      <c r="K98" s="589"/>
      <c r="L98" s="590"/>
      <c r="M98" s="591"/>
      <c r="N98" s="1155"/>
      <c r="O98" s="1155"/>
      <c r="P98" s="2635"/>
      <c r="Q98" s="505"/>
    </row>
    <row r="99" spans="1:17" ht="15.75" thickBot="1">
      <c r="A99" s="2641"/>
      <c r="B99" s="570"/>
      <c r="C99" s="592"/>
      <c r="D99" s="592"/>
      <c r="E99" s="592"/>
      <c r="F99" s="592"/>
      <c r="G99" s="592"/>
      <c r="H99" s="592"/>
      <c r="I99" s="592"/>
      <c r="J99" s="592"/>
      <c r="K99" s="592"/>
      <c r="L99" s="592"/>
      <c r="M99" s="593"/>
      <c r="N99" s="1156"/>
      <c r="O99" s="1156"/>
      <c r="P99" s="2635"/>
      <c r="Q99" s="505"/>
    </row>
    <row r="100" spans="1:17">
      <c r="A100" s="528" t="s">
        <v>2559</v>
      </c>
      <c r="B100" s="529" t="s">
        <v>2608</v>
      </c>
      <c r="C100" s="531"/>
      <c r="D100" s="531"/>
      <c r="E100" s="531"/>
      <c r="F100" s="531"/>
      <c r="G100" s="531"/>
      <c r="H100" s="531"/>
      <c r="I100" s="531"/>
      <c r="J100" s="531"/>
      <c r="K100" s="532"/>
      <c r="L100" s="533"/>
      <c r="M100" s="534"/>
      <c r="N100" s="1155"/>
      <c r="O100" s="1155"/>
      <c r="P100" s="2635"/>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6"/>
      <c r="O101" s="1156"/>
      <c r="P101" s="2635"/>
      <c r="Q101" s="505"/>
    </row>
    <row r="102" spans="1:17" ht="15.75" thickTop="1">
      <c r="A102" s="535"/>
      <c r="B102" s="539" t="s">
        <v>2609</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5"/>
      <c r="Q102" s="505"/>
    </row>
    <row r="103" spans="1:17" s="472" customFormat="1">
      <c r="A103" s="594"/>
      <c r="B103" s="595"/>
      <c r="C103" s="596"/>
      <c r="D103" s="596"/>
      <c r="E103" s="596"/>
      <c r="F103" s="596"/>
      <c r="G103" s="596"/>
      <c r="H103" s="596"/>
      <c r="I103" s="596"/>
      <c r="J103" s="597"/>
      <c r="K103" s="597"/>
      <c r="L103" s="598"/>
      <c r="M103" s="599"/>
      <c r="N103" s="1157"/>
      <c r="O103" s="1157"/>
      <c r="P103" s="2636"/>
      <c r="Q103" s="560"/>
    </row>
    <row r="104" spans="1:17" s="472" customFormat="1" ht="15.75" thickBot="1">
      <c r="A104" s="554"/>
      <c r="B104" s="544"/>
      <c r="C104" s="561"/>
      <c r="D104" s="537"/>
      <c r="E104" s="537"/>
      <c r="F104" s="537"/>
      <c r="G104" s="537"/>
      <c r="H104" s="537"/>
      <c r="I104" s="537"/>
      <c r="J104" s="537"/>
      <c r="K104" s="537"/>
      <c r="L104" s="537"/>
      <c r="M104" s="537"/>
      <c r="N104" s="1156"/>
      <c r="O104" s="1156"/>
      <c r="P104" s="2636"/>
      <c r="Q104" s="560"/>
    </row>
    <row r="105" spans="1:17" ht="15" thickTop="1">
      <c r="A105" s="600"/>
      <c r="B105" s="539" t="s">
        <v>2610</v>
      </c>
      <c r="C105" s="555"/>
      <c r="D105" s="555"/>
      <c r="E105" s="584"/>
      <c r="F105" s="584"/>
      <c r="G105" s="584"/>
      <c r="H105" s="584"/>
      <c r="I105" s="584"/>
      <c r="J105" s="584"/>
      <c r="K105" s="585"/>
      <c r="L105" s="586"/>
      <c r="M105" s="587"/>
      <c r="N105" s="1155"/>
      <c r="O105" s="1155"/>
      <c r="P105" s="2635"/>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6"/>
      <c r="O106" s="1156"/>
      <c r="P106" s="2635"/>
      <c r="Q106" s="505"/>
    </row>
    <row r="107" spans="1:17" ht="15" thickTop="1">
      <c r="A107" s="600"/>
      <c r="B107" s="539" t="s">
        <v>2611</v>
      </c>
      <c r="C107" s="584"/>
      <c r="D107" s="584"/>
      <c r="E107" s="584"/>
      <c r="F107" s="584"/>
      <c r="G107" s="584"/>
      <c r="H107" s="584"/>
      <c r="I107" s="584"/>
      <c r="J107" s="584"/>
      <c r="K107" s="585"/>
      <c r="L107" s="586"/>
      <c r="M107" s="587"/>
      <c r="N107" s="1155"/>
      <c r="O107" s="1155"/>
      <c r="P107" s="2635"/>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6"/>
      <c r="O108" s="1156"/>
      <c r="P108" s="2635"/>
      <c r="Q108" s="505"/>
    </row>
    <row r="109" spans="1:17" ht="15" thickTop="1">
      <c r="A109" s="600"/>
      <c r="B109" s="539" t="s">
        <v>2612</v>
      </c>
      <c r="C109" s="555"/>
      <c r="D109" s="555"/>
      <c r="E109" s="555"/>
      <c r="F109" s="584"/>
      <c r="G109" s="584"/>
      <c r="H109" s="584"/>
      <c r="I109" s="584"/>
      <c r="J109" s="584"/>
      <c r="K109" s="585"/>
      <c r="L109" s="586"/>
      <c r="M109" s="587"/>
      <c r="N109" s="1155"/>
      <c r="O109" s="1155"/>
      <c r="P109" s="2635"/>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6"/>
      <c r="O110" s="1156"/>
      <c r="P110" s="2635"/>
      <c r="Q110" s="505"/>
    </row>
    <row r="111" spans="1:17" s="472" customFormat="1" ht="15" thickTop="1">
      <c r="A111" s="594"/>
      <c r="B111" s="539" t="s">
        <v>1994</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6"/>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6"/>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7"/>
      <c r="O113" s="1157"/>
      <c r="P113" s="2636"/>
      <c r="Q113" s="560"/>
    </row>
    <row r="114" spans="1:17" ht="15" thickTop="1">
      <c r="A114" s="600"/>
      <c r="B114" s="539" t="s">
        <v>2613</v>
      </c>
      <c r="C114" s="555"/>
      <c r="D114" s="555"/>
      <c r="E114" s="584"/>
      <c r="F114" s="584"/>
      <c r="G114" s="584"/>
      <c r="H114" s="584"/>
      <c r="I114" s="584"/>
      <c r="J114" s="584"/>
      <c r="K114" s="585"/>
      <c r="L114" s="586"/>
      <c r="M114" s="587"/>
      <c r="N114" s="1155"/>
      <c r="O114" s="1155"/>
      <c r="P114" s="2635"/>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6"/>
      <c r="O115" s="1156"/>
      <c r="P115" s="2635"/>
      <c r="Q115" s="505"/>
    </row>
    <row r="116" spans="1:17" ht="15" thickTop="1">
      <c r="A116" s="600"/>
      <c r="B116" s="539" t="s">
        <v>2614</v>
      </c>
      <c r="C116" s="555"/>
      <c r="D116" s="555"/>
      <c r="E116" s="555"/>
      <c r="F116" s="555"/>
      <c r="G116" s="555"/>
      <c r="H116" s="584"/>
      <c r="I116" s="584"/>
      <c r="J116" s="584"/>
      <c r="K116" s="585"/>
      <c r="L116" s="586"/>
      <c r="M116" s="587"/>
      <c r="N116" s="1155"/>
      <c r="O116" s="1155"/>
      <c r="P116" s="2635"/>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5"/>
      <c r="Q117" s="505"/>
    </row>
    <row r="118" spans="1:17" ht="15" thickTop="1">
      <c r="A118" s="600"/>
      <c r="B118" s="539" t="s">
        <v>2615</v>
      </c>
      <c r="C118" s="584"/>
      <c r="D118" s="584"/>
      <c r="E118" s="584"/>
      <c r="F118" s="584"/>
      <c r="G118" s="584"/>
      <c r="H118" s="584"/>
      <c r="I118" s="584"/>
      <c r="J118" s="584"/>
      <c r="K118" s="585"/>
      <c r="L118" s="586"/>
      <c r="M118" s="587"/>
      <c r="N118" s="1155"/>
      <c r="O118" s="1155"/>
      <c r="P118" s="2635"/>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6"/>
      <c r="O119" s="1156"/>
      <c r="P119" s="2635"/>
      <c r="Q119" s="505"/>
    </row>
    <row r="120" spans="1:17" s="472" customFormat="1" ht="28.5" thickTop="1">
      <c r="A120" s="594"/>
      <c r="B120" s="539" t="s">
        <v>2570</v>
      </c>
      <c r="C120" s="555"/>
      <c r="D120" s="555"/>
      <c r="E120" s="555"/>
      <c r="F120" s="555"/>
      <c r="G120" s="555"/>
      <c r="H120" s="555"/>
      <c r="I120" s="555"/>
      <c r="J120" s="555"/>
      <c r="K120" s="555"/>
      <c r="L120" s="581"/>
      <c r="M120" s="582"/>
      <c r="N120" s="1157"/>
      <c r="O120" s="1157"/>
      <c r="P120" s="2636"/>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6"/>
      <c r="Q121" s="560"/>
    </row>
    <row r="122" spans="1:17" ht="15" thickTop="1">
      <c r="A122" s="600"/>
      <c r="B122" s="539" t="s">
        <v>2616</v>
      </c>
      <c r="C122" s="555"/>
      <c r="D122" s="555"/>
      <c r="E122" s="555"/>
      <c r="F122" s="584"/>
      <c r="G122" s="584"/>
      <c r="H122" s="584"/>
      <c r="I122" s="584"/>
      <c r="J122" s="584"/>
      <c r="K122" s="585"/>
      <c r="L122" s="586"/>
      <c r="M122" s="587"/>
      <c r="N122" s="1155"/>
      <c r="O122" s="1155"/>
      <c r="P122" s="2635"/>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6"/>
      <c r="O123" s="1156"/>
      <c r="P123" s="2635"/>
      <c r="Q123" s="505"/>
    </row>
    <row r="124" spans="1:17" ht="15" thickTop="1">
      <c r="A124" s="600"/>
      <c r="B124" s="539" t="s">
        <v>2617</v>
      </c>
      <c r="C124" s="579" t="s">
        <v>2593</v>
      </c>
      <c r="D124" s="579" t="s">
        <v>2594</v>
      </c>
      <c r="E124" s="579" t="s">
        <v>2595</v>
      </c>
      <c r="F124" s="579" t="s">
        <v>2596</v>
      </c>
      <c r="G124" s="579" t="s">
        <v>2597</v>
      </c>
      <c r="H124" s="540"/>
      <c r="I124" s="540"/>
      <c r="J124" s="540"/>
      <c r="K124" s="541"/>
      <c r="L124" s="542"/>
      <c r="M124" s="543"/>
      <c r="N124" s="1155"/>
      <c r="O124" s="1155"/>
      <c r="P124" s="2636"/>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5"/>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6"/>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6"/>
      <c r="Q127" s="560"/>
    </row>
    <row r="128" spans="1:17" ht="15" thickTop="1">
      <c r="A128" s="600"/>
      <c r="B128" s="539">
        <f>B45</f>
        <v>111</v>
      </c>
      <c r="C128" s="555"/>
      <c r="D128" s="555"/>
      <c r="E128" s="555"/>
      <c r="F128" s="555"/>
      <c r="G128" s="584"/>
      <c r="H128" s="584"/>
      <c r="I128" s="584"/>
      <c r="J128" s="584"/>
      <c r="K128" s="585"/>
      <c r="L128" s="586"/>
      <c r="M128" s="587"/>
      <c r="N128" s="1155"/>
      <c r="O128" s="1155"/>
      <c r="P128" s="2635"/>
      <c r="Q128" s="505"/>
    </row>
    <row r="129" spans="1:17" ht="15.75" thickBot="1">
      <c r="A129" s="535"/>
      <c r="B129" s="544"/>
      <c r="C129" s="561"/>
      <c r="D129" s="561"/>
      <c r="E129" s="561"/>
      <c r="F129" s="561"/>
      <c r="G129" s="537"/>
      <c r="H129" s="537"/>
      <c r="I129" s="537"/>
      <c r="J129" s="537"/>
      <c r="K129" s="537"/>
      <c r="L129" s="537"/>
      <c r="M129" s="538"/>
      <c r="N129" s="1156"/>
      <c r="O129" s="1156"/>
      <c r="P129" s="2635"/>
      <c r="Q129" s="505"/>
    </row>
    <row r="130" spans="1:17" ht="15" thickTop="1">
      <c r="A130" s="600"/>
      <c r="B130" s="547">
        <f>B46</f>
        <v>111</v>
      </c>
      <c r="C130" s="555"/>
      <c r="D130" s="555"/>
      <c r="E130" s="555"/>
      <c r="F130" s="555"/>
      <c r="G130" s="588"/>
      <c r="H130" s="588"/>
      <c r="I130" s="588"/>
      <c r="J130" s="588"/>
      <c r="K130" s="524"/>
      <c r="L130" s="525"/>
      <c r="M130" s="591"/>
      <c r="N130" s="1155"/>
      <c r="O130" s="1155"/>
      <c r="P130" s="2635"/>
      <c r="Q130" s="505"/>
    </row>
    <row r="131" spans="1:17" ht="15.75" thickBot="1">
      <c r="A131" s="2641"/>
      <c r="B131" s="570"/>
      <c r="C131" s="571"/>
      <c r="D131" s="571"/>
      <c r="E131" s="571"/>
      <c r="F131" s="571"/>
      <c r="G131" s="592"/>
      <c r="H131" s="592"/>
      <c r="I131" s="592"/>
      <c r="J131" s="592"/>
      <c r="K131" s="592"/>
      <c r="L131" s="592"/>
      <c r="M131" s="593"/>
      <c r="N131" s="1156"/>
      <c r="O131" s="1156"/>
      <c r="P131" s="2635"/>
      <c r="Q131" s="505"/>
    </row>
    <row r="136" spans="1:17" ht="15" thickBot="1">
      <c r="B136" s="2642" t="s">
        <v>2618</v>
      </c>
    </row>
    <row r="137" spans="1:17" ht="15">
      <c r="B137" s="2643" t="s">
        <v>2619</v>
      </c>
      <c r="C137" s="2644"/>
      <c r="D137" s="2644"/>
      <c r="E137" s="2644"/>
      <c r="F137" s="2644"/>
      <c r="G137" s="2645"/>
      <c r="H137" s="2646"/>
      <c r="I137" s="2647" t="s">
        <v>2620</v>
      </c>
      <c r="J137" s="2644"/>
      <c r="K137" s="2648"/>
    </row>
    <row r="138" spans="1:17" ht="15">
      <c r="B138" s="2649"/>
      <c r="C138" s="146" t="s">
        <v>2621</v>
      </c>
      <c r="D138" s="146" t="s">
        <v>2622</v>
      </c>
      <c r="E138" s="2650" t="s">
        <v>2623</v>
      </c>
      <c r="F138" s="2651" t="s">
        <v>2624</v>
      </c>
      <c r="G138" s="146" t="s">
        <v>2622</v>
      </c>
      <c r="H138" s="147" t="s">
        <v>2623</v>
      </c>
      <c r="I138" s="2652"/>
      <c r="J138" s="146" t="s">
        <v>2625</v>
      </c>
      <c r="K138" s="147" t="s">
        <v>2626</v>
      </c>
    </row>
    <row r="139" spans="1:17" ht="15">
      <c r="B139" s="1087">
        <v>6</v>
      </c>
      <c r="C139" s="1088">
        <v>96</v>
      </c>
      <c r="D139" s="2653" t="s">
        <v>2627</v>
      </c>
      <c r="E139" s="1089">
        <v>100</v>
      </c>
      <c r="F139" s="1090">
        <v>102.5</v>
      </c>
      <c r="G139" s="2653" t="s">
        <v>2627</v>
      </c>
      <c r="H139" s="1091">
        <v>105</v>
      </c>
      <c r="I139" s="2654" t="s">
        <v>2628</v>
      </c>
      <c r="J139" s="1088">
        <v>20</v>
      </c>
      <c r="K139" s="1092">
        <f>C145/(J139-2)</f>
        <v>4.0555555555555553E-3</v>
      </c>
    </row>
    <row r="140" spans="1:17" ht="15">
      <c r="B140" s="1093">
        <v>5</v>
      </c>
      <c r="C140" s="1094">
        <v>100</v>
      </c>
      <c r="D140" s="1094"/>
      <c r="E140" s="1095"/>
      <c r="F140" s="1096">
        <v>102</v>
      </c>
      <c r="G140" s="1094"/>
      <c r="H140" s="1097"/>
      <c r="I140" s="2655" t="s">
        <v>2629</v>
      </c>
      <c r="J140" s="316">
        <f>ROUNDUP((J139-1)/2,0)</f>
        <v>10</v>
      </c>
      <c r="K140" s="1098">
        <v>100</v>
      </c>
    </row>
    <row r="141" spans="1:17" ht="15">
      <c r="B141" s="1093">
        <v>4</v>
      </c>
      <c r="C141" s="1094">
        <v>102</v>
      </c>
      <c r="D141" s="1094"/>
      <c r="E141" s="1095"/>
      <c r="F141" s="1096">
        <v>101.5</v>
      </c>
      <c r="G141" s="1094"/>
      <c r="H141" s="1097"/>
      <c r="I141" s="2655" t="s">
        <v>2630</v>
      </c>
      <c r="J141" s="316">
        <v>1</v>
      </c>
      <c r="K141" s="1099">
        <f>ROUND(100+(J141-J140)*K139*100,1)</f>
        <v>96.4</v>
      </c>
    </row>
    <row r="142" spans="1:17" ht="15">
      <c r="B142" s="1093">
        <v>3</v>
      </c>
      <c r="C142" s="1094">
        <v>103</v>
      </c>
      <c r="D142" s="1094"/>
      <c r="E142" s="1095"/>
      <c r="F142" s="1096">
        <v>101</v>
      </c>
      <c r="G142" s="1094"/>
      <c r="H142" s="1097"/>
      <c r="I142" s="2655" t="s">
        <v>2631</v>
      </c>
      <c r="J142" s="316">
        <f>J139</f>
        <v>20</v>
      </c>
      <c r="K142" s="1100">
        <v>95</v>
      </c>
    </row>
    <row r="143" spans="1:17" ht="15">
      <c r="B143" s="1093">
        <v>2</v>
      </c>
      <c r="C143" s="1094">
        <v>100</v>
      </c>
      <c r="D143" s="1094"/>
      <c r="E143" s="1095"/>
      <c r="F143" s="1096">
        <v>100.5</v>
      </c>
      <c r="G143" s="1094"/>
      <c r="H143" s="1097"/>
      <c r="I143" s="2655" t="s">
        <v>2632</v>
      </c>
      <c r="J143" s="1094">
        <v>15</v>
      </c>
      <c r="K143" s="1099">
        <f>ROUND(100+(J143-J140)*K139*100,1)</f>
        <v>102</v>
      </c>
    </row>
    <row r="144" spans="1:17" ht="15">
      <c r="B144" s="1093">
        <v>1</v>
      </c>
      <c r="C144" s="1094">
        <v>98</v>
      </c>
      <c r="D144" s="2656" t="s">
        <v>2633</v>
      </c>
      <c r="E144" s="1095">
        <v>102</v>
      </c>
      <c r="F144" s="1101">
        <v>100</v>
      </c>
      <c r="G144" s="2656" t="s">
        <v>2633</v>
      </c>
      <c r="H144" s="1097">
        <v>105</v>
      </c>
      <c r="I144" s="2655" t="s">
        <v>2632</v>
      </c>
      <c r="J144" s="1094">
        <v>18</v>
      </c>
      <c r="K144" s="1099">
        <f>ROUND(100+(J144-J140)*K139*100,1)</f>
        <v>103.2</v>
      </c>
    </row>
    <row r="145" spans="2:11" ht="15.75" thickBot="1">
      <c r="B145" s="2657" t="s">
        <v>2634</v>
      </c>
      <c r="C145" s="1102">
        <f>ROUND(MAX(C139:C144)/MIN(C139:C144)-1,3)</f>
        <v>7.2999999999999995E-2</v>
      </c>
      <c r="D145" s="1103"/>
      <c r="E145" s="1103"/>
      <c r="F145" s="2658" t="s">
        <v>2635</v>
      </c>
      <c r="G145" s="2659"/>
      <c r="H145" s="2660"/>
      <c r="I145" s="2661" t="s">
        <v>2632</v>
      </c>
      <c r="J145" s="1104">
        <v>8</v>
      </c>
      <c r="K145" s="1105">
        <f>ROUND(100+(J145-J140)*K139*100,1)</f>
        <v>99.2</v>
      </c>
    </row>
    <row r="147" spans="2:11">
      <c r="B147" s="2642" t="s">
        <v>2636</v>
      </c>
    </row>
    <row r="148" spans="2:11">
      <c r="B148" s="2642"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9"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2524</v>
      </c>
      <c r="B1" s="2587" t="s">
        <v>2638</v>
      </c>
      <c r="C1" s="1638" t="s">
        <v>2526</v>
      </c>
      <c r="D1" s="1625"/>
      <c r="E1" s="2662"/>
      <c r="F1" s="2589"/>
      <c r="G1" s="1635" t="s">
        <v>2639</v>
      </c>
      <c r="H1" s="1634"/>
      <c r="I1" s="1634"/>
      <c r="J1" s="1634"/>
      <c r="K1" s="1636"/>
      <c r="L1" s="1637"/>
      <c r="M1" s="1638"/>
      <c r="N1" s="1638"/>
      <c r="O1" s="1638"/>
      <c r="P1" s="2663"/>
      <c r="Q1" s="2664"/>
      <c r="R1" s="2664"/>
      <c r="S1" s="2664"/>
      <c r="T1" s="2664"/>
      <c r="U1" s="2664"/>
      <c r="V1" s="2664"/>
      <c r="W1" s="2664"/>
      <c r="X1" s="2664"/>
      <c r="Y1" s="2664"/>
      <c r="Z1" s="2664"/>
      <c r="AA1" s="2664"/>
      <c r="AB1" s="2664"/>
      <c r="AC1" s="2665"/>
    </row>
    <row r="2" spans="1:29" s="399" customFormat="1" ht="28.5" customHeight="1" thickTop="1">
      <c r="A2" s="1621" t="s">
        <v>2323</v>
      </c>
      <c r="B2" s="1421" t="e">
        <f ca="1">IF(C2="——",ROUND(C49*D3/10000,0),ROUND(C49*D3/10000,0)-D2)</f>
        <v>#DIV/0!</v>
      </c>
      <c r="C2" s="2591"/>
      <c r="D2" s="1368" t="e">
        <f ca="1">SUMIF(INDIRECT("'"&amp;F2&amp;"'"&amp;"!A:A"),"承租人权益价值",INDIRECT("'"&amp;F2&amp;"'"&amp;"!c:c"))</f>
        <v>#REF!</v>
      </c>
      <c r="E2" s="2592" t="s">
        <v>2324</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9" customFormat="1" ht="28.5" customHeight="1" thickBot="1">
      <c r="A3" s="248" t="s">
        <v>2325</v>
      </c>
      <c r="B3" s="610" t="e">
        <f ca="1">IF(C2="——",C49,ROUND(B2*10000/D3,0))</f>
        <v>#DIV/0!</v>
      </c>
      <c r="C3" s="401" t="s">
        <v>2640</v>
      </c>
      <c r="D3" s="400">
        <f>IF(D1="",'数据-汇总表'!E3,SUMIF('数据-汇总表'!$C19:$C33,D1,'数据-汇总表'!$E19:$E33))</f>
        <v>2300.98</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2" t="s">
        <v>2641</v>
      </c>
      <c r="B4" s="403"/>
      <c r="C4" s="3157" t="s">
        <v>2642</v>
      </c>
      <c r="D4" s="3158"/>
      <c r="E4" s="3159" t="s">
        <v>2643</v>
      </c>
      <c r="F4" s="3160"/>
      <c r="G4" s="3157" t="s">
        <v>2644</v>
      </c>
      <c r="H4" s="3158"/>
      <c r="I4" s="3157" t="s">
        <v>2645</v>
      </c>
      <c r="J4" s="3158"/>
      <c r="K4" s="611" t="s">
        <v>2646</v>
      </c>
      <c r="L4" s="1133"/>
      <c r="M4" s="1134"/>
      <c r="N4" s="1134"/>
      <c r="O4" s="1134"/>
      <c r="P4" s="3227" t="s">
        <v>2647</v>
      </c>
      <c r="Q4" s="3228"/>
      <c r="R4" s="3219" t="s">
        <v>2643</v>
      </c>
      <c r="S4" s="3220"/>
      <c r="T4" s="3219" t="s">
        <v>2644</v>
      </c>
      <c r="U4" s="3220"/>
      <c r="V4" s="3170" t="s">
        <v>2645</v>
      </c>
      <c r="W4" s="3170"/>
      <c r="X4" s="1817"/>
      <c r="Y4" s="3219" t="s">
        <v>2647</v>
      </c>
      <c r="Z4" s="3220"/>
      <c r="AA4" s="3218" t="s">
        <v>2643</v>
      </c>
      <c r="AB4" s="3170" t="s">
        <v>2644</v>
      </c>
      <c r="AC4" s="3218" t="s">
        <v>2645</v>
      </c>
    </row>
    <row r="5" spans="1:29" ht="15">
      <c r="A5" s="405"/>
      <c r="B5" s="406"/>
      <c r="C5" s="3222" t="s">
        <v>2538</v>
      </c>
      <c r="D5" s="3223"/>
      <c r="E5" s="3221" t="s">
        <v>2539</v>
      </c>
      <c r="F5" s="3150"/>
      <c r="G5" s="3222" t="s">
        <v>2540</v>
      </c>
      <c r="H5" s="3223"/>
      <c r="I5" s="3222" t="s">
        <v>2541</v>
      </c>
      <c r="J5" s="3223"/>
      <c r="K5" s="611"/>
      <c r="L5" s="1133"/>
      <c r="M5" s="1134"/>
      <c r="N5" s="1134"/>
      <c r="O5" s="1134"/>
      <c r="P5" s="3229"/>
      <c r="Q5" s="3164"/>
      <c r="R5" s="3147"/>
      <c r="S5" s="3148"/>
      <c r="T5" s="3147"/>
      <c r="U5" s="3148"/>
      <c r="V5" s="3170"/>
      <c r="W5" s="3170"/>
      <c r="X5" s="1817"/>
      <c r="Y5" s="3147"/>
      <c r="Z5" s="3148"/>
      <c r="AA5" s="3141"/>
      <c r="AB5" s="3170"/>
      <c r="AC5" s="3141"/>
    </row>
    <row r="6" spans="1:29" ht="15.75" thickBot="1">
      <c r="A6" s="407"/>
      <c r="B6" s="408"/>
      <c r="C6" s="3224" t="s">
        <v>2542</v>
      </c>
      <c r="D6" s="3225"/>
      <c r="E6" s="3226" t="s">
        <v>2542</v>
      </c>
      <c r="F6" s="3152"/>
      <c r="G6" s="3224" t="s">
        <v>2542</v>
      </c>
      <c r="H6" s="3225"/>
      <c r="I6" s="3224" t="s">
        <v>2542</v>
      </c>
      <c r="J6" s="3225"/>
      <c r="K6" s="611" t="s">
        <v>2543</v>
      </c>
      <c r="L6" s="1133"/>
      <c r="M6" s="1134"/>
      <c r="N6" s="1134"/>
      <c r="O6" s="1134"/>
      <c r="P6" s="3230"/>
      <c r="Q6" s="3166"/>
      <c r="R6" s="3147"/>
      <c r="S6" s="3148"/>
      <c r="T6" s="3167"/>
      <c r="U6" s="3168"/>
      <c r="V6" s="3170"/>
      <c r="W6" s="3170"/>
      <c r="X6" s="1817"/>
      <c r="Y6" s="3167"/>
      <c r="Z6" s="3168"/>
      <c r="AA6" s="3142"/>
      <c r="AB6" s="3170"/>
      <c r="AC6" s="3142"/>
    </row>
    <row r="7" spans="1:29" s="117" customFormat="1" ht="15.75" thickBot="1">
      <c r="A7" s="409" t="s">
        <v>2544</v>
      </c>
      <c r="B7" s="410"/>
      <c r="C7" s="411">
        <f>'数据-取费表'!B2</f>
        <v>43040</v>
      </c>
      <c r="D7" s="412">
        <v>100</v>
      </c>
      <c r="E7" s="413"/>
      <c r="F7" s="414">
        <f>SUMIF(58:58,YEAR(E7)&amp;"-"&amp;MONTH(E7),59:59)</f>
        <v>0</v>
      </c>
      <c r="G7" s="413"/>
      <c r="H7" s="412">
        <f>SUMIF(58:58,YEAR(G7)&amp;"-"&amp;MONTH(G7),59:59)</f>
        <v>0</v>
      </c>
      <c r="I7" s="413"/>
      <c r="J7" s="412">
        <f>SUMIF(58:58,YEAR(I7)&amp;"-"&amp;MONTH(I7),59:59)</f>
        <v>0</v>
      </c>
      <c r="K7" s="612"/>
      <c r="L7" s="1135"/>
      <c r="M7" s="1136"/>
      <c r="N7" s="1136"/>
      <c r="O7" s="1136"/>
      <c r="P7" s="3143" t="s">
        <v>2545</v>
      </c>
      <c r="Q7" s="3172"/>
      <c r="R7" s="770" t="s">
        <v>17</v>
      </c>
      <c r="S7" s="771">
        <f t="shared" ref="S7:S15" si="0">F7</f>
        <v>0</v>
      </c>
      <c r="T7" s="770" t="s">
        <v>17</v>
      </c>
      <c r="U7" s="771">
        <f t="shared" ref="U7:U15" si="1">H7</f>
        <v>0</v>
      </c>
      <c r="V7" s="770" t="s">
        <v>17</v>
      </c>
      <c r="W7" s="771">
        <f t="shared" ref="W7:W15" si="2">J7</f>
        <v>0</v>
      </c>
      <c r="X7" s="772"/>
      <c r="Y7" s="3143" t="s">
        <v>2545</v>
      </c>
      <c r="Z7" s="3144"/>
      <c r="AA7" s="773" t="e">
        <f>D7/F7</f>
        <v>#DIV/0!</v>
      </c>
      <c r="AB7" s="773" t="e">
        <f>D7/H7</f>
        <v>#DIV/0!</v>
      </c>
      <c r="AC7" s="773" t="e">
        <f>D7/J7</f>
        <v>#DIV/0!</v>
      </c>
    </row>
    <row r="8" spans="1:29" s="117" customFormat="1" ht="15.75" thickBot="1">
      <c r="A8" s="409" t="s">
        <v>2546</v>
      </c>
      <c r="B8" s="410"/>
      <c r="C8" s="415" t="s">
        <v>2648</v>
      </c>
      <c r="D8" s="412">
        <v>100</v>
      </c>
      <c r="E8" s="415"/>
      <c r="F8" s="414">
        <f>SUMIF(61:61,E8,62:62)-SUMIF(61:61,C8,62:62)+100</f>
        <v>0</v>
      </c>
      <c r="G8" s="415"/>
      <c r="H8" s="412">
        <f>SUMIF(61:61,G8,62:62)-SUMIF(61:61,C8,62:62)+100</f>
        <v>0</v>
      </c>
      <c r="I8" s="415"/>
      <c r="J8" s="412">
        <f>SUMIF(61:61,I8,62:62)-SUMIF(61:61,C8,62:62)+100</f>
        <v>0</v>
      </c>
      <c r="K8" s="612"/>
      <c r="L8" s="1135"/>
      <c r="M8" s="1136"/>
      <c r="N8" s="1136"/>
      <c r="O8" s="1136"/>
      <c r="P8" s="3143" t="s">
        <v>2548</v>
      </c>
      <c r="Q8" s="3144"/>
      <c r="R8" s="770" t="s">
        <v>17</v>
      </c>
      <c r="S8" s="771">
        <f t="shared" si="0"/>
        <v>0</v>
      </c>
      <c r="T8" s="770" t="s">
        <v>17</v>
      </c>
      <c r="U8" s="771">
        <f t="shared" si="1"/>
        <v>0</v>
      </c>
      <c r="V8" s="770" t="s">
        <v>17</v>
      </c>
      <c r="W8" s="771">
        <f t="shared" si="2"/>
        <v>0</v>
      </c>
      <c r="X8" s="772"/>
      <c r="Y8" s="3143" t="s">
        <v>2548</v>
      </c>
      <c r="Z8" s="3144"/>
      <c r="AA8" s="773" t="e">
        <f t="shared" ref="AA8:AA46" si="3">D8/F8</f>
        <v>#DIV/0!</v>
      </c>
      <c r="AB8" s="773" t="e">
        <f t="shared" ref="AB8:AB46" si="4">D8/H8</f>
        <v>#DIV/0!</v>
      </c>
      <c r="AC8" s="773" t="e">
        <f t="shared" ref="AC8:AC46" si="5">D8/J8</f>
        <v>#DIV/0!</v>
      </c>
    </row>
    <row r="9" spans="1:29" s="117" customFormat="1">
      <c r="A9" s="416" t="s">
        <v>2549</v>
      </c>
      <c r="B9" s="71" t="s">
        <v>2550</v>
      </c>
      <c r="C9" s="417"/>
      <c r="D9" s="135">
        <v>100</v>
      </c>
      <c r="E9" s="418"/>
      <c r="F9" s="419">
        <f>SUMIF(63:63,E9,64:64)-SUMIF(63:63,C9,64:64)+100</f>
        <v>100</v>
      </c>
      <c r="G9" s="418"/>
      <c r="H9" s="135">
        <f>SUMIF(63:63,G9,64:64)-SUMIF(63:63,C9,64:64)+100</f>
        <v>100</v>
      </c>
      <c r="I9" s="418"/>
      <c r="J9" s="135">
        <f>SUMIF(63:63,I9,64:64)-SUMIF(63:63,C9,64:64)+100</f>
        <v>100</v>
      </c>
      <c r="K9" s="612"/>
      <c r="L9" s="1135"/>
      <c r="M9" s="1136"/>
      <c r="N9" s="1136"/>
      <c r="O9" s="1136"/>
      <c r="P9" s="3153" t="s">
        <v>2551</v>
      </c>
      <c r="Q9" s="1799" t="str">
        <f t="shared" ref="Q9:Q15" si="6">B9</f>
        <v>用途</v>
      </c>
      <c r="R9" s="770" t="s">
        <v>17</v>
      </c>
      <c r="S9" s="771">
        <f t="shared" si="0"/>
        <v>100</v>
      </c>
      <c r="T9" s="770" t="s">
        <v>17</v>
      </c>
      <c r="U9" s="771">
        <f t="shared" si="1"/>
        <v>100</v>
      </c>
      <c r="V9" s="770" t="s">
        <v>17</v>
      </c>
      <c r="W9" s="771">
        <f t="shared" si="2"/>
        <v>100</v>
      </c>
      <c r="X9" s="772"/>
      <c r="Y9" s="3017" t="s">
        <v>2552</v>
      </c>
      <c r="Z9" s="55" t="str">
        <f t="shared" ref="Z9:Z15" si="7">Q9</f>
        <v>用途</v>
      </c>
      <c r="AA9" s="773">
        <f t="shared" si="3"/>
        <v>1</v>
      </c>
      <c r="AB9" s="773">
        <f t="shared" si="4"/>
        <v>1</v>
      </c>
      <c r="AC9" s="773">
        <f t="shared" si="5"/>
        <v>1</v>
      </c>
    </row>
    <row r="10" spans="1:29" s="428" customFormat="1" ht="27">
      <c r="A10" s="422"/>
      <c r="B10" s="423" t="s">
        <v>2553</v>
      </c>
      <c r="C10" s="424"/>
      <c r="D10" s="136">
        <v>100</v>
      </c>
      <c r="E10" s="425"/>
      <c r="F10" s="426">
        <f>SUMIF(65:65,E10,66:66)-SUMIF(65:65,C10,66:66)+100</f>
        <v>100</v>
      </c>
      <c r="G10" s="424"/>
      <c r="H10" s="136">
        <f>SUMIF(65:65,G10,66:66)-SUMIF(65:65,C10,66:66)+100</f>
        <v>100</v>
      </c>
      <c r="I10" s="424"/>
      <c r="J10" s="136">
        <f>SUMIF(65:65,I10,66:66)-SUMIF(65:65,C10,66:66)+100</f>
        <v>100</v>
      </c>
      <c r="K10" s="613"/>
      <c r="L10" s="1138"/>
      <c r="M10" s="1139"/>
      <c r="N10" s="1139"/>
      <c r="O10" s="1139"/>
      <c r="P10" s="3153"/>
      <c r="Q10" s="1799"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9"/>
      <c r="B11" s="423" t="s">
        <v>2554</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1"/>
      <c r="M11" s="1134"/>
      <c r="N11" s="1134"/>
      <c r="O11" s="1134"/>
      <c r="P11" s="3153"/>
      <c r="Q11" s="1799"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2"/>
      <c r="B12" s="2605">
        <v>111</v>
      </c>
      <c r="C12" s="433"/>
      <c r="D12" s="434">
        <v>100</v>
      </c>
      <c r="E12" s="435"/>
      <c r="F12" s="426">
        <f>SUMIF(70:70,E12,71:71)-SUMIF(70:70,C12,71:71)+100</f>
        <v>100</v>
      </c>
      <c r="G12" s="435"/>
      <c r="H12" s="136">
        <f>SUMIF(70:70,G12,71:71)-SUMIF(70:70,C12,71:71)+100</f>
        <v>100</v>
      </c>
      <c r="I12" s="435"/>
      <c r="J12" s="136">
        <f>SUMIF(70:70,I12,71:71)-SUMIF(70:70,C12,71:71)+100</f>
        <v>100</v>
      </c>
      <c r="K12" s="614"/>
      <c r="L12" s="1135"/>
      <c r="M12" s="1136"/>
      <c r="N12" s="1136"/>
      <c r="O12" s="1136"/>
      <c r="P12" s="3153"/>
      <c r="Q12" s="1799">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9"/>
      <c r="B13" s="2605">
        <v>111</v>
      </c>
      <c r="C13" s="435"/>
      <c r="D13" s="436">
        <v>100</v>
      </c>
      <c r="E13" s="435"/>
      <c r="F13" s="426">
        <f>SUMIF(72:72,E13,73:73)-SUMIF(72:72,C13,73:73)+100</f>
        <v>100</v>
      </c>
      <c r="G13" s="435"/>
      <c r="H13" s="436">
        <f>SUMIF(72:72,G13,73:73)-SUMIF(72:72,C13,73:73)+100</f>
        <v>100</v>
      </c>
      <c r="I13" s="435"/>
      <c r="J13" s="436">
        <f>SUMIF(72:72,I13,73:73)-SUMIF(72:72,C13,73:73)+100</f>
        <v>100</v>
      </c>
      <c r="K13" s="614"/>
      <c r="L13" s="1143"/>
      <c r="M13" s="1134"/>
      <c r="N13" s="1134"/>
      <c r="O13" s="1134"/>
      <c r="P13" s="3153"/>
      <c r="Q13" s="1799">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7"/>
      <c r="B14" s="2607">
        <v>111</v>
      </c>
      <c r="C14" s="438"/>
      <c r="D14" s="439">
        <v>100</v>
      </c>
      <c r="E14" s="435"/>
      <c r="F14" s="440">
        <f>SUMIF(74:74,E14,75:75)-SUMIF(74:74,C14,75:75)+100</f>
        <v>100</v>
      </c>
      <c r="G14" s="435"/>
      <c r="H14" s="439">
        <f>SUMIF(74:74,G14,75:75)-SUMIF(74:74,C14,75:75)+100</f>
        <v>100</v>
      </c>
      <c r="I14" s="435"/>
      <c r="J14" s="439">
        <f>SUMIF(74:74,I14,75:75)-SUMIF(74:74,C14,75:75)+100</f>
        <v>100</v>
      </c>
      <c r="K14" s="614"/>
      <c r="L14" s="1143"/>
      <c r="M14" s="1134"/>
      <c r="N14" s="1134"/>
      <c r="O14" s="1134"/>
      <c r="P14" s="3153"/>
      <c r="Q14" s="1799">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15">
      <c r="A15" s="441" t="s">
        <v>2555</v>
      </c>
      <c r="B15" s="69" t="s">
        <v>2649</v>
      </c>
      <c r="C15" s="2608">
        <f>估价对象房地状况!C4</f>
        <v>0</v>
      </c>
      <c r="D15" s="442">
        <v>100</v>
      </c>
      <c r="E15" s="443"/>
      <c r="F15" s="444">
        <f>SUMIF(76:76,E16,77:77)-SUMIF(76:76,C16,77:77)+100</f>
        <v>100</v>
      </c>
      <c r="G15" s="445"/>
      <c r="H15" s="442">
        <f>SUMIF(76:76,G16,77:77)-SUMIF(76:76,C16,77:77)+100</f>
        <v>100</v>
      </c>
      <c r="I15" s="443"/>
      <c r="J15" s="442">
        <f>SUMIF(76:76,I16,77:77)-SUMIF(76:76,C16,77:77)+100</f>
        <v>100</v>
      </c>
      <c r="K15" s="615"/>
      <c r="L15" s="1143"/>
      <c r="M15" s="1134"/>
      <c r="N15" s="1134"/>
      <c r="O15" s="1134"/>
      <c r="P15" s="3173" t="s">
        <v>2556</v>
      </c>
      <c r="Q15" s="1814" t="str">
        <f t="shared" si="6"/>
        <v>商业繁华度</v>
      </c>
      <c r="R15" s="774" t="s">
        <v>17</v>
      </c>
      <c r="S15" s="775">
        <f t="shared" si="0"/>
        <v>100</v>
      </c>
      <c r="T15" s="774" t="s">
        <v>17</v>
      </c>
      <c r="U15" s="775">
        <f t="shared" si="1"/>
        <v>100</v>
      </c>
      <c r="V15" s="774" t="s">
        <v>17</v>
      </c>
      <c r="W15" s="775">
        <f t="shared" si="2"/>
        <v>100</v>
      </c>
      <c r="X15" s="1817"/>
      <c r="Y15" s="3175" t="s">
        <v>2556</v>
      </c>
      <c r="Z15" s="1818" t="str">
        <f t="shared" si="7"/>
        <v>商业繁华度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34"/>
      <c r="P16" s="3174"/>
      <c r="Q16" s="1814"/>
      <c r="R16" s="774"/>
      <c r="S16" s="775"/>
      <c r="T16" s="774"/>
      <c r="U16" s="775"/>
      <c r="V16" s="774"/>
      <c r="W16" s="775"/>
      <c r="X16" s="1817"/>
      <c r="Y16" s="3176"/>
      <c r="Z16" s="1818"/>
      <c r="AA16" s="1815">
        <v>1</v>
      </c>
      <c r="AB16" s="1815">
        <v>1</v>
      </c>
      <c r="AC16" s="1815">
        <v>1</v>
      </c>
    </row>
    <row r="17" spans="1:29" ht="156.75">
      <c r="A17" s="429"/>
      <c r="B17" s="452" t="s">
        <v>2093</v>
      </c>
      <c r="C17" s="2612" t="str">
        <f>估价对象房地状况!C6</f>
        <v>估价对象紧邻白家疃路，周边路网密集程度一般，行车出入便捷度一般。周边2公里范围内有522路、651路等公交，公共交通便捷度一般。综合评价交通便捷度一般。</v>
      </c>
      <c r="D17" s="451">
        <v>100</v>
      </c>
      <c r="E17" s="453"/>
      <c r="F17" s="454">
        <f>SUMIF(78:78,E18,79:79)-SUMIF(78:78,C18,79:79)+100</f>
        <v>100</v>
      </c>
      <c r="G17" s="455"/>
      <c r="H17" s="456">
        <f>SUMIF(78:78,G18,79:79)-SUMIF(78:78,C18,79:79)+100</f>
        <v>100</v>
      </c>
      <c r="I17" s="453"/>
      <c r="J17" s="456">
        <f>SUMIF(78:78,I18,79:79)-SUMIF(78:78,C18,79:79)+100</f>
        <v>100</v>
      </c>
      <c r="K17" s="615"/>
      <c r="L17" s="1143"/>
      <c r="M17" s="1134"/>
      <c r="N17" s="1134"/>
      <c r="O17" s="1134"/>
      <c r="P17" s="3174"/>
      <c r="Q17" s="1814" t="str">
        <f>B17</f>
        <v>交通便捷度</v>
      </c>
      <c r="R17" s="774" t="s">
        <v>17</v>
      </c>
      <c r="S17" s="775">
        <f>F17</f>
        <v>100</v>
      </c>
      <c r="T17" s="774" t="s">
        <v>17</v>
      </c>
      <c r="U17" s="775">
        <f>H17</f>
        <v>100</v>
      </c>
      <c r="V17" s="774" t="s">
        <v>17</v>
      </c>
      <c r="W17" s="775">
        <f>J17</f>
        <v>100</v>
      </c>
      <c r="X17" s="1817"/>
      <c r="Y17" s="3176"/>
      <c r="Z17" s="1818" t="str">
        <f>Q17</f>
        <v>交通便捷度</v>
      </c>
      <c r="AA17" s="1815">
        <f t="shared" si="3"/>
        <v>1</v>
      </c>
      <c r="AB17" s="1815">
        <f t="shared" si="4"/>
        <v>1</v>
      </c>
      <c r="AC17" s="1815">
        <f t="shared" si="5"/>
        <v>1</v>
      </c>
    </row>
    <row r="18" spans="1:29" ht="15">
      <c r="A18" s="429"/>
      <c r="B18" s="457"/>
      <c r="C18" s="2613"/>
      <c r="D18" s="451"/>
      <c r="E18" s="2615"/>
      <c r="F18" s="454"/>
      <c r="G18" s="2614"/>
      <c r="H18" s="449"/>
      <c r="I18" s="2615"/>
      <c r="J18" s="449"/>
      <c r="K18" s="616"/>
      <c r="L18" s="1143"/>
      <c r="M18" s="1134"/>
      <c r="N18" s="1134"/>
      <c r="O18" s="1134"/>
      <c r="P18" s="3174"/>
      <c r="Q18" s="1814"/>
      <c r="R18" s="774"/>
      <c r="S18" s="775"/>
      <c r="T18" s="774"/>
      <c r="U18" s="775"/>
      <c r="V18" s="774"/>
      <c r="W18" s="775"/>
      <c r="X18" s="1817"/>
      <c r="Y18" s="3176"/>
      <c r="Z18" s="1818"/>
      <c r="AA18" s="1815">
        <v>1</v>
      </c>
      <c r="AB18" s="1815">
        <v>1</v>
      </c>
      <c r="AC18" s="1815">
        <v>1</v>
      </c>
    </row>
    <row r="19" spans="1:29" ht="171">
      <c r="A19" s="429"/>
      <c r="B19" s="452" t="s">
        <v>2650</v>
      </c>
      <c r="C19" s="2612" t="str">
        <f>估价对象房地状况!C7</f>
        <v>周边2公里内的公共服务配套设施较为齐备，有购物场所（华联超市）、医院（北京中医药大学附属医院）、银行（民生银行）、学校（翠微小学）、餐饮（嘉和一品）等公共服务配套设施。</v>
      </c>
      <c r="D19" s="456">
        <v>100</v>
      </c>
      <c r="E19" s="458"/>
      <c r="F19" s="459">
        <f>SUMIF(80:80,E20,81:81)-SUMIF(80:80,C20,81:81)+100</f>
        <v>100</v>
      </c>
      <c r="G19" s="460"/>
      <c r="H19" s="451">
        <f>SUMIF(80:80,G20,81:81)-SUMIF(80:80,C20,81:81)+100</f>
        <v>100</v>
      </c>
      <c r="I19" s="458"/>
      <c r="J19" s="451">
        <f>SUMIF(80:80,I20,81:81)-SUMIF(80:80,C20,81:81)+100</f>
        <v>100</v>
      </c>
      <c r="K19" s="615"/>
      <c r="L19" s="1143"/>
      <c r="M19" s="1134"/>
      <c r="N19" s="1134"/>
      <c r="O19" s="1134"/>
      <c r="P19" s="3174"/>
      <c r="Q19" s="1814" t="str">
        <f>B19</f>
        <v>公共配套设施</v>
      </c>
      <c r="R19" s="774" t="s">
        <v>17</v>
      </c>
      <c r="S19" s="775">
        <f>F19</f>
        <v>100</v>
      </c>
      <c r="T19" s="774" t="s">
        <v>17</v>
      </c>
      <c r="U19" s="775">
        <f>H19</f>
        <v>100</v>
      </c>
      <c r="V19" s="774" t="s">
        <v>17</v>
      </c>
      <c r="W19" s="775">
        <f>J19</f>
        <v>100</v>
      </c>
      <c r="X19" s="1817"/>
      <c r="Y19" s="3176"/>
      <c r="Z19" s="1818" t="str">
        <f>Q19</f>
        <v>公共配套设施</v>
      </c>
      <c r="AA19" s="1815">
        <f t="shared" si="3"/>
        <v>1</v>
      </c>
      <c r="AB19" s="1815">
        <f t="shared" si="4"/>
        <v>1</v>
      </c>
      <c r="AC19" s="1815">
        <f t="shared" si="5"/>
        <v>1</v>
      </c>
    </row>
    <row r="20" spans="1:29" ht="15">
      <c r="A20" s="429"/>
      <c r="B20" s="457"/>
      <c r="C20" s="448"/>
      <c r="D20" s="449"/>
      <c r="E20" s="2610"/>
      <c r="F20" s="450"/>
      <c r="G20" s="2609"/>
      <c r="H20" s="449"/>
      <c r="I20" s="2610"/>
      <c r="J20" s="449"/>
      <c r="K20" s="616"/>
      <c r="L20" s="1143"/>
      <c r="M20" s="1134"/>
      <c r="N20" s="1134"/>
      <c r="O20" s="1134"/>
      <c r="P20" s="3174"/>
      <c r="Q20" s="1814"/>
      <c r="R20" s="774"/>
      <c r="S20" s="775"/>
      <c r="T20" s="774"/>
      <c r="U20" s="775"/>
      <c r="V20" s="774"/>
      <c r="W20" s="775"/>
      <c r="X20" s="1817"/>
      <c r="Y20" s="3176"/>
      <c r="Z20" s="1818"/>
      <c r="AA20" s="1815">
        <v>1</v>
      </c>
      <c r="AB20" s="1815">
        <v>1</v>
      </c>
      <c r="AC20" s="1815">
        <v>1</v>
      </c>
    </row>
    <row r="21" spans="1:29" ht="15">
      <c r="A21" s="429"/>
      <c r="B21" s="1387" t="s">
        <v>2651</v>
      </c>
      <c r="C21" s="2612" t="str">
        <f>估价对象房地状况!C8</f>
        <v>七通</v>
      </c>
      <c r="D21" s="456">
        <v>100</v>
      </c>
      <c r="E21" s="458"/>
      <c r="F21" s="459">
        <f>SUMIF(82:82,E22,83:83)-SUMIF(82:82,C22,83:83)+100</f>
        <v>100</v>
      </c>
      <c r="G21" s="460"/>
      <c r="H21" s="451">
        <f>SUMIF(82:82,G22,83:83)-SUMIF(82:82,C22,83:83)+100</f>
        <v>100</v>
      </c>
      <c r="I21" s="458"/>
      <c r="J21" s="451">
        <f>SUMIF(82:82,I22,83:83)-SUMIF(82:82,C22,83:83)+100</f>
        <v>100</v>
      </c>
      <c r="K21" s="615"/>
      <c r="L21" s="1143"/>
      <c r="M21" s="1134"/>
      <c r="N21" s="1134"/>
      <c r="O21" s="1134"/>
      <c r="P21" s="3174"/>
      <c r="Q21" s="1814" t="str">
        <f>B21</f>
        <v>基础设施水平</v>
      </c>
      <c r="R21" s="774" t="s">
        <v>17</v>
      </c>
      <c r="S21" s="775">
        <f>F21</f>
        <v>100</v>
      </c>
      <c r="T21" s="774" t="s">
        <v>17</v>
      </c>
      <c r="U21" s="775">
        <f>H21</f>
        <v>100</v>
      </c>
      <c r="V21" s="774" t="s">
        <v>17</v>
      </c>
      <c r="W21" s="775">
        <f>J21</f>
        <v>100</v>
      </c>
      <c r="X21" s="1817"/>
      <c r="Y21" s="3176"/>
      <c r="Z21" s="1818" t="str">
        <f>Q21</f>
        <v>基础设施水平</v>
      </c>
      <c r="AA21" s="1815">
        <f t="shared" ref="AA21" si="8">D21/F21</f>
        <v>1</v>
      </c>
      <c r="AB21" s="1815">
        <f t="shared" ref="AB21" si="9">D21/H21</f>
        <v>1</v>
      </c>
      <c r="AC21" s="1815">
        <f t="shared" ref="AC21" si="10">D21/J21</f>
        <v>1</v>
      </c>
    </row>
    <row r="22" spans="1:29" ht="15">
      <c r="A22" s="429"/>
      <c r="B22" s="1387"/>
      <c r="C22" s="2613"/>
      <c r="D22" s="449"/>
      <c r="E22" s="448"/>
      <c r="F22" s="450"/>
      <c r="G22" s="448"/>
      <c r="H22" s="449"/>
      <c r="I22" s="448"/>
      <c r="J22" s="449"/>
      <c r="K22" s="1386"/>
      <c r="L22" s="1143"/>
      <c r="M22" s="1134"/>
      <c r="N22" s="1134"/>
      <c r="O22" s="1134"/>
      <c r="P22" s="3174"/>
      <c r="Q22" s="1814"/>
      <c r="R22" s="774"/>
      <c r="S22" s="775"/>
      <c r="T22" s="774"/>
      <c r="U22" s="775"/>
      <c r="V22" s="774"/>
      <c r="W22" s="775"/>
      <c r="X22" s="1817"/>
      <c r="Y22" s="3176"/>
      <c r="Z22" s="1818"/>
      <c r="AA22" s="1815">
        <v>1</v>
      </c>
      <c r="AB22" s="1815">
        <v>1</v>
      </c>
      <c r="AC22" s="1815">
        <v>1</v>
      </c>
    </row>
    <row r="23" spans="1:29" ht="128.25">
      <c r="A23" s="429"/>
      <c r="B23" s="452" t="s">
        <v>2098</v>
      </c>
      <c r="C23" s="2669" t="str">
        <f>估价对象房地状况!C9</f>
        <v>估价对象周边约2公里范围有温泉公园，自然环境一般；周边约2公里范围内有北京行政学院等人文设施，人文环境一般；综合评价环境状况一般。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3"/>
      <c r="M23" s="1134"/>
      <c r="N23" s="1134"/>
      <c r="O23" s="1134"/>
      <c r="P23" s="3174"/>
      <c r="Q23" s="1814" t="str">
        <f>B23</f>
        <v>自然及人文环境</v>
      </c>
      <c r="R23" s="774" t="s">
        <v>17</v>
      </c>
      <c r="S23" s="775">
        <f>F23</f>
        <v>100</v>
      </c>
      <c r="T23" s="774" t="s">
        <v>17</v>
      </c>
      <c r="U23" s="775">
        <f>H23</f>
        <v>100</v>
      </c>
      <c r="V23" s="774" t="s">
        <v>17</v>
      </c>
      <c r="W23" s="775">
        <f>J23</f>
        <v>100</v>
      </c>
      <c r="X23" s="1817"/>
      <c r="Y23" s="3176"/>
      <c r="Z23" s="1818" t="str">
        <f>Q23</f>
        <v>自然及人文环境</v>
      </c>
      <c r="AA23" s="1815">
        <f t="shared" si="3"/>
        <v>1</v>
      </c>
      <c r="AB23" s="1815">
        <f t="shared" si="4"/>
        <v>1</v>
      </c>
      <c r="AC23" s="1815">
        <f t="shared" si="5"/>
        <v>1</v>
      </c>
    </row>
    <row r="24" spans="1:29" ht="15">
      <c r="A24" s="429"/>
      <c r="B24" s="457"/>
      <c r="C24" s="448"/>
      <c r="D24" s="449"/>
      <c r="E24" s="2610"/>
      <c r="F24" s="450"/>
      <c r="G24" s="2609"/>
      <c r="H24" s="449"/>
      <c r="I24" s="2610"/>
      <c r="J24" s="449"/>
      <c r="K24" s="616"/>
      <c r="L24" s="1143"/>
      <c r="M24" s="1134"/>
      <c r="N24" s="1134"/>
      <c r="O24" s="1134"/>
      <c r="P24" s="3174"/>
      <c r="Q24" s="1814"/>
      <c r="R24" s="774"/>
      <c r="S24" s="775"/>
      <c r="T24" s="774"/>
      <c r="U24" s="775"/>
      <c r="V24" s="774"/>
      <c r="W24" s="775"/>
      <c r="X24" s="1817"/>
      <c r="Y24" s="3176"/>
      <c r="Z24" s="1818"/>
      <c r="AA24" s="1815">
        <v>1</v>
      </c>
      <c r="AB24" s="1815">
        <v>1</v>
      </c>
      <c r="AC24" s="1815">
        <v>1</v>
      </c>
    </row>
    <row r="25" spans="1:29" ht="15">
      <c r="A25" s="429"/>
      <c r="B25" s="423" t="s">
        <v>2652</v>
      </c>
      <c r="C25" s="617"/>
      <c r="D25" s="436">
        <v>100</v>
      </c>
      <c r="E25" s="617"/>
      <c r="F25" s="462">
        <f>SUMIF(86:86,E25,87:87)-SUMIF(86:86,C25,87:87)+100</f>
        <v>100</v>
      </c>
      <c r="G25" s="617"/>
      <c r="H25" s="436">
        <f>SUMIF(86:86,G25,87:87)-SUMIF(86:86,C25,87:87)+100</f>
        <v>100</v>
      </c>
      <c r="I25" s="617"/>
      <c r="J25" s="436">
        <f>SUMIF(86:86,I25,87:87)-SUMIF(86:86,C25,87:87)+100</f>
        <v>100</v>
      </c>
      <c r="K25" s="613"/>
      <c r="L25" s="1143"/>
      <c r="M25" s="1134"/>
      <c r="N25" s="1134"/>
      <c r="O25" s="1134"/>
      <c r="P25" s="3174"/>
      <c r="Q25" s="1814" t="str">
        <f t="shared" ref="Q25:Q46" si="11">B25</f>
        <v>临街状况</v>
      </c>
      <c r="R25" s="774" t="s">
        <v>17</v>
      </c>
      <c r="S25" s="775">
        <f>F25</f>
        <v>100</v>
      </c>
      <c r="T25" s="774" t="s">
        <v>17</v>
      </c>
      <c r="U25" s="775">
        <f>H25</f>
        <v>100</v>
      </c>
      <c r="V25" s="774" t="s">
        <v>17</v>
      </c>
      <c r="W25" s="775">
        <f>J25</f>
        <v>100</v>
      </c>
      <c r="X25" s="1817"/>
      <c r="Y25" s="3176"/>
      <c r="Z25" s="1818" t="str">
        <f>Q25</f>
        <v>临街状况</v>
      </c>
      <c r="AA25" s="1815">
        <f t="shared" si="3"/>
        <v>1</v>
      </c>
      <c r="AB25" s="1815">
        <f t="shared" si="4"/>
        <v>1</v>
      </c>
      <c r="AC25" s="1815">
        <f t="shared" si="5"/>
        <v>1</v>
      </c>
    </row>
    <row r="26" spans="1:29" ht="15">
      <c r="A26" s="429"/>
      <c r="B26" s="1389" t="s">
        <v>2653</v>
      </c>
      <c r="C26" s="435"/>
      <c r="D26" s="436">
        <v>100</v>
      </c>
      <c r="E26" s="435"/>
      <c r="F26" s="462">
        <f>SUMIF(88:88,E26,89:89)-SUMIF(88:88,C26,89:89)+100</f>
        <v>100</v>
      </c>
      <c r="G26" s="435"/>
      <c r="H26" s="436">
        <f>SUMIF(88:88,G26,89:89)-SUMIF(88:88,C26,89:89)+100</f>
        <v>100</v>
      </c>
      <c r="I26" s="435"/>
      <c r="J26" s="436">
        <f>SUMIF(88:88,I26,89:89)-SUMIF(88:88,C26,89:89)+100</f>
        <v>100</v>
      </c>
      <c r="K26" s="614"/>
      <c r="L26" s="1143"/>
      <c r="M26" s="1134"/>
      <c r="N26" s="1134"/>
      <c r="O26" s="1134"/>
      <c r="P26" s="3174"/>
      <c r="Q26" s="1814" t="str">
        <f t="shared" si="11"/>
        <v>平面位置/可视性</v>
      </c>
      <c r="R26" s="774" t="s">
        <v>17</v>
      </c>
      <c r="S26" s="775">
        <f>F26</f>
        <v>100</v>
      </c>
      <c r="T26" s="774" t="s">
        <v>17</v>
      </c>
      <c r="U26" s="775">
        <f>H26</f>
        <v>100</v>
      </c>
      <c r="V26" s="774" t="s">
        <v>17</v>
      </c>
      <c r="W26" s="775">
        <f>J26</f>
        <v>100</v>
      </c>
      <c r="X26" s="1817"/>
      <c r="Y26" s="3176"/>
      <c r="Z26" s="1818" t="str">
        <f>Q26</f>
        <v>平面位置/可视性</v>
      </c>
      <c r="AA26" s="1815">
        <f t="shared" si="3"/>
        <v>1</v>
      </c>
      <c r="AB26" s="1815">
        <f t="shared" si="4"/>
        <v>1</v>
      </c>
      <c r="AC26" s="1815">
        <f t="shared" si="5"/>
        <v>1</v>
      </c>
    </row>
    <row r="27" spans="1:29" s="117" customFormat="1" ht="15">
      <c r="A27" s="432"/>
      <c r="B27" s="452" t="s">
        <v>2654</v>
      </c>
      <c r="C27" s="2670"/>
      <c r="D27" s="463">
        <v>100</v>
      </c>
      <c r="E27" s="2670"/>
      <c r="F27" s="465">
        <f>SUMIF(90:90,E27,91:91)-SUMIF(90:90,C27,91:91)+100</f>
        <v>100</v>
      </c>
      <c r="G27" s="2670"/>
      <c r="H27" s="463">
        <f>SUMIF(90:90,G27,91:91)-SUMIF(90:90,C27,91:91)+100</f>
        <v>100</v>
      </c>
      <c r="I27" s="2670"/>
      <c r="J27" s="463">
        <f>SUMIF(90:90,I27,91:91)-SUMIF(90:90,C27,91:91)+100</f>
        <v>100</v>
      </c>
      <c r="K27" s="613"/>
      <c r="L27" s="1135"/>
      <c r="M27" s="1136"/>
      <c r="N27" s="1136"/>
      <c r="O27" s="1136"/>
      <c r="P27" s="3174"/>
      <c r="Q27" s="1799" t="str">
        <f t="shared" si="11"/>
        <v>人流量</v>
      </c>
      <c r="R27" s="770" t="s">
        <v>17</v>
      </c>
      <c r="S27" s="771">
        <f>F27</f>
        <v>100</v>
      </c>
      <c r="T27" s="770" t="s">
        <v>17</v>
      </c>
      <c r="U27" s="771">
        <f>H27</f>
        <v>100</v>
      </c>
      <c r="V27" s="770" t="s">
        <v>17</v>
      </c>
      <c r="W27" s="771">
        <f>J27</f>
        <v>100</v>
      </c>
      <c r="X27" s="772"/>
      <c r="Y27" s="3176"/>
      <c r="Z27" s="55" t="str">
        <f>Q27</f>
        <v>人流量</v>
      </c>
      <c r="AA27" s="1815">
        <f>D27/F27</f>
        <v>1</v>
      </c>
      <c r="AB27" s="1815">
        <f>D27/H27</f>
        <v>1</v>
      </c>
      <c r="AC27" s="1815">
        <f>D27/J27</f>
        <v>1</v>
      </c>
    </row>
    <row r="28" spans="1:29" ht="15">
      <c r="A28" s="429"/>
      <c r="B28" s="423" t="s">
        <v>2655</v>
      </c>
      <c r="C28" s="617"/>
      <c r="D28" s="436">
        <v>100</v>
      </c>
      <c r="E28" s="617"/>
      <c r="F28" s="462">
        <f>SUMIF(92:92,E28,93:93)-SUMIF(92:92,C28,93:93)+100</f>
        <v>100</v>
      </c>
      <c r="G28" s="617"/>
      <c r="H28" s="436">
        <f>SUMIF(92:92,G28,93:93)-SUMIF(92:92,C28,93:93)+100</f>
        <v>100</v>
      </c>
      <c r="I28" s="617"/>
      <c r="J28" s="436">
        <f>SUMIF(92:92,I28,93:93)-SUMIF(92:92,C28,93:93)+100</f>
        <v>100</v>
      </c>
      <c r="K28" s="614"/>
      <c r="L28" s="1143"/>
      <c r="M28" s="1134"/>
      <c r="N28" s="1134"/>
      <c r="O28" s="1134"/>
      <c r="P28" s="3174"/>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76"/>
      <c r="Z28" s="1818" t="str">
        <f t="shared" ref="Z28:Z46" si="15">Q28</f>
        <v>楼层</v>
      </c>
      <c r="AA28" s="1815">
        <f t="shared" si="3"/>
        <v>1</v>
      </c>
      <c r="AB28" s="1815">
        <f t="shared" si="4"/>
        <v>1</v>
      </c>
      <c r="AC28" s="1815">
        <f t="shared" si="5"/>
        <v>1</v>
      </c>
    </row>
    <row r="29" spans="1:29" ht="15">
      <c r="A29" s="429"/>
      <c r="B29" s="1389">
        <v>111</v>
      </c>
      <c r="C29" s="435"/>
      <c r="D29" s="436">
        <v>100</v>
      </c>
      <c r="E29" s="435"/>
      <c r="F29" s="462">
        <f>SUMIF(94:94,E29,95:95)-SUMIF(94:94,C29,95:95)+100</f>
        <v>100</v>
      </c>
      <c r="G29" s="435"/>
      <c r="H29" s="436">
        <f>SUMIF(94:94,G29,95:95)-SUMIF(94:94,C29,95:95)+100</f>
        <v>100</v>
      </c>
      <c r="I29" s="435"/>
      <c r="J29" s="436">
        <f>SUMIF(94:94,I29,95:95)-SUMIF(94:94,C29,95:95)+100</f>
        <v>100</v>
      </c>
      <c r="K29" s="614"/>
      <c r="L29" s="1143"/>
      <c r="M29" s="1134"/>
      <c r="N29" s="1134"/>
      <c r="O29" s="1134"/>
      <c r="P29" s="3174"/>
      <c r="Q29" s="1814">
        <f t="shared" si="11"/>
        <v>111</v>
      </c>
      <c r="R29" s="774" t="s">
        <v>17</v>
      </c>
      <c r="S29" s="775">
        <f t="shared" si="12"/>
        <v>100</v>
      </c>
      <c r="T29" s="774" t="s">
        <v>17</v>
      </c>
      <c r="U29" s="775">
        <f t="shared" si="13"/>
        <v>100</v>
      </c>
      <c r="V29" s="774" t="s">
        <v>17</v>
      </c>
      <c r="W29" s="775">
        <f t="shared" si="14"/>
        <v>100</v>
      </c>
      <c r="X29" s="1817"/>
      <c r="Y29" s="3176"/>
      <c r="Z29" s="1818">
        <f t="shared" si="15"/>
        <v>111</v>
      </c>
      <c r="AA29" s="1815">
        <f t="shared" si="3"/>
        <v>1</v>
      </c>
      <c r="AB29" s="1815">
        <f t="shared" si="4"/>
        <v>1</v>
      </c>
      <c r="AC29" s="1815">
        <f t="shared" si="5"/>
        <v>1</v>
      </c>
    </row>
    <row r="30" spans="1:29" ht="15">
      <c r="A30" s="429"/>
      <c r="B30" s="1389">
        <v>111</v>
      </c>
      <c r="C30" s="435"/>
      <c r="D30" s="436">
        <v>100</v>
      </c>
      <c r="E30" s="435"/>
      <c r="F30" s="462">
        <f>SUMIF(96:96,E30,97:97)-SUMIF(96:96,C30,97:97)+100</f>
        <v>100</v>
      </c>
      <c r="G30" s="435"/>
      <c r="H30" s="436">
        <f>SUMIF(96:96,G30,97:97)-SUMIF(96:96,C30,97:97)+100</f>
        <v>100</v>
      </c>
      <c r="I30" s="435"/>
      <c r="J30" s="436">
        <f>SUMIF(96:96,I30,97:97)-SUMIF(96:96,C30,97:97)+100</f>
        <v>100</v>
      </c>
      <c r="K30" s="614"/>
      <c r="L30" s="1143"/>
      <c r="M30" s="1134"/>
      <c r="N30" s="1134"/>
      <c r="O30" s="1134"/>
      <c r="P30" s="3174"/>
      <c r="Q30" s="1814">
        <f t="shared" si="11"/>
        <v>111</v>
      </c>
      <c r="R30" s="774" t="s">
        <v>17</v>
      </c>
      <c r="S30" s="775">
        <f t="shared" si="12"/>
        <v>100</v>
      </c>
      <c r="T30" s="774" t="s">
        <v>17</v>
      </c>
      <c r="U30" s="775">
        <f t="shared" si="13"/>
        <v>100</v>
      </c>
      <c r="V30" s="774" t="s">
        <v>17</v>
      </c>
      <c r="W30" s="775">
        <f t="shared" si="14"/>
        <v>100</v>
      </c>
      <c r="X30" s="1817"/>
      <c r="Y30" s="3176"/>
      <c r="Z30" s="1818">
        <f t="shared" si="15"/>
        <v>111</v>
      </c>
      <c r="AA30" s="1815">
        <f t="shared" si="3"/>
        <v>1</v>
      </c>
      <c r="AB30" s="1815">
        <f t="shared" si="4"/>
        <v>1</v>
      </c>
      <c r="AC30" s="1815">
        <f t="shared" si="5"/>
        <v>1</v>
      </c>
    </row>
    <row r="31" spans="1:29" ht="15.75" thickBot="1">
      <c r="A31" s="437"/>
      <c r="B31" s="1389">
        <v>111</v>
      </c>
      <c r="C31" s="438"/>
      <c r="D31" s="439">
        <v>100</v>
      </c>
      <c r="E31" s="435"/>
      <c r="F31" s="440">
        <f>SUMIF(98:98,E31,99:99)-SUMIF(98:98,C31,99:99)+100</f>
        <v>100</v>
      </c>
      <c r="G31" s="435"/>
      <c r="H31" s="439">
        <f>SUMIF(98:98,G31,99:99)-SUMIF(98:98,C31,99:99)+100</f>
        <v>100</v>
      </c>
      <c r="I31" s="435"/>
      <c r="J31" s="439">
        <f>SUMIF(98:98,I31,99:99)-SUMIF(98:98,C31,99:99)+100</f>
        <v>100</v>
      </c>
      <c r="K31" s="614"/>
      <c r="L31" s="1143"/>
      <c r="M31" s="1134"/>
      <c r="N31" s="1134"/>
      <c r="O31" s="1134"/>
      <c r="P31" s="3174"/>
      <c r="Q31" s="1814">
        <f t="shared" si="11"/>
        <v>111</v>
      </c>
      <c r="R31" s="774" t="s">
        <v>17</v>
      </c>
      <c r="S31" s="775">
        <f t="shared" si="12"/>
        <v>100</v>
      </c>
      <c r="T31" s="774" t="s">
        <v>17</v>
      </c>
      <c r="U31" s="775">
        <f t="shared" si="13"/>
        <v>100</v>
      </c>
      <c r="V31" s="774" t="s">
        <v>17</v>
      </c>
      <c r="W31" s="775">
        <f t="shared" si="14"/>
        <v>100</v>
      </c>
      <c r="X31" s="1817"/>
      <c r="Y31" s="3176"/>
      <c r="Z31" s="1818">
        <f t="shared" si="15"/>
        <v>111</v>
      </c>
      <c r="AA31" s="1815">
        <f t="shared" si="3"/>
        <v>1</v>
      </c>
      <c r="AB31" s="1815">
        <f t="shared" si="4"/>
        <v>1</v>
      </c>
      <c r="AC31" s="1815">
        <f t="shared" si="5"/>
        <v>1</v>
      </c>
    </row>
    <row r="32" spans="1:29" ht="15">
      <c r="A32" s="441" t="s">
        <v>2559</v>
      </c>
      <c r="B32" s="71" t="s">
        <v>2656</v>
      </c>
      <c r="C32" s="2622"/>
      <c r="D32" s="468">
        <v>100</v>
      </c>
      <c r="E32" s="2622"/>
      <c r="F32" s="462">
        <f>SUMIF(100:100,E32,101:101)-SUMIF(100:100,C32,101:101)+100</f>
        <v>100</v>
      </c>
      <c r="G32" s="2622"/>
      <c r="H32" s="436">
        <f>SUMIF(100:100,G32,101:101)-SUMIF(100:100,C32,101:101)+100</f>
        <v>100</v>
      </c>
      <c r="I32" s="2622"/>
      <c r="J32" s="468">
        <f>SUMIF(100:100,I32,101:101)-SUMIF(100:100,C32,101:101)+100</f>
        <v>100</v>
      </c>
      <c r="K32" s="613"/>
      <c r="L32" s="1143"/>
      <c r="M32" s="1134"/>
      <c r="N32" s="1134"/>
      <c r="O32" s="1134"/>
      <c r="P32" s="3177" t="s">
        <v>2561</v>
      </c>
      <c r="Q32" s="1814" t="str">
        <f t="shared" si="11"/>
        <v>商业类型</v>
      </c>
      <c r="R32" s="774" t="s">
        <v>17</v>
      </c>
      <c r="S32" s="775">
        <f t="shared" si="12"/>
        <v>100</v>
      </c>
      <c r="T32" s="774" t="s">
        <v>17</v>
      </c>
      <c r="U32" s="775">
        <f t="shared" si="13"/>
        <v>100</v>
      </c>
      <c r="V32" s="774" t="s">
        <v>17</v>
      </c>
      <c r="W32" s="775">
        <f t="shared" si="14"/>
        <v>100</v>
      </c>
      <c r="X32" s="1817"/>
      <c r="Y32" s="3180" t="s">
        <v>2561</v>
      </c>
      <c r="Z32" s="1818" t="str">
        <f t="shared" si="15"/>
        <v>商业类型</v>
      </c>
      <c r="AA32" s="1815">
        <f t="shared" si="3"/>
        <v>1</v>
      </c>
      <c r="AB32" s="1815">
        <f t="shared" si="4"/>
        <v>1</v>
      </c>
      <c r="AC32" s="1815">
        <f t="shared" si="5"/>
        <v>1</v>
      </c>
    </row>
    <row r="33" spans="1:29" s="472" customFormat="1" ht="15">
      <c r="A33" s="469"/>
      <c r="B33" s="423" t="s">
        <v>2562</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1"/>
      <c r="M33" s="1144"/>
      <c r="N33" s="1144"/>
      <c r="O33" s="1144"/>
      <c r="P33" s="3178"/>
      <c r="Q33" s="776" t="str">
        <f t="shared" si="11"/>
        <v>项目建筑规模</v>
      </c>
      <c r="R33" s="777" t="s">
        <v>17</v>
      </c>
      <c r="S33" s="778" t="e">
        <f t="shared" si="12"/>
        <v>#N/A</v>
      </c>
      <c r="T33" s="777" t="s">
        <v>17</v>
      </c>
      <c r="U33" s="778" t="e">
        <f t="shared" si="13"/>
        <v>#N/A</v>
      </c>
      <c r="V33" s="777" t="s">
        <v>17</v>
      </c>
      <c r="W33" s="778" t="e">
        <f t="shared" si="14"/>
        <v>#N/A</v>
      </c>
      <c r="X33" s="779"/>
      <c r="Y33" s="3180"/>
      <c r="Z33" s="780" t="str">
        <f t="shared" si="15"/>
        <v>项目建筑规模</v>
      </c>
      <c r="AA33" s="1815" t="e">
        <f t="shared" si="3"/>
        <v>#N/A</v>
      </c>
      <c r="AB33" s="1815" t="e">
        <f t="shared" si="4"/>
        <v>#N/A</v>
      </c>
      <c r="AC33" s="1815" t="e">
        <f t="shared" si="5"/>
        <v>#N/A</v>
      </c>
    </row>
    <row r="34" spans="1:29" ht="15">
      <c r="A34" s="473"/>
      <c r="B34" s="423" t="s">
        <v>2563</v>
      </c>
      <c r="C34" s="2624"/>
      <c r="D34" s="436">
        <v>100</v>
      </c>
      <c r="E34" s="2624"/>
      <c r="F34" s="462">
        <f>SUMIF(105:105,E34,106:106)-SUMIF(105:105,C34,106:106)+100</f>
        <v>100</v>
      </c>
      <c r="G34" s="2624"/>
      <c r="H34" s="436">
        <f>SUMIF(105:105,G34,106:106)-SUMIF(105:105,C34,106:106)+100</f>
        <v>100</v>
      </c>
      <c r="I34" s="2624"/>
      <c r="J34" s="436">
        <f>SUMIF(105:105,I34,106:106)-SUMIF(105:105,C34,106:106)+100</f>
        <v>100</v>
      </c>
      <c r="K34" s="613"/>
      <c r="L34" s="1143"/>
      <c r="M34" s="1134"/>
      <c r="N34" s="1134"/>
      <c r="O34" s="1134"/>
      <c r="P34" s="3178"/>
      <c r="Q34" s="1814" t="str">
        <f t="shared" si="11"/>
        <v>建筑结构</v>
      </c>
      <c r="R34" s="774" t="s">
        <v>17</v>
      </c>
      <c r="S34" s="775">
        <f t="shared" si="12"/>
        <v>100</v>
      </c>
      <c r="T34" s="774" t="s">
        <v>17</v>
      </c>
      <c r="U34" s="775">
        <f t="shared" si="13"/>
        <v>100</v>
      </c>
      <c r="V34" s="774" t="s">
        <v>17</v>
      </c>
      <c r="W34" s="775">
        <f t="shared" si="14"/>
        <v>100</v>
      </c>
      <c r="X34" s="1817"/>
      <c r="Y34" s="3180"/>
      <c r="Z34" s="1818" t="str">
        <f t="shared" si="15"/>
        <v>建筑结构</v>
      </c>
      <c r="AA34" s="1815">
        <f t="shared" si="3"/>
        <v>1</v>
      </c>
      <c r="AB34" s="1815">
        <f t="shared" si="4"/>
        <v>1</v>
      </c>
      <c r="AC34" s="1815">
        <f t="shared" si="5"/>
        <v>1</v>
      </c>
    </row>
    <row r="35" spans="1:29" ht="15">
      <c r="A35" s="473"/>
      <c r="B35" s="423" t="s">
        <v>2657</v>
      </c>
      <c r="C35" s="2618"/>
      <c r="D35" s="436">
        <v>100</v>
      </c>
      <c r="E35" s="2618"/>
      <c r="F35" s="462">
        <f>SUMIF(107:107,E35,108:108)-SUMIF(107:107,C35,108:108)+100</f>
        <v>100</v>
      </c>
      <c r="G35" s="2618"/>
      <c r="H35" s="436">
        <f>SUMIF(107:107,G35,108:108)-SUMIF(107:107,C35,108:108)+100</f>
        <v>100</v>
      </c>
      <c r="I35" s="2618"/>
      <c r="J35" s="436">
        <f>SUMIF(107:107,I35,108:108)-SUMIF(107:107,C35,108:108)+100</f>
        <v>100</v>
      </c>
      <c r="K35" s="613"/>
      <c r="L35" s="1143"/>
      <c r="M35" s="1134"/>
      <c r="N35" s="1134"/>
      <c r="O35" s="1134"/>
      <c r="P35" s="3178"/>
      <c r="Q35" s="1814" t="str">
        <f t="shared" si="11"/>
        <v>公共部分装修</v>
      </c>
      <c r="R35" s="774" t="s">
        <v>17</v>
      </c>
      <c r="S35" s="775">
        <f t="shared" si="12"/>
        <v>100</v>
      </c>
      <c r="T35" s="774" t="s">
        <v>17</v>
      </c>
      <c r="U35" s="775">
        <f t="shared" si="13"/>
        <v>100</v>
      </c>
      <c r="V35" s="774" t="s">
        <v>17</v>
      </c>
      <c r="W35" s="775">
        <f t="shared" si="14"/>
        <v>100</v>
      </c>
      <c r="X35" s="1817"/>
      <c r="Y35" s="3180"/>
      <c r="Z35" s="1818" t="str">
        <f t="shared" si="15"/>
        <v>公共部分装修</v>
      </c>
      <c r="AA35" s="1815">
        <f t="shared" si="3"/>
        <v>1</v>
      </c>
      <c r="AB35" s="1815">
        <f t="shared" si="4"/>
        <v>1</v>
      </c>
      <c r="AC35" s="1815">
        <f t="shared" si="5"/>
        <v>1</v>
      </c>
    </row>
    <row r="36" spans="1:29" ht="15">
      <c r="A36" s="473"/>
      <c r="B36" s="423" t="s">
        <v>2658</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3"/>
      <c r="M36" s="1134"/>
      <c r="N36" s="1134"/>
      <c r="O36" s="1134"/>
      <c r="P36" s="3178"/>
      <c r="Q36" s="1814" t="str">
        <f t="shared" si="11"/>
        <v>成新度</v>
      </c>
      <c r="R36" s="774" t="s">
        <v>17</v>
      </c>
      <c r="S36" s="775" t="e">
        <f t="shared" si="12"/>
        <v>#N/A</v>
      </c>
      <c r="T36" s="774" t="s">
        <v>17</v>
      </c>
      <c r="U36" s="775" t="e">
        <f t="shared" si="13"/>
        <v>#N/A</v>
      </c>
      <c r="V36" s="774" t="s">
        <v>17</v>
      </c>
      <c r="W36" s="775" t="e">
        <f t="shared" si="14"/>
        <v>#N/A</v>
      </c>
      <c r="X36" s="1817"/>
      <c r="Y36" s="3180"/>
      <c r="Z36" s="1818" t="str">
        <f t="shared" si="15"/>
        <v>成新度</v>
      </c>
      <c r="AA36" s="1815" t="e">
        <f t="shared" si="3"/>
        <v>#N/A</v>
      </c>
      <c r="AB36" s="1815" t="e">
        <f t="shared" si="4"/>
        <v>#N/A</v>
      </c>
      <c r="AC36" s="1815" t="e">
        <f t="shared" si="5"/>
        <v>#N/A</v>
      </c>
    </row>
    <row r="37" spans="1:29" s="117" customFormat="1" ht="15">
      <c r="A37" s="474"/>
      <c r="B37" s="423" t="s">
        <v>2659</v>
      </c>
      <c r="C37" s="2618"/>
      <c r="D37" s="136">
        <v>100</v>
      </c>
      <c r="E37" s="2618"/>
      <c r="F37" s="462">
        <f>SUMIF(112:112,E37,113:113)-SUMIF(112:112,C37,113:113)+100</f>
        <v>100</v>
      </c>
      <c r="G37" s="2618"/>
      <c r="H37" s="436">
        <f>SUMIF(112:112,G37,113:113)-SUMIF(112:112,C37,113:113)+100</f>
        <v>100</v>
      </c>
      <c r="I37" s="2618"/>
      <c r="J37" s="436">
        <f>SUMIF(112:112,I37,113:113)-SUMIF(112:112,C37,113:113)+100</f>
        <v>100</v>
      </c>
      <c r="K37" s="613"/>
      <c r="L37" s="1135"/>
      <c r="M37" s="1136"/>
      <c r="N37" s="1136"/>
      <c r="O37" s="1136"/>
      <c r="P37" s="3178"/>
      <c r="Q37" s="1799" t="str">
        <f t="shared" si="11"/>
        <v>市政基础设施</v>
      </c>
      <c r="R37" s="770" t="s">
        <v>17</v>
      </c>
      <c r="S37" s="771">
        <f t="shared" si="12"/>
        <v>100</v>
      </c>
      <c r="T37" s="770" t="s">
        <v>17</v>
      </c>
      <c r="U37" s="771">
        <f t="shared" si="13"/>
        <v>100</v>
      </c>
      <c r="V37" s="770" t="s">
        <v>17</v>
      </c>
      <c r="W37" s="771">
        <f t="shared" si="14"/>
        <v>100</v>
      </c>
      <c r="X37" s="772"/>
      <c r="Y37" s="3180"/>
      <c r="Z37" s="55" t="str">
        <f t="shared" si="15"/>
        <v>市政基础设施</v>
      </c>
      <c r="AA37" s="773">
        <f t="shared" si="3"/>
        <v>1</v>
      </c>
      <c r="AB37" s="773">
        <f t="shared" si="4"/>
        <v>1</v>
      </c>
      <c r="AC37" s="773">
        <f t="shared" si="5"/>
        <v>1</v>
      </c>
    </row>
    <row r="38" spans="1:29" ht="15">
      <c r="A38" s="473"/>
      <c r="B38" s="423" t="s">
        <v>2660</v>
      </c>
      <c r="C38" s="2618"/>
      <c r="D38" s="436">
        <v>100</v>
      </c>
      <c r="E38" s="2618"/>
      <c r="F38" s="462">
        <f>SUMIF(114:114,E38,115:115)-SUMIF(114:114,C38,115:115)+100</f>
        <v>100</v>
      </c>
      <c r="G38" s="2618"/>
      <c r="H38" s="436">
        <f>SUMIF(114:114,G38,115:115)-SUMIF(114:114,C38,115:115)+100</f>
        <v>100</v>
      </c>
      <c r="I38" s="2618"/>
      <c r="J38" s="436">
        <f>SUMIF(114:114,I38,115:115)-SUMIF(114:114,C38,115:115)+100</f>
        <v>100</v>
      </c>
      <c r="K38" s="613"/>
      <c r="L38" s="1143"/>
      <c r="M38" s="1134"/>
      <c r="N38" s="1134"/>
      <c r="O38" s="1134"/>
      <c r="P38" s="3178" t="s">
        <v>2561</v>
      </c>
      <c r="Q38" s="1814" t="str">
        <f t="shared" si="11"/>
        <v>业态</v>
      </c>
      <c r="R38" s="774" t="s">
        <v>17</v>
      </c>
      <c r="S38" s="775">
        <f t="shared" si="12"/>
        <v>100</v>
      </c>
      <c r="T38" s="774" t="s">
        <v>17</v>
      </c>
      <c r="U38" s="775">
        <f t="shared" si="13"/>
        <v>100</v>
      </c>
      <c r="V38" s="774" t="s">
        <v>17</v>
      </c>
      <c r="W38" s="775">
        <f t="shared" si="14"/>
        <v>100</v>
      </c>
      <c r="X38" s="1817"/>
      <c r="Y38" s="3180" t="s">
        <v>2561</v>
      </c>
      <c r="Z38" s="1818" t="str">
        <f t="shared" si="15"/>
        <v>业态</v>
      </c>
      <c r="AA38" s="1815">
        <f t="shared" si="3"/>
        <v>1</v>
      </c>
      <c r="AB38" s="1815">
        <f t="shared" si="4"/>
        <v>1</v>
      </c>
      <c r="AC38" s="1815">
        <f t="shared" si="5"/>
        <v>1</v>
      </c>
    </row>
    <row r="39" spans="1:29" ht="15">
      <c r="A39" s="473"/>
      <c r="B39" s="423" t="s">
        <v>2661</v>
      </c>
      <c r="C39" s="2618"/>
      <c r="D39" s="436">
        <v>100</v>
      </c>
      <c r="E39" s="2618"/>
      <c r="F39" s="462">
        <f>SUMIF(116:116,E39,117:117)-SUMIF(116:116,C39,117:117)+100</f>
        <v>100</v>
      </c>
      <c r="G39" s="2618"/>
      <c r="H39" s="436">
        <f>SUMIF(116:116,G39,117:117)-SUMIF(116:116,C39,117:117)+100</f>
        <v>100</v>
      </c>
      <c r="I39" s="2618"/>
      <c r="J39" s="436">
        <f>SUMIF(116:116,I39,117:117)-SUMIF(116:116,C39,117:117)+100</f>
        <v>100</v>
      </c>
      <c r="K39" s="613"/>
      <c r="L39" s="1143"/>
      <c r="M39" s="1134"/>
      <c r="N39" s="1134"/>
      <c r="O39" s="1134"/>
      <c r="P39" s="3178"/>
      <c r="Q39" s="1814" t="str">
        <f t="shared" si="11"/>
        <v>层高</v>
      </c>
      <c r="R39" s="774" t="s">
        <v>17</v>
      </c>
      <c r="S39" s="775">
        <f t="shared" si="12"/>
        <v>100</v>
      </c>
      <c r="T39" s="774" t="s">
        <v>17</v>
      </c>
      <c r="U39" s="775">
        <f t="shared" si="13"/>
        <v>100</v>
      </c>
      <c r="V39" s="774" t="s">
        <v>17</v>
      </c>
      <c r="W39" s="775">
        <f t="shared" si="14"/>
        <v>100</v>
      </c>
      <c r="X39" s="1817"/>
      <c r="Y39" s="3180"/>
      <c r="Z39" s="1818" t="str">
        <f t="shared" si="15"/>
        <v>层高</v>
      </c>
      <c r="AA39" s="1815">
        <f t="shared" si="3"/>
        <v>1</v>
      </c>
      <c r="AB39" s="1815">
        <f t="shared" si="4"/>
        <v>1</v>
      </c>
      <c r="AC39" s="1815">
        <f t="shared" si="5"/>
        <v>1</v>
      </c>
    </row>
    <row r="40" spans="1:29" ht="15">
      <c r="A40" s="473"/>
      <c r="B40" s="423" t="s">
        <v>2662</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3"/>
      <c r="M40" s="1134"/>
      <c r="N40" s="1134"/>
      <c r="O40" s="1134"/>
      <c r="P40" s="3178"/>
      <c r="Q40" s="1814" t="str">
        <f t="shared" si="11"/>
        <v>单套建筑面积</v>
      </c>
      <c r="R40" s="774" t="s">
        <v>17</v>
      </c>
      <c r="S40" s="775">
        <f t="shared" si="12"/>
        <v>100</v>
      </c>
      <c r="T40" s="774" t="s">
        <v>17</v>
      </c>
      <c r="U40" s="775">
        <f t="shared" si="13"/>
        <v>100</v>
      </c>
      <c r="V40" s="774" t="s">
        <v>17</v>
      </c>
      <c r="W40" s="775">
        <f t="shared" si="14"/>
        <v>100</v>
      </c>
      <c r="X40" s="1817"/>
      <c r="Y40" s="3180"/>
      <c r="Z40" s="1818" t="str">
        <f t="shared" si="15"/>
        <v>单套建筑面积</v>
      </c>
      <c r="AA40" s="1815">
        <f t="shared" si="3"/>
        <v>1</v>
      </c>
      <c r="AB40" s="1815">
        <f t="shared" si="4"/>
        <v>1</v>
      </c>
      <c r="AC40" s="1815">
        <f t="shared" si="5"/>
        <v>1</v>
      </c>
    </row>
    <row r="41" spans="1:29" s="472" customFormat="1" ht="15">
      <c r="A41" s="469"/>
      <c r="B41" s="1816" t="s">
        <v>2663</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1"/>
      <c r="M41" s="1144"/>
      <c r="N41" s="1144"/>
      <c r="O41" s="1144"/>
      <c r="P41" s="3178"/>
      <c r="Q41" s="776" t="str">
        <f t="shared" si="11"/>
        <v>进深比</v>
      </c>
      <c r="R41" s="777" t="s">
        <v>17</v>
      </c>
      <c r="S41" s="778">
        <f t="shared" si="12"/>
        <v>100</v>
      </c>
      <c r="T41" s="777" t="s">
        <v>17</v>
      </c>
      <c r="U41" s="778">
        <f t="shared" si="13"/>
        <v>100</v>
      </c>
      <c r="V41" s="777" t="s">
        <v>17</v>
      </c>
      <c r="W41" s="778">
        <f t="shared" si="14"/>
        <v>100</v>
      </c>
      <c r="X41" s="779"/>
      <c r="Y41" s="3180"/>
      <c r="Z41" s="780" t="str">
        <f t="shared" si="15"/>
        <v>进深比</v>
      </c>
      <c r="AA41" s="1815">
        <f t="shared" si="3"/>
        <v>1</v>
      </c>
      <c r="AB41" s="1815">
        <f t="shared" si="4"/>
        <v>1</v>
      </c>
      <c r="AC41" s="1815">
        <f t="shared" si="5"/>
        <v>1</v>
      </c>
    </row>
    <row r="42" spans="1:29" ht="15">
      <c r="A42" s="473"/>
      <c r="B42" s="423" t="s">
        <v>2664</v>
      </c>
      <c r="C42" s="2618"/>
      <c r="D42" s="436">
        <v>100</v>
      </c>
      <c r="E42" s="2618"/>
      <c r="F42" s="462">
        <f>SUMIF(122:122,E42,123:123)-SUMIF(122:122,C42,123:123)+100</f>
        <v>100</v>
      </c>
      <c r="G42" s="2618"/>
      <c r="H42" s="436">
        <f>SUMIF(122:122,G42,123:123)-SUMIF(122:122,C42,123:123)+100</f>
        <v>100</v>
      </c>
      <c r="I42" s="2618"/>
      <c r="J42" s="436">
        <f>SUMIF(122:122,I42,123:123)-SUMIF(122:122,C42,123:123)+100</f>
        <v>100</v>
      </c>
      <c r="K42" s="613"/>
      <c r="L42" s="1143"/>
      <c r="M42" s="1134"/>
      <c r="N42" s="1134"/>
      <c r="O42" s="1134"/>
      <c r="P42" s="3178"/>
      <c r="Q42" s="1814" t="str">
        <f t="shared" si="11"/>
        <v>内部装修</v>
      </c>
      <c r="R42" s="774" t="s">
        <v>17</v>
      </c>
      <c r="S42" s="775">
        <f t="shared" si="12"/>
        <v>100</v>
      </c>
      <c r="T42" s="774" t="s">
        <v>17</v>
      </c>
      <c r="U42" s="775">
        <f t="shared" si="13"/>
        <v>100</v>
      </c>
      <c r="V42" s="774" t="s">
        <v>17</v>
      </c>
      <c r="W42" s="775">
        <f t="shared" si="14"/>
        <v>100</v>
      </c>
      <c r="X42" s="1817"/>
      <c r="Y42" s="3180"/>
      <c r="Z42" s="1818" t="str">
        <f t="shared" si="15"/>
        <v>内部装修</v>
      </c>
      <c r="AA42" s="1815">
        <f t="shared" si="3"/>
        <v>1</v>
      </c>
      <c r="AB42" s="1815">
        <f t="shared" si="4"/>
        <v>1</v>
      </c>
      <c r="AC42" s="1815">
        <f t="shared" si="5"/>
        <v>1</v>
      </c>
    </row>
    <row r="43" spans="1:29" ht="15">
      <c r="A43" s="473"/>
      <c r="B43" s="423" t="s">
        <v>2572</v>
      </c>
      <c r="C43" s="2618"/>
      <c r="D43" s="436">
        <v>100</v>
      </c>
      <c r="E43" s="2618"/>
      <c r="F43" s="462">
        <f>SUMIF(124:124,E43,125:125)-SUMIF(124:124,C43,125:125)+100</f>
        <v>100</v>
      </c>
      <c r="G43" s="2618"/>
      <c r="H43" s="436">
        <f>SUMIF(124:124,G43,125:125)-SUMIF(124:124,C43,125:125)+100</f>
        <v>100</v>
      </c>
      <c r="I43" s="2618"/>
      <c r="J43" s="436">
        <f>SUMIF(124:124,I43,125:125)-SUMIF(124:124,C43,125:125)+100</f>
        <v>100</v>
      </c>
      <c r="K43" s="613"/>
      <c r="L43" s="1143"/>
      <c r="M43" s="1134"/>
      <c r="N43" s="1134"/>
      <c r="O43" s="1134"/>
      <c r="P43" s="3178"/>
      <c r="Q43" s="1814" t="str">
        <f t="shared" si="11"/>
        <v>内部装修维护情况</v>
      </c>
      <c r="R43" s="774" t="s">
        <v>17</v>
      </c>
      <c r="S43" s="775">
        <f t="shared" si="12"/>
        <v>100</v>
      </c>
      <c r="T43" s="774" t="s">
        <v>17</v>
      </c>
      <c r="U43" s="775">
        <f t="shared" si="13"/>
        <v>100</v>
      </c>
      <c r="V43" s="774" t="s">
        <v>17</v>
      </c>
      <c r="W43" s="775">
        <f t="shared" si="14"/>
        <v>100</v>
      </c>
      <c r="X43" s="1817"/>
      <c r="Y43" s="3180"/>
      <c r="Z43" s="1818" t="str">
        <f t="shared" si="15"/>
        <v>内部装修维护情况</v>
      </c>
      <c r="AA43" s="1815">
        <f t="shared" si="3"/>
        <v>1</v>
      </c>
      <c r="AB43" s="1815">
        <f t="shared" si="4"/>
        <v>1</v>
      </c>
      <c r="AC43" s="1815">
        <f t="shared" si="5"/>
        <v>1</v>
      </c>
    </row>
    <row r="44" spans="1:29" s="117" customFormat="1" ht="15">
      <c r="A44" s="474"/>
      <c r="B44" s="1389">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5"/>
      <c r="M44" s="1136"/>
      <c r="N44" s="1136"/>
      <c r="O44" s="1136"/>
      <c r="P44" s="3178"/>
      <c r="Q44" s="1799">
        <f t="shared" si="11"/>
        <v>111</v>
      </c>
      <c r="R44" s="770" t="s">
        <v>17</v>
      </c>
      <c r="S44" s="771">
        <f t="shared" si="12"/>
        <v>100</v>
      </c>
      <c r="T44" s="770" t="s">
        <v>17</v>
      </c>
      <c r="U44" s="771">
        <f t="shared" si="13"/>
        <v>100</v>
      </c>
      <c r="V44" s="770" t="s">
        <v>17</v>
      </c>
      <c r="W44" s="771">
        <f t="shared" si="14"/>
        <v>100</v>
      </c>
      <c r="X44" s="772"/>
      <c r="Y44" s="3180"/>
      <c r="Z44" s="55">
        <f t="shared" si="15"/>
        <v>111</v>
      </c>
      <c r="AA44" s="773">
        <f t="shared" si="3"/>
        <v>1</v>
      </c>
      <c r="AB44" s="773">
        <f t="shared" si="4"/>
        <v>1</v>
      </c>
      <c r="AC44" s="773">
        <f t="shared" si="5"/>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3"/>
      <c r="M45" s="1134"/>
      <c r="N45" s="1134"/>
      <c r="O45" s="1134"/>
      <c r="P45" s="3178"/>
      <c r="Q45" s="1814">
        <f t="shared" si="11"/>
        <v>111</v>
      </c>
      <c r="R45" s="774" t="s">
        <v>17</v>
      </c>
      <c r="S45" s="775">
        <f t="shared" si="12"/>
        <v>100</v>
      </c>
      <c r="T45" s="774" t="s">
        <v>17</v>
      </c>
      <c r="U45" s="775">
        <f t="shared" si="13"/>
        <v>100</v>
      </c>
      <c r="V45" s="774" t="s">
        <v>17</v>
      </c>
      <c r="W45" s="775">
        <f t="shared" si="14"/>
        <v>100</v>
      </c>
      <c r="X45" s="1817"/>
      <c r="Y45" s="3180"/>
      <c r="Z45" s="1818">
        <f t="shared" si="15"/>
        <v>111</v>
      </c>
      <c r="AA45" s="1815">
        <f t="shared" si="3"/>
        <v>1</v>
      </c>
      <c r="AB45" s="1815">
        <f t="shared" si="4"/>
        <v>1</v>
      </c>
      <c r="AC45" s="1815">
        <f t="shared" si="5"/>
        <v>1</v>
      </c>
    </row>
    <row r="46" spans="1:29" ht="15.75" thickBot="1">
      <c r="A46" s="479"/>
      <c r="B46" s="2607">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3"/>
      <c r="M46" s="1134"/>
      <c r="N46" s="1134"/>
      <c r="O46" s="1134"/>
      <c r="P46" s="3179"/>
      <c r="Q46" s="1814">
        <f t="shared" si="11"/>
        <v>111</v>
      </c>
      <c r="R46" s="774" t="s">
        <v>17</v>
      </c>
      <c r="S46" s="775">
        <f t="shared" si="12"/>
        <v>100</v>
      </c>
      <c r="T46" s="774" t="s">
        <v>17</v>
      </c>
      <c r="U46" s="775">
        <f t="shared" si="13"/>
        <v>100</v>
      </c>
      <c r="V46" s="774" t="s">
        <v>17</v>
      </c>
      <c r="W46" s="775">
        <f t="shared" si="14"/>
        <v>100</v>
      </c>
      <c r="X46" s="1817"/>
      <c r="Y46" s="3181"/>
      <c r="Z46" s="1818">
        <f t="shared" si="15"/>
        <v>111</v>
      </c>
      <c r="AA46" s="1815">
        <f t="shared" si="3"/>
        <v>1</v>
      </c>
      <c r="AB46" s="1815">
        <f t="shared" si="4"/>
        <v>1</v>
      </c>
      <c r="AC46" s="1815">
        <f t="shared" si="5"/>
        <v>1</v>
      </c>
    </row>
    <row r="47" spans="1:29" ht="15">
      <c r="A47" s="480" t="s">
        <v>2573</v>
      </c>
      <c r="B47" s="481"/>
      <c r="C47" s="1410" t="s">
        <v>1</v>
      </c>
      <c r="D47" s="1411"/>
      <c r="E47" s="1412"/>
      <c r="F47" s="1413"/>
      <c r="G47" s="1414"/>
      <c r="H47" s="1415"/>
      <c r="I47" s="1412"/>
      <c r="J47" s="1415"/>
      <c r="K47" s="783"/>
      <c r="L47" s="1146"/>
      <c r="M47" s="1147"/>
      <c r="N47" s="1134"/>
      <c r="O47" s="1147"/>
      <c r="P47" s="3182" t="str">
        <f>A47</f>
        <v>成交单价（元/平方米）</v>
      </c>
      <c r="Q47" s="3182"/>
      <c r="R47" s="3170">
        <f>E47</f>
        <v>0</v>
      </c>
      <c r="S47" s="3170"/>
      <c r="T47" s="3170">
        <f>G47</f>
        <v>0</v>
      </c>
      <c r="U47" s="3170"/>
      <c r="V47" s="3170">
        <f>I47</f>
        <v>0</v>
      </c>
      <c r="W47" s="3170"/>
      <c r="X47" s="759"/>
      <c r="Y47" s="781"/>
      <c r="Z47" s="759"/>
      <c r="AA47" s="759"/>
      <c r="AB47" s="759"/>
      <c r="AC47" s="759"/>
    </row>
    <row r="48" spans="1:29" ht="15.75" thickBot="1">
      <c r="A48" s="487" t="s">
        <v>2665</v>
      </c>
      <c r="B48" s="488"/>
      <c r="C48" s="1416" t="e">
        <f>R49</f>
        <v>#DIV/0!</v>
      </c>
      <c r="D48" s="1417"/>
      <c r="E48" s="1418" t="e">
        <f>R48</f>
        <v>#DIV/0!</v>
      </c>
      <c r="F48" s="1418"/>
      <c r="G48" s="1416" t="e">
        <f>T48</f>
        <v>#DIV/0!</v>
      </c>
      <c r="H48" s="1417"/>
      <c r="I48" s="1418" t="e">
        <f>V48</f>
        <v>#DIV/0!</v>
      </c>
      <c r="J48" s="1417"/>
      <c r="K48" s="784"/>
      <c r="L48" s="1146"/>
      <c r="M48" s="1147"/>
      <c r="N48" s="1134"/>
      <c r="O48" s="1147"/>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9"/>
      <c r="Y48" s="759"/>
      <c r="Z48" s="759"/>
      <c r="AA48" s="759"/>
      <c r="AB48" s="759"/>
      <c r="AC48" s="759"/>
    </row>
    <row r="49" spans="1:29" ht="15.75" thickBot="1">
      <c r="A49" s="493" t="s">
        <v>2666</v>
      </c>
      <c r="B49" s="494"/>
      <c r="C49" s="1420" t="e">
        <f>R49</f>
        <v>#DIV/0!</v>
      </c>
      <c r="D49" s="1420"/>
      <c r="E49" s="1420"/>
      <c r="F49" s="1420"/>
      <c r="G49" s="1420"/>
      <c r="H49" s="1420"/>
      <c r="I49" s="1420"/>
      <c r="J49" s="1420"/>
      <c r="K49" s="785"/>
      <c r="L49" s="1146"/>
      <c r="M49" s="1147"/>
      <c r="N49" s="1134"/>
      <c r="O49" s="1147"/>
      <c r="P49" s="3231" t="str">
        <f>A49</f>
        <v>估价对象XX用房的比较价值（楼面单价，元/平方米）</v>
      </c>
      <c r="Q49" s="3232"/>
      <c r="R49" s="3233" t="e">
        <f>IF(F1="售价",ROUND(AVERAGE(R48:V48),0),ROUND(AVERAGE(R48:V48),1))</f>
        <v>#DIV/0!</v>
      </c>
      <c r="S49" s="3233"/>
      <c r="T49" s="3233"/>
      <c r="U49" s="3233"/>
      <c r="V49" s="3233"/>
      <c r="W49" s="323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6"/>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6"/>
      <c r="Q51" s="759"/>
      <c r="R51" s="759"/>
      <c r="S51" s="759"/>
      <c r="T51" s="759"/>
      <c r="U51" s="759"/>
      <c r="V51" s="759"/>
      <c r="W51" s="759"/>
      <c r="X51" s="759"/>
      <c r="Y51" s="759"/>
      <c r="Z51" s="759"/>
      <c r="AA51" s="759"/>
      <c r="AB51" s="759"/>
      <c r="AC51" s="759"/>
    </row>
    <row r="52" spans="1:29" ht="13.5" customHeight="1">
      <c r="A52" s="1147"/>
      <c r="B52" s="1147"/>
      <c r="C52" s="498" t="s">
        <v>2667</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c r="P52" s="676"/>
      <c r="Q52" s="759"/>
      <c r="R52" s="759"/>
      <c r="S52" s="759"/>
      <c r="T52" s="759"/>
      <c r="U52" s="759"/>
      <c r="V52" s="759"/>
      <c r="W52" s="759"/>
      <c r="X52" s="759"/>
      <c r="Y52" s="759"/>
      <c r="Z52" s="759"/>
      <c r="AA52" s="759"/>
      <c r="AB52" s="759"/>
      <c r="AC52" s="759"/>
    </row>
    <row r="53" spans="1:29" ht="13.5" customHeight="1">
      <c r="A53" s="1147"/>
      <c r="B53" s="1147"/>
      <c r="C53" s="498" t="s">
        <v>2668</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c r="P53" s="676"/>
      <c r="Q53" s="759"/>
      <c r="R53" s="759"/>
      <c r="S53" s="759"/>
      <c r="T53" s="759"/>
      <c r="U53" s="759"/>
      <c r="V53" s="759"/>
      <c r="W53" s="759"/>
      <c r="X53" s="759"/>
      <c r="Y53" s="759"/>
      <c r="Z53" s="759"/>
      <c r="AA53" s="759"/>
      <c r="AB53" s="759"/>
      <c r="AC53" s="759"/>
    </row>
    <row r="54" spans="1:29" s="503" customFormat="1" ht="13.5" customHeight="1">
      <c r="A54" s="1148"/>
      <c r="B54" s="1148"/>
      <c r="C54" s="498" t="s">
        <v>2669</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3"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6"/>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9" customFormat="1" ht="15">
      <c r="A58" s="506" t="s">
        <v>2544</v>
      </c>
      <c r="B58" s="507"/>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10"/>
      <c r="B59" s="511"/>
      <c r="C59" s="1577">
        <v>100</v>
      </c>
      <c r="D59" s="513"/>
      <c r="E59" s="513"/>
      <c r="F59" s="513"/>
      <c r="G59" s="513"/>
      <c r="H59" s="513"/>
      <c r="I59" s="513"/>
      <c r="J59" s="513"/>
      <c r="K59" s="513"/>
      <c r="L59" s="513"/>
      <c r="M59" s="514"/>
      <c r="N59" s="513"/>
      <c r="O59" s="514"/>
      <c r="P59" s="2633"/>
    </row>
    <row r="60" spans="1:29" s="117" customFormat="1" ht="15.75" thickBot="1">
      <c r="A60" s="516" t="s">
        <v>2581</v>
      </c>
      <c r="B60" s="517"/>
      <c r="C60" s="518"/>
      <c r="D60" s="519"/>
      <c r="E60" s="519"/>
      <c r="F60" s="519"/>
      <c r="G60" s="519"/>
      <c r="H60" s="519"/>
      <c r="I60" s="519"/>
      <c r="J60" s="519"/>
      <c r="K60" s="519"/>
      <c r="L60" s="519"/>
      <c r="M60" s="520"/>
      <c r="N60" s="519"/>
      <c r="O60" s="520"/>
      <c r="P60" s="2633"/>
      <c r="Q60" s="505"/>
    </row>
    <row r="61" spans="1:29" s="117" customFormat="1" ht="15">
      <c r="A61" s="522" t="s">
        <v>2546</v>
      </c>
      <c r="B61" s="511"/>
      <c r="C61" s="523" t="s">
        <v>2648</v>
      </c>
      <c r="D61" s="524"/>
      <c r="E61" s="524"/>
      <c r="F61" s="524"/>
      <c r="G61" s="524"/>
      <c r="H61" s="524"/>
      <c r="I61" s="524"/>
      <c r="J61" s="524"/>
      <c r="K61" s="524"/>
      <c r="L61" s="525"/>
      <c r="M61" s="526"/>
      <c r="N61" s="1154"/>
      <c r="O61" s="1154"/>
      <c r="P61" s="2634"/>
      <c r="Q61" s="505"/>
    </row>
    <row r="62" spans="1:29" s="117" customFormat="1" ht="15.75" thickBot="1">
      <c r="A62" s="522"/>
      <c r="B62" s="511"/>
      <c r="C62" s="512">
        <v>100</v>
      </c>
      <c r="D62" s="513"/>
      <c r="E62" s="513"/>
      <c r="F62" s="513"/>
      <c r="G62" s="513"/>
      <c r="H62" s="513"/>
      <c r="I62" s="513"/>
      <c r="J62" s="513"/>
      <c r="K62" s="513"/>
      <c r="L62" s="513"/>
      <c r="M62" s="515"/>
      <c r="N62" s="1154"/>
      <c r="O62" s="1154"/>
      <c r="P62" s="2633"/>
      <c r="Q62" s="505"/>
    </row>
    <row r="63" spans="1:29">
      <c r="A63" s="528" t="s">
        <v>2584</v>
      </c>
      <c r="B63" s="529" t="s">
        <v>2550</v>
      </c>
      <c r="C63" s="530">
        <f>C9</f>
        <v>0</v>
      </c>
      <c r="D63" s="531"/>
      <c r="E63" s="531"/>
      <c r="F63" s="531"/>
      <c r="G63" s="531"/>
      <c r="H63" s="531"/>
      <c r="I63" s="531"/>
      <c r="J63" s="531"/>
      <c r="K63" s="532"/>
      <c r="L63" s="533"/>
      <c r="M63" s="534"/>
      <c r="N63" s="1155"/>
      <c r="O63" s="1155"/>
      <c r="P63" s="2635"/>
      <c r="Q63" s="505"/>
    </row>
    <row r="64" spans="1:29" ht="15.75" thickBot="1">
      <c r="A64" s="535"/>
      <c r="B64" s="536"/>
      <c r="C64" s="537">
        <v>100</v>
      </c>
      <c r="D64" s="537"/>
      <c r="E64" s="537"/>
      <c r="F64" s="537"/>
      <c r="G64" s="537"/>
      <c r="H64" s="537"/>
      <c r="I64" s="537"/>
      <c r="J64" s="537"/>
      <c r="K64" s="537"/>
      <c r="L64" s="537"/>
      <c r="M64" s="538"/>
      <c r="N64" s="1156"/>
      <c r="O64" s="1156"/>
      <c r="P64" s="2635"/>
      <c r="Q64" s="505"/>
    </row>
    <row r="65" spans="1:17" ht="27.75" thickTop="1">
      <c r="A65" s="535"/>
      <c r="B65" s="539" t="s">
        <v>2553</v>
      </c>
      <c r="C65" s="540" t="s">
        <v>2585</v>
      </c>
      <c r="D65" s="540" t="s">
        <v>2586</v>
      </c>
      <c r="E65" s="540" t="s">
        <v>2587</v>
      </c>
      <c r="F65" s="540" t="s">
        <v>2588</v>
      </c>
      <c r="G65" s="540" t="s">
        <v>2589</v>
      </c>
      <c r="H65" s="540" t="s">
        <v>2590</v>
      </c>
      <c r="I65" s="540" t="s">
        <v>2591</v>
      </c>
      <c r="J65" s="540"/>
      <c r="K65" s="541"/>
      <c r="L65" s="542"/>
      <c r="M65" s="543"/>
      <c r="N65" s="1155"/>
      <c r="O65" s="1155"/>
      <c r="P65" s="2635"/>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6"/>
      <c r="O66" s="1156"/>
      <c r="P66" s="2635"/>
      <c r="Q66" s="505"/>
    </row>
    <row r="67" spans="1:17" ht="15.75" thickTop="1">
      <c r="A67" s="535"/>
      <c r="B67" s="547" t="s">
        <v>2554</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6"/>
      <c r="O67" s="1156"/>
      <c r="P67" s="2635"/>
      <c r="Q67" s="505"/>
    </row>
    <row r="68" spans="1:17" ht="15">
      <c r="A68" s="535"/>
      <c r="B68" s="549"/>
      <c r="C68" s="550"/>
      <c r="D68" s="550"/>
      <c r="E68" s="550"/>
      <c r="F68" s="550"/>
      <c r="G68" s="550"/>
      <c r="H68" s="550"/>
      <c r="I68" s="550"/>
      <c r="J68" s="550"/>
      <c r="K68" s="551"/>
      <c r="L68" s="552"/>
      <c r="M68" s="553"/>
      <c r="N68" s="1155"/>
      <c r="O68" s="1155"/>
      <c r="P68" s="2635"/>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6"/>
      <c r="O69" s="1156"/>
      <c r="P69" s="2635"/>
      <c r="Q69" s="505"/>
    </row>
    <row r="70" spans="1:17" s="472" customFormat="1" ht="15.75" thickTop="1">
      <c r="A70" s="554"/>
      <c r="B70" s="539">
        <f>B12</f>
        <v>111</v>
      </c>
      <c r="C70" s="555"/>
      <c r="D70" s="555"/>
      <c r="E70" s="555"/>
      <c r="F70" s="555"/>
      <c r="G70" s="555"/>
      <c r="H70" s="556"/>
      <c r="I70" s="556"/>
      <c r="J70" s="556"/>
      <c r="K70" s="556"/>
      <c r="L70" s="557"/>
      <c r="M70" s="558"/>
      <c r="N70" s="1157"/>
      <c r="O70" s="1157"/>
      <c r="P70" s="2636"/>
      <c r="Q70" s="560"/>
    </row>
    <row r="71" spans="1:17" s="472" customFormat="1" ht="15.75" thickBot="1">
      <c r="A71" s="554"/>
      <c r="B71" s="544"/>
      <c r="C71" s="561"/>
      <c r="D71" s="537"/>
      <c r="E71" s="537"/>
      <c r="F71" s="537"/>
      <c r="G71" s="537"/>
      <c r="H71" s="537"/>
      <c r="I71" s="537"/>
      <c r="J71" s="537"/>
      <c r="K71" s="537"/>
      <c r="L71" s="537"/>
      <c r="M71" s="538"/>
      <c r="N71" s="1156"/>
      <c r="O71" s="1156"/>
      <c r="P71" s="2636"/>
      <c r="Q71" s="560"/>
    </row>
    <row r="72" spans="1:17" s="472" customFormat="1" ht="15.75" thickTop="1">
      <c r="A72" s="554"/>
      <c r="B72" s="539">
        <f>B13</f>
        <v>111</v>
      </c>
      <c r="C72" s="555"/>
      <c r="D72" s="555"/>
      <c r="E72" s="555"/>
      <c r="F72" s="555"/>
      <c r="G72" s="555"/>
      <c r="H72" s="556"/>
      <c r="I72" s="556"/>
      <c r="J72" s="556"/>
      <c r="K72" s="556"/>
      <c r="L72" s="557"/>
      <c r="M72" s="558"/>
      <c r="N72" s="1157"/>
      <c r="O72" s="1157"/>
      <c r="P72" s="2637"/>
      <c r="Q72" s="562"/>
    </row>
    <row r="73" spans="1:17" s="472" customFormat="1" ht="15.75" thickBot="1">
      <c r="A73" s="554"/>
      <c r="B73" s="544"/>
      <c r="C73" s="561"/>
      <c r="D73" s="537"/>
      <c r="E73" s="537"/>
      <c r="F73" s="537"/>
      <c r="G73" s="561"/>
      <c r="H73" s="563"/>
      <c r="I73" s="563"/>
      <c r="J73" s="563"/>
      <c r="K73" s="563"/>
      <c r="L73" s="563"/>
      <c r="M73" s="564"/>
      <c r="N73" s="1157"/>
      <c r="O73" s="1157"/>
      <c r="P73" s="2636"/>
      <c r="Q73" s="560"/>
    </row>
    <row r="74" spans="1:17" s="472" customFormat="1" ht="15.75" thickTop="1">
      <c r="A74" s="554"/>
      <c r="B74" s="547">
        <f>B14</f>
        <v>111</v>
      </c>
      <c r="C74" s="555"/>
      <c r="D74" s="555"/>
      <c r="E74" s="555"/>
      <c r="F74" s="555"/>
      <c r="G74" s="524"/>
      <c r="H74" s="565"/>
      <c r="I74" s="565"/>
      <c r="J74" s="565"/>
      <c r="K74" s="565"/>
      <c r="L74" s="566"/>
      <c r="M74" s="567"/>
      <c r="N74" s="1157"/>
      <c r="O74" s="1157"/>
      <c r="P74" s="2638"/>
      <c r="Q74" s="560"/>
    </row>
    <row r="75" spans="1:17" s="472" customFormat="1" ht="15.75" thickBot="1">
      <c r="A75" s="569"/>
      <c r="B75" s="570"/>
      <c r="C75" s="571"/>
      <c r="D75" s="571"/>
      <c r="E75" s="571"/>
      <c r="F75" s="571"/>
      <c r="G75" s="571"/>
      <c r="H75" s="572"/>
      <c r="I75" s="572"/>
      <c r="J75" s="572"/>
      <c r="K75" s="572"/>
      <c r="L75" s="572"/>
      <c r="M75" s="573"/>
      <c r="N75" s="1157"/>
      <c r="O75" s="1157"/>
      <c r="P75" s="2636"/>
      <c r="Q75" s="560"/>
    </row>
    <row r="76" spans="1:17">
      <c r="A76" s="528" t="s">
        <v>2555</v>
      </c>
      <c r="B76" s="529" t="s">
        <v>2592</v>
      </c>
      <c r="C76" s="574" t="s">
        <v>2593</v>
      </c>
      <c r="D76" s="574" t="s">
        <v>2594</v>
      </c>
      <c r="E76" s="574" t="s">
        <v>2595</v>
      </c>
      <c r="F76" s="574" t="s">
        <v>2596</v>
      </c>
      <c r="G76" s="574" t="s">
        <v>2597</v>
      </c>
      <c r="H76" s="530"/>
      <c r="I76" s="530"/>
      <c r="J76" s="530"/>
      <c r="K76" s="575"/>
      <c r="L76" s="576"/>
      <c r="M76" s="577"/>
      <c r="N76" s="1155"/>
      <c r="O76" s="1155"/>
      <c r="P76" s="2639"/>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5"/>
      <c r="Q77" s="505"/>
    </row>
    <row r="78" spans="1:17" ht="15.75" thickTop="1">
      <c r="A78" s="535"/>
      <c r="B78" s="539" t="s">
        <v>2598</v>
      </c>
      <c r="C78" s="579" t="s">
        <v>2593</v>
      </c>
      <c r="D78" s="579" t="s">
        <v>2594</v>
      </c>
      <c r="E78" s="579" t="s">
        <v>2595</v>
      </c>
      <c r="F78" s="579" t="s">
        <v>2596</v>
      </c>
      <c r="G78" s="579" t="s">
        <v>2597</v>
      </c>
      <c r="H78" s="540"/>
      <c r="I78" s="540"/>
      <c r="J78" s="540"/>
      <c r="K78" s="541"/>
      <c r="L78" s="542"/>
      <c r="M78" s="543"/>
      <c r="N78" s="1155"/>
      <c r="O78" s="1155"/>
      <c r="P78" s="2635"/>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5"/>
      <c r="Q79" s="505"/>
    </row>
    <row r="80" spans="1:17" ht="15.75" thickTop="1">
      <c r="A80" s="535"/>
      <c r="B80" s="539" t="s">
        <v>2599</v>
      </c>
      <c r="C80" s="579" t="s">
        <v>2593</v>
      </c>
      <c r="D80" s="579" t="s">
        <v>2594</v>
      </c>
      <c r="E80" s="579" t="s">
        <v>2595</v>
      </c>
      <c r="F80" s="579" t="s">
        <v>2596</v>
      </c>
      <c r="G80" s="579" t="s">
        <v>2597</v>
      </c>
      <c r="H80" s="540"/>
      <c r="I80" s="540"/>
      <c r="J80" s="540"/>
      <c r="K80" s="541"/>
      <c r="L80" s="542"/>
      <c r="M80" s="543"/>
      <c r="N80" s="1155"/>
      <c r="O80" s="1155"/>
      <c r="P80" s="2635"/>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5"/>
      <c r="Q81" s="505"/>
    </row>
    <row r="82" spans="1:17" ht="15.75" thickTop="1">
      <c r="A82" s="535"/>
      <c r="B82" s="547" t="s">
        <v>2651</v>
      </c>
      <c r="C82" s="661" t="s">
        <v>2671</v>
      </c>
      <c r="D82" s="661" t="s">
        <v>2672</v>
      </c>
      <c r="E82" s="661" t="s">
        <v>2673</v>
      </c>
      <c r="F82" s="661" t="s">
        <v>2674</v>
      </c>
      <c r="G82" s="661" t="s">
        <v>2675</v>
      </c>
      <c r="H82" s="540"/>
      <c r="I82" s="540"/>
      <c r="J82" s="540"/>
      <c r="K82" s="540"/>
      <c r="L82" s="540"/>
      <c r="M82" s="1385"/>
      <c r="N82" s="1156"/>
      <c r="O82" s="1156"/>
      <c r="P82" s="2635"/>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6"/>
      <c r="O83" s="1156"/>
      <c r="P83" s="2635"/>
      <c r="Q83" s="505"/>
    </row>
    <row r="84" spans="1:17" ht="15.75" thickTop="1">
      <c r="A84" s="535"/>
      <c r="B84" s="539" t="s">
        <v>2605</v>
      </c>
      <c r="C84" s="579" t="s">
        <v>2593</v>
      </c>
      <c r="D84" s="579" t="s">
        <v>2594</v>
      </c>
      <c r="E84" s="579" t="s">
        <v>2595</v>
      </c>
      <c r="F84" s="579" t="s">
        <v>2596</v>
      </c>
      <c r="G84" s="579" t="s">
        <v>2597</v>
      </c>
      <c r="H84" s="540"/>
      <c r="I84" s="540"/>
      <c r="J84" s="540"/>
      <c r="K84" s="541"/>
      <c r="L84" s="542"/>
      <c r="M84" s="543"/>
      <c r="N84" s="1155"/>
      <c r="O84" s="1155"/>
      <c r="P84" s="2635"/>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5"/>
      <c r="Q85" s="505"/>
    </row>
    <row r="86" spans="1:17" s="117" customFormat="1" ht="15.75" thickTop="1">
      <c r="A86" s="580"/>
      <c r="B86" s="539" t="s">
        <v>2676</v>
      </c>
      <c r="C86" s="555"/>
      <c r="D86" s="555"/>
      <c r="E86" s="555"/>
      <c r="F86" s="555"/>
      <c r="G86" s="555"/>
      <c r="H86" s="555"/>
      <c r="I86" s="555"/>
      <c r="J86" s="555"/>
      <c r="K86" s="555"/>
      <c r="L86" s="581"/>
      <c r="M86" s="582"/>
      <c r="N86" s="1154"/>
      <c r="O86" s="1154"/>
      <c r="P86" s="2635"/>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6"/>
      <c r="O87" s="1156"/>
      <c r="P87" s="2635"/>
      <c r="Q87" s="505"/>
    </row>
    <row r="88" spans="1:17" s="117" customFormat="1" ht="15.75" thickTop="1">
      <c r="A88" s="580"/>
      <c r="B88" s="539" t="str">
        <f>B26</f>
        <v>平面位置/可视性</v>
      </c>
      <c r="C88" s="555"/>
      <c r="D88" s="555"/>
      <c r="E88" s="555"/>
      <c r="F88" s="2640"/>
      <c r="G88" s="555"/>
      <c r="H88" s="555"/>
      <c r="I88" s="555"/>
      <c r="J88" s="555"/>
      <c r="K88" s="555"/>
      <c r="L88" s="555"/>
      <c r="M88" s="582"/>
      <c r="N88" s="1154"/>
      <c r="O88" s="1154"/>
      <c r="P88" s="2635"/>
      <c r="Q88" s="505"/>
    </row>
    <row r="89" spans="1:17" s="117" customFormat="1" ht="15.75" thickBot="1">
      <c r="A89" s="580"/>
      <c r="B89" s="544"/>
      <c r="C89" s="561"/>
      <c r="D89" s="537"/>
      <c r="E89" s="537"/>
      <c r="F89" s="537"/>
      <c r="G89" s="537"/>
      <c r="H89" s="537"/>
      <c r="I89" s="537"/>
      <c r="J89" s="537"/>
      <c r="K89" s="537"/>
      <c r="L89" s="537"/>
      <c r="M89" s="537"/>
      <c r="N89" s="1156"/>
      <c r="O89" s="1156"/>
      <c r="P89" s="2635"/>
      <c r="Q89" s="505"/>
    </row>
    <row r="90" spans="1:17" s="472" customFormat="1" ht="15.75" thickTop="1">
      <c r="A90" s="554"/>
      <c r="B90" s="539" t="str">
        <f>B27</f>
        <v>人流量</v>
      </c>
      <c r="C90" s="555"/>
      <c r="D90" s="555"/>
      <c r="E90" s="555"/>
      <c r="F90" s="555"/>
      <c r="G90" s="555"/>
      <c r="H90" s="556"/>
      <c r="I90" s="556"/>
      <c r="J90" s="556"/>
      <c r="K90" s="556"/>
      <c r="L90" s="557"/>
      <c r="M90" s="558"/>
      <c r="N90" s="1157"/>
      <c r="O90" s="1157"/>
      <c r="P90" s="2636"/>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7"/>
      <c r="O91" s="1157"/>
      <c r="P91" s="2636"/>
      <c r="Q91" s="560"/>
    </row>
    <row r="92" spans="1:17" ht="15.75" thickTop="1">
      <c r="A92" s="535"/>
      <c r="B92" s="539" t="str">
        <f>B28</f>
        <v>楼层</v>
      </c>
      <c r="C92" s="555"/>
      <c r="D92" s="555"/>
      <c r="E92" s="555"/>
      <c r="F92" s="555"/>
      <c r="G92" s="555"/>
      <c r="H92" s="555"/>
      <c r="I92" s="555"/>
      <c r="J92" s="555"/>
      <c r="K92" s="555"/>
      <c r="L92" s="581"/>
      <c r="M92" s="582"/>
      <c r="N92" s="1155"/>
      <c r="O92" s="1155"/>
      <c r="P92" s="2635"/>
      <c r="Q92" s="505"/>
    </row>
    <row r="93" spans="1:17" ht="15.75" thickBot="1">
      <c r="A93" s="535"/>
      <c r="B93" s="544"/>
      <c r="C93" s="537"/>
      <c r="D93" s="537"/>
      <c r="E93" s="537"/>
      <c r="F93" s="537"/>
      <c r="G93" s="537"/>
      <c r="H93" s="537"/>
      <c r="I93" s="537"/>
      <c r="J93" s="537"/>
      <c r="K93" s="537"/>
      <c r="L93" s="537"/>
      <c r="M93" s="538"/>
      <c r="N93" s="1156"/>
      <c r="O93" s="1156"/>
      <c r="P93" s="2635"/>
      <c r="Q93" s="505"/>
    </row>
    <row r="94" spans="1:17" ht="15.75" thickTop="1">
      <c r="A94" s="535"/>
      <c r="B94" s="539">
        <f>B29</f>
        <v>111</v>
      </c>
      <c r="C94" s="555"/>
      <c r="D94" s="555"/>
      <c r="E94" s="555"/>
      <c r="F94" s="555"/>
      <c r="G94" s="584"/>
      <c r="H94" s="584"/>
      <c r="I94" s="584"/>
      <c r="J94" s="584"/>
      <c r="K94" s="585"/>
      <c r="L94" s="586"/>
      <c r="M94" s="587"/>
      <c r="N94" s="1155"/>
      <c r="O94" s="1155"/>
      <c r="P94" s="2635"/>
      <c r="Q94" s="505"/>
    </row>
    <row r="95" spans="1:17" ht="15.75" thickBot="1">
      <c r="A95" s="535"/>
      <c r="B95" s="544"/>
      <c r="C95" s="561"/>
      <c r="D95" s="537"/>
      <c r="E95" s="537"/>
      <c r="F95" s="537"/>
      <c r="G95" s="537"/>
      <c r="H95" s="537"/>
      <c r="I95" s="537"/>
      <c r="J95" s="537"/>
      <c r="K95" s="537"/>
      <c r="L95" s="537"/>
      <c r="M95" s="538"/>
      <c r="N95" s="1156"/>
      <c r="O95" s="1156"/>
      <c r="P95" s="2635"/>
      <c r="Q95" s="505"/>
    </row>
    <row r="96" spans="1:17" ht="15.75" thickTop="1">
      <c r="A96" s="535"/>
      <c r="B96" s="539">
        <f>B30</f>
        <v>111</v>
      </c>
      <c r="C96" s="555"/>
      <c r="D96" s="555"/>
      <c r="E96" s="555"/>
      <c r="F96" s="555"/>
      <c r="G96" s="584"/>
      <c r="H96" s="584"/>
      <c r="I96" s="584"/>
      <c r="J96" s="584"/>
      <c r="K96" s="585"/>
      <c r="L96" s="586"/>
      <c r="M96" s="587"/>
      <c r="N96" s="1155"/>
      <c r="O96" s="1155"/>
      <c r="P96" s="2635"/>
      <c r="Q96" s="505"/>
    </row>
    <row r="97" spans="1:17" ht="15.75" thickBot="1">
      <c r="A97" s="535"/>
      <c r="B97" s="544"/>
      <c r="C97" s="561"/>
      <c r="D97" s="537"/>
      <c r="E97" s="537"/>
      <c r="F97" s="537"/>
      <c r="G97" s="537"/>
      <c r="H97" s="537"/>
      <c r="I97" s="537"/>
      <c r="J97" s="537"/>
      <c r="K97" s="537"/>
      <c r="L97" s="537"/>
      <c r="M97" s="538"/>
      <c r="N97" s="1156"/>
      <c r="O97" s="1156"/>
      <c r="P97" s="2635"/>
      <c r="Q97" s="505"/>
    </row>
    <row r="98" spans="1:17" ht="15.75" thickTop="1">
      <c r="A98" s="535"/>
      <c r="B98" s="547">
        <f>B31</f>
        <v>111</v>
      </c>
      <c r="C98" s="555"/>
      <c r="D98" s="555"/>
      <c r="E98" s="555"/>
      <c r="F98" s="555"/>
      <c r="G98" s="588"/>
      <c r="H98" s="588"/>
      <c r="I98" s="588"/>
      <c r="J98" s="588"/>
      <c r="K98" s="589"/>
      <c r="L98" s="590"/>
      <c r="M98" s="591"/>
      <c r="N98" s="1155"/>
      <c r="O98" s="1155"/>
      <c r="P98" s="2635"/>
      <c r="Q98" s="505"/>
    </row>
    <row r="99" spans="1:17" ht="15.75" thickBot="1">
      <c r="A99" s="2641"/>
      <c r="B99" s="570"/>
      <c r="C99" s="571"/>
      <c r="D99" s="571"/>
      <c r="E99" s="571"/>
      <c r="F99" s="571"/>
      <c r="G99" s="592"/>
      <c r="H99" s="592"/>
      <c r="I99" s="592"/>
      <c r="J99" s="592"/>
      <c r="K99" s="592"/>
      <c r="L99" s="592"/>
      <c r="M99" s="593"/>
      <c r="N99" s="1156"/>
      <c r="O99" s="1156"/>
      <c r="P99" s="2635"/>
      <c r="Q99" s="505"/>
    </row>
    <row r="100" spans="1:17">
      <c r="A100" s="528" t="s">
        <v>2559</v>
      </c>
      <c r="B100" s="529" t="s">
        <v>2677</v>
      </c>
      <c r="C100" s="531"/>
      <c r="D100" s="531"/>
      <c r="E100" s="531"/>
      <c r="F100" s="531"/>
      <c r="G100" s="531"/>
      <c r="H100" s="531"/>
      <c r="I100" s="531"/>
      <c r="J100" s="531"/>
      <c r="K100" s="532"/>
      <c r="L100" s="533"/>
      <c r="M100" s="534"/>
      <c r="N100" s="1155"/>
      <c r="O100" s="1155"/>
      <c r="P100" s="2635"/>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6"/>
      <c r="O101" s="1156"/>
      <c r="P101" s="2635"/>
      <c r="Q101" s="505"/>
    </row>
    <row r="102" spans="1:17" ht="15.75" thickTop="1">
      <c r="A102" s="535"/>
      <c r="B102" s="539" t="s">
        <v>2609</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4"/>
      <c r="O102" s="1154"/>
      <c r="P102" s="2635"/>
      <c r="Q102" s="505"/>
    </row>
    <row r="103" spans="1:17" s="472" customFormat="1">
      <c r="A103" s="594"/>
      <c r="B103" s="595"/>
      <c r="C103" s="596"/>
      <c r="D103" s="596"/>
      <c r="E103" s="596"/>
      <c r="F103" s="596"/>
      <c r="G103" s="596"/>
      <c r="H103" s="596"/>
      <c r="I103" s="596"/>
      <c r="J103" s="597"/>
      <c r="K103" s="597"/>
      <c r="L103" s="598"/>
      <c r="M103" s="599"/>
      <c r="N103" s="1157"/>
      <c r="O103" s="1157"/>
      <c r="P103" s="2636"/>
      <c r="Q103" s="560"/>
    </row>
    <row r="104" spans="1:17" s="472" customFormat="1" ht="15.75" thickBot="1">
      <c r="A104" s="554"/>
      <c r="B104" s="544"/>
      <c r="C104" s="561"/>
      <c r="D104" s="537"/>
      <c r="E104" s="537"/>
      <c r="F104" s="537"/>
      <c r="G104" s="537"/>
      <c r="H104" s="537"/>
      <c r="I104" s="537"/>
      <c r="J104" s="537"/>
      <c r="K104" s="537"/>
      <c r="L104" s="537"/>
      <c r="M104" s="538"/>
      <c r="N104" s="1156"/>
      <c r="O104" s="1156"/>
      <c r="P104" s="2636"/>
      <c r="Q104" s="560"/>
    </row>
    <row r="105" spans="1:17" ht="15" thickTop="1">
      <c r="A105" s="600"/>
      <c r="B105" s="539" t="s">
        <v>2610</v>
      </c>
      <c r="C105" s="555"/>
      <c r="D105" s="555"/>
      <c r="E105" s="584"/>
      <c r="F105" s="584"/>
      <c r="G105" s="584"/>
      <c r="H105" s="584"/>
      <c r="I105" s="584"/>
      <c r="J105" s="584"/>
      <c r="K105" s="585"/>
      <c r="L105" s="586"/>
      <c r="M105" s="587"/>
      <c r="N105" s="1155"/>
      <c r="O105" s="1155"/>
      <c r="P105" s="2635"/>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6"/>
      <c r="O106" s="1156"/>
      <c r="P106" s="2635"/>
      <c r="Q106" s="505"/>
    </row>
    <row r="107" spans="1:17" ht="15" thickTop="1">
      <c r="A107" s="600"/>
      <c r="B107" s="539" t="s">
        <v>2612</v>
      </c>
      <c r="C107" s="555"/>
      <c r="D107" s="555"/>
      <c r="E107" s="555"/>
      <c r="F107" s="584"/>
      <c r="G107" s="584"/>
      <c r="H107" s="584"/>
      <c r="I107" s="584"/>
      <c r="J107" s="584"/>
      <c r="K107" s="585"/>
      <c r="L107" s="586"/>
      <c r="M107" s="587"/>
      <c r="N107" s="1155"/>
      <c r="O107" s="1155"/>
      <c r="P107" s="2635"/>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6"/>
      <c r="O108" s="1156"/>
      <c r="P108" s="2635"/>
      <c r="Q108" s="505"/>
    </row>
    <row r="109" spans="1:17" ht="15" thickTop="1">
      <c r="A109" s="600"/>
      <c r="B109" s="539" t="s">
        <v>1994</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5"/>
      <c r="O109" s="1155"/>
      <c r="P109" s="2635"/>
      <c r="Q109" s="505"/>
    </row>
    <row r="110" spans="1:17">
      <c r="A110" s="600"/>
      <c r="B110" s="547"/>
      <c r="C110" s="604">
        <v>0.5</v>
      </c>
      <c r="D110" s="604">
        <v>0.6</v>
      </c>
      <c r="E110" s="604">
        <v>0.7</v>
      </c>
      <c r="F110" s="604">
        <v>0.8</v>
      </c>
      <c r="G110" s="604">
        <v>0.9</v>
      </c>
      <c r="H110" s="604">
        <v>1.0001</v>
      </c>
      <c r="I110" s="624"/>
      <c r="J110" s="624"/>
      <c r="K110" s="625"/>
      <c r="L110" s="626"/>
      <c r="M110" s="627"/>
      <c r="N110" s="1155"/>
      <c r="O110" s="1155"/>
      <c r="P110" s="2635"/>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6"/>
      <c r="O111" s="1156"/>
      <c r="P111" s="2635"/>
      <c r="Q111" s="505"/>
    </row>
    <row r="112" spans="1:17" s="472" customFormat="1" ht="15" thickTop="1">
      <c r="A112" s="594"/>
      <c r="B112" s="539" t="s">
        <v>2614</v>
      </c>
      <c r="C112" s="555"/>
      <c r="D112" s="555"/>
      <c r="E112" s="555"/>
      <c r="F112" s="555"/>
      <c r="G112" s="555"/>
      <c r="H112" s="584"/>
      <c r="I112" s="584"/>
      <c r="J112" s="584"/>
      <c r="K112" s="585"/>
      <c r="L112" s="586"/>
      <c r="M112" s="587"/>
      <c r="N112" s="1157"/>
      <c r="O112" s="1157"/>
      <c r="P112" s="2636"/>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7"/>
      <c r="O113" s="1157"/>
      <c r="P113" s="2636"/>
      <c r="Q113" s="560"/>
    </row>
    <row r="114" spans="1:17" ht="15" thickTop="1">
      <c r="A114" s="600"/>
      <c r="B114" s="539" t="s">
        <v>2678</v>
      </c>
      <c r="C114" s="555"/>
      <c r="D114" s="555"/>
      <c r="E114" s="584"/>
      <c r="F114" s="584"/>
      <c r="G114" s="584"/>
      <c r="H114" s="584"/>
      <c r="I114" s="584"/>
      <c r="J114" s="584"/>
      <c r="K114" s="585"/>
      <c r="L114" s="586"/>
      <c r="M114" s="587"/>
      <c r="N114" s="1155"/>
      <c r="O114" s="1155"/>
      <c r="P114" s="2635"/>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2635"/>
      <c r="Q115" s="505"/>
    </row>
    <row r="116" spans="1:17" ht="15" thickTop="1">
      <c r="A116" s="600"/>
      <c r="B116" s="539" t="s">
        <v>2679</v>
      </c>
      <c r="C116" s="555"/>
      <c r="D116" s="555"/>
      <c r="E116" s="555"/>
      <c r="F116" s="555"/>
      <c r="G116" s="555"/>
      <c r="H116" s="584"/>
      <c r="I116" s="584"/>
      <c r="J116" s="584"/>
      <c r="K116" s="585"/>
      <c r="L116" s="586"/>
      <c r="M116" s="587"/>
      <c r="N116" s="1155"/>
      <c r="O116" s="1155"/>
      <c r="P116" s="2635"/>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5"/>
      <c r="Q117" s="505"/>
    </row>
    <row r="118" spans="1:17" ht="15" thickTop="1">
      <c r="A118" s="600"/>
      <c r="B118" s="539" t="s">
        <v>2680</v>
      </c>
      <c r="C118" s="628"/>
      <c r="D118" s="628"/>
      <c r="E118" s="628"/>
      <c r="F118" s="628"/>
      <c r="G118" s="628"/>
      <c r="H118" s="556"/>
      <c r="I118" s="556"/>
      <c r="J118" s="556"/>
      <c r="K118" s="556"/>
      <c r="L118" s="557"/>
      <c r="M118" s="558"/>
      <c r="N118" s="1155"/>
      <c r="O118" s="1155"/>
      <c r="P118" s="2635"/>
      <c r="Q118" s="505"/>
    </row>
    <row r="119" spans="1:17" ht="15.75" thickBot="1">
      <c r="A119" s="535"/>
      <c r="B119" s="544"/>
      <c r="C119" s="561"/>
      <c r="D119" s="537"/>
      <c r="E119" s="537"/>
      <c r="F119" s="537"/>
      <c r="G119" s="537"/>
      <c r="H119" s="537"/>
      <c r="I119" s="537"/>
      <c r="J119" s="537"/>
      <c r="K119" s="537"/>
      <c r="L119" s="537"/>
      <c r="M119" s="538"/>
      <c r="N119" s="1156"/>
      <c r="O119" s="1156"/>
      <c r="P119" s="2635"/>
      <c r="Q119" s="505"/>
    </row>
    <row r="120" spans="1:17" s="472" customFormat="1" ht="15" thickTop="1">
      <c r="A120" s="594"/>
      <c r="B120" s="539" t="s">
        <v>2681</v>
      </c>
      <c r="C120" s="584"/>
      <c r="D120" s="584"/>
      <c r="E120" s="584"/>
      <c r="F120" s="584"/>
      <c r="G120" s="556"/>
      <c r="H120" s="556"/>
      <c r="I120" s="556"/>
      <c r="J120" s="556"/>
      <c r="K120" s="556"/>
      <c r="L120" s="557"/>
      <c r="M120" s="558"/>
      <c r="N120" s="1157"/>
      <c r="O120" s="1157"/>
      <c r="P120" s="2636"/>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7"/>
      <c r="O121" s="1157"/>
      <c r="P121" s="2636"/>
      <c r="Q121" s="560"/>
    </row>
    <row r="122" spans="1:17" ht="15" thickTop="1">
      <c r="A122" s="600"/>
      <c r="B122" s="539" t="s">
        <v>2616</v>
      </c>
      <c r="C122" s="555"/>
      <c r="D122" s="555"/>
      <c r="E122" s="555"/>
      <c r="F122" s="584"/>
      <c r="G122" s="584"/>
      <c r="H122" s="584"/>
      <c r="I122" s="584"/>
      <c r="J122" s="584"/>
      <c r="K122" s="585"/>
      <c r="L122" s="586"/>
      <c r="M122" s="587"/>
      <c r="N122" s="1155"/>
      <c r="O122" s="1155"/>
      <c r="P122" s="2635"/>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6"/>
      <c r="O123" s="1156"/>
      <c r="P123" s="2635"/>
      <c r="Q123" s="505"/>
    </row>
    <row r="124" spans="1:17" ht="15" thickTop="1">
      <c r="A124" s="600"/>
      <c r="B124" s="539" t="s">
        <v>2617</v>
      </c>
      <c r="C124" s="579" t="s">
        <v>2593</v>
      </c>
      <c r="D124" s="579" t="s">
        <v>2594</v>
      </c>
      <c r="E124" s="579" t="s">
        <v>2595</v>
      </c>
      <c r="F124" s="579" t="s">
        <v>2596</v>
      </c>
      <c r="G124" s="579" t="s">
        <v>2597</v>
      </c>
      <c r="H124" s="540"/>
      <c r="I124" s="540"/>
      <c r="J124" s="540"/>
      <c r="K124" s="541"/>
      <c r="L124" s="542"/>
      <c r="M124" s="543"/>
      <c r="N124" s="1155"/>
      <c r="O124" s="1155"/>
      <c r="P124" s="2636"/>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5"/>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6"/>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6"/>
      <c r="Q127" s="560"/>
    </row>
    <row r="128" spans="1:17" ht="15" thickTop="1">
      <c r="A128" s="600"/>
      <c r="B128" s="539">
        <f>B45</f>
        <v>111</v>
      </c>
      <c r="C128" s="555"/>
      <c r="D128" s="555"/>
      <c r="E128" s="555"/>
      <c r="F128" s="555"/>
      <c r="G128" s="584"/>
      <c r="H128" s="584"/>
      <c r="I128" s="584"/>
      <c r="J128" s="584"/>
      <c r="K128" s="585"/>
      <c r="L128" s="586"/>
      <c r="M128" s="587"/>
      <c r="N128" s="1155"/>
      <c r="O128" s="1155"/>
      <c r="P128" s="2635"/>
      <c r="Q128" s="505"/>
    </row>
    <row r="129" spans="1:17" ht="15.75" thickBot="1">
      <c r="A129" s="535"/>
      <c r="B129" s="544"/>
      <c r="C129" s="561"/>
      <c r="D129" s="537"/>
      <c r="E129" s="537"/>
      <c r="F129" s="537"/>
      <c r="G129" s="537"/>
      <c r="H129" s="537"/>
      <c r="I129" s="537"/>
      <c r="J129" s="537"/>
      <c r="K129" s="537"/>
      <c r="L129" s="537"/>
      <c r="M129" s="538"/>
      <c r="N129" s="1156"/>
      <c r="O129" s="1156"/>
      <c r="P129" s="2635"/>
      <c r="Q129" s="505"/>
    </row>
    <row r="130" spans="1:17" ht="15" thickTop="1">
      <c r="A130" s="600"/>
      <c r="B130" s="547">
        <f>B46</f>
        <v>111</v>
      </c>
      <c r="C130" s="555"/>
      <c r="D130" s="555"/>
      <c r="E130" s="555"/>
      <c r="F130" s="555"/>
      <c r="G130" s="588"/>
      <c r="H130" s="588"/>
      <c r="I130" s="588"/>
      <c r="J130" s="588"/>
      <c r="K130" s="524"/>
      <c r="L130" s="525"/>
      <c r="M130" s="591"/>
      <c r="N130" s="1155"/>
      <c r="O130" s="1155"/>
      <c r="P130" s="2635"/>
      <c r="Q130" s="505"/>
    </row>
    <row r="131" spans="1:17" ht="15.75" thickBot="1">
      <c r="A131" s="2641"/>
      <c r="B131" s="570"/>
      <c r="C131" s="571"/>
      <c r="D131" s="571"/>
      <c r="E131" s="571"/>
      <c r="F131" s="571"/>
      <c r="G131" s="592"/>
      <c r="H131" s="592"/>
      <c r="I131" s="592"/>
      <c r="J131" s="592"/>
      <c r="K131" s="592"/>
      <c r="L131" s="592"/>
      <c r="M131" s="593"/>
      <c r="N131" s="1156"/>
      <c r="O131" s="1156"/>
      <c r="P131" s="2635"/>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北京世纪正源房地产开发有限公司：</v>
      </c>
    </row>
    <row r="4" spans="1:1" ht="36">
      <c r="A4" s="1952" t="str">
        <f>"受贵公司委托，我公司对"&amp;项目基本情况!S1&amp;"进行了预评估。"</f>
        <v>受贵公司委托，我公司对北京市北京市海淀区白家疃尚峰园3号楼101号等17套房地产抵押价值进行了预评估。</v>
      </c>
    </row>
    <row r="5" spans="1:1" ht="18.75">
      <c r="A5" s="1953" t="s">
        <v>1614</v>
      </c>
    </row>
    <row r="6" spans="1:1" ht="18.75">
      <c r="A6" s="1954" t="s">
        <v>1615</v>
      </c>
    </row>
    <row r="7" spans="1:1" ht="54">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估价对象为北京市北京市海淀区白家疃尚峰园3号楼101号等17套房地产，为北京世纪正源房地产开发有限公司所有。根据，估价对象（分摊）出让国有建设用地使用权面积为0平方米，建筑面积为2300.98平方米。</v>
      </c>
    </row>
    <row r="8" spans="1:1" ht="57.75">
      <c r="A8" s="1955" t="s">
        <v>1616</v>
      </c>
    </row>
    <row r="9" spans="1:1" ht="18.75">
      <c r="A9" s="1954" t="s">
        <v>1617</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白家疃尚峰园3号楼101号等17套房地产,属北京世纪正源房地产开发有限公司开发建设的办公项目，该项目尚在开发建设中。根据，估价对象（分摊）出让国有建设用地使用权面积为0平方米，规划建筑面积为2300.98平方米。</v>
      </c>
    </row>
    <row r="11" spans="1:1" ht="76.5">
      <c r="A11" s="1955" t="s">
        <v>1618</v>
      </c>
    </row>
    <row r="12" spans="1:1" ht="18.75">
      <c r="A12" s="1953" t="s">
        <v>1619</v>
      </c>
    </row>
    <row r="13" spans="1:1" ht="38.25" customHeight="1">
      <c r="A13" s="1956" t="str">
        <f>IF(项目基本情况!B8="抵押",IF(项目基本情况!B5=项目基本情况!B6,定义!C51,定义!B51),定义!D51)</f>
        <v>为估价委托人在向民生银行股份有限公司北京市分行办理贷款手续过程中，确定房地产抵押贷款额度提供参考依据而评估房地产抵押价值。</v>
      </c>
    </row>
    <row r="14" spans="1:1" ht="18.75">
      <c r="A14" s="1957" t="s">
        <v>1620</v>
      </c>
    </row>
    <row r="15" spans="1:1" ht="18">
      <c r="A15" s="1958" t="str">
        <f>TEXT(项目基本情况!D3,"yyyy年m月d日;;")&amp;IF(项目基本情况!D3=项目基本情况!B3,"（评估专业人员实地查勘之日）","")</f>
        <v>2017年11月1日</v>
      </c>
    </row>
    <row r="16" spans="1:1" ht="18.75">
      <c r="A16" s="1957" t="s">
        <v>1621</v>
      </c>
    </row>
    <row r="17" spans="1:1" ht="75">
      <c r="A17" s="1952" t="s">
        <v>1622</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日，估价对象规划用途为办公，土地取得方式为出让，出让国有建设用地使用权剩余土地使用年限为办公38.68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燃气）、红线内场地平整条件下，剩余土地使用年限为办公38.68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2" t="str">
        <f>IF(项目基本情况!B9="房地产市场价值","——",IF(项目基本情况!E9="——","",定义!C57))</f>
        <v/>
      </c>
    </row>
    <row r="23" spans="1:1" ht="18.75">
      <c r="A23" s="1957" t="s">
        <v>1611</v>
      </c>
    </row>
    <row r="24" spans="1:1" ht="18">
      <c r="A24" s="1959" t="str">
        <f>"本次评估采用的主估价方法为"&amp;结果表!K4&amp;"和"&amp;结果表!L4&amp;"。"</f>
        <v>本次评估采用的主估价方法为基准地价系数修正法和收益法。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2524</v>
      </c>
      <c r="B1" s="2674" t="s">
        <v>2698</v>
      </c>
      <c r="C1" s="1624" t="s">
        <v>2526</v>
      </c>
      <c r="D1" s="1625"/>
      <c r="E1" s="1634"/>
      <c r="F1" s="2589"/>
      <c r="G1" s="1635" t="s">
        <v>2639</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2323</v>
      </c>
      <c r="B2" s="1421" t="e">
        <f ca="1">IF(C2="——",ROUND(C43*D3/10000,0),ROUND(C43*D3/10000,0)-D2)</f>
        <v>#DIV/0!</v>
      </c>
      <c r="C2" s="2591"/>
      <c r="D2" s="1127" t="e">
        <f ca="1">SUMIF(INDIRECT("'"&amp;F2&amp;"'"&amp;"!A:A"),"承租人权益价值",INDIRECT("'"&amp;F2&amp;"'"&amp;"!c:c"))</f>
        <v>#REF!</v>
      </c>
      <c r="E2" s="2592" t="s">
        <v>2324</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9" customFormat="1" ht="28.5" customHeight="1" thickBot="1">
      <c r="A3" s="248" t="s">
        <v>2325</v>
      </c>
      <c r="B3" s="610" t="e">
        <f ca="1">IF(C2="——",C43,ROUND(B2*10000/D3,0))</f>
        <v>#DIV/0!</v>
      </c>
      <c r="C3" s="401" t="s">
        <v>2640</v>
      </c>
      <c r="D3" s="400">
        <f>IF(D1="",'数据-汇总表'!E3,SUMIF('数据-汇总表'!$C19:$C33,D1,'数据-汇总表'!$E19:$E33))</f>
        <v>2300.98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2641</v>
      </c>
      <c r="B4" s="403"/>
      <c r="C4" s="3157" t="s">
        <v>2642</v>
      </c>
      <c r="D4" s="3158"/>
      <c r="E4" s="3159" t="s">
        <v>2643</v>
      </c>
      <c r="F4" s="3160"/>
      <c r="G4" s="3157" t="s">
        <v>2644</v>
      </c>
      <c r="H4" s="3158"/>
      <c r="I4" s="3157" t="s">
        <v>2645</v>
      </c>
      <c r="J4" s="3158"/>
      <c r="K4" s="611" t="s">
        <v>2646</v>
      </c>
      <c r="L4" s="1133"/>
      <c r="M4" s="1134"/>
      <c r="N4" s="1134"/>
      <c r="O4" s="1134"/>
      <c r="P4" s="3227" t="s">
        <v>2647</v>
      </c>
      <c r="Q4" s="3228"/>
      <c r="R4" s="3219" t="s">
        <v>2643</v>
      </c>
      <c r="S4" s="3220"/>
      <c r="T4" s="3219" t="s">
        <v>2644</v>
      </c>
      <c r="U4" s="3220"/>
      <c r="V4" s="3170" t="s">
        <v>2645</v>
      </c>
      <c r="W4" s="3170"/>
      <c r="X4" s="1817"/>
      <c r="Y4" s="3219" t="s">
        <v>2647</v>
      </c>
      <c r="Z4" s="3220"/>
      <c r="AA4" s="3218" t="s">
        <v>2643</v>
      </c>
      <c r="AB4" s="3141" t="s">
        <v>2644</v>
      </c>
      <c r="AC4" s="3218" t="s">
        <v>2645</v>
      </c>
    </row>
    <row r="5" spans="1:29" ht="15">
      <c r="A5" s="405"/>
      <c r="B5" s="406"/>
      <c r="C5" s="3222" t="s">
        <v>2538</v>
      </c>
      <c r="D5" s="3223"/>
      <c r="E5" s="3221" t="s">
        <v>2539</v>
      </c>
      <c r="F5" s="3150"/>
      <c r="G5" s="3222" t="s">
        <v>2540</v>
      </c>
      <c r="H5" s="3223"/>
      <c r="I5" s="3222" t="s">
        <v>2541</v>
      </c>
      <c r="J5" s="3223"/>
      <c r="K5" s="611"/>
      <c r="L5" s="1133"/>
      <c r="M5" s="1134"/>
      <c r="N5" s="1134"/>
      <c r="O5" s="1134"/>
      <c r="P5" s="3229"/>
      <c r="Q5" s="3164"/>
      <c r="R5" s="3147"/>
      <c r="S5" s="3148"/>
      <c r="T5" s="3147"/>
      <c r="U5" s="3148"/>
      <c r="V5" s="3170"/>
      <c r="W5" s="3170"/>
      <c r="X5" s="1817"/>
      <c r="Y5" s="3147"/>
      <c r="Z5" s="3148"/>
      <c r="AA5" s="3141"/>
      <c r="AB5" s="3141"/>
      <c r="AC5" s="3141"/>
    </row>
    <row r="6" spans="1:29" ht="15.75" thickBot="1">
      <c r="A6" s="407"/>
      <c r="B6" s="408"/>
      <c r="C6" s="3224" t="s">
        <v>2542</v>
      </c>
      <c r="D6" s="3225"/>
      <c r="E6" s="3226" t="s">
        <v>2542</v>
      </c>
      <c r="F6" s="3152"/>
      <c r="G6" s="3224" t="s">
        <v>2542</v>
      </c>
      <c r="H6" s="3225"/>
      <c r="I6" s="3224" t="s">
        <v>2542</v>
      </c>
      <c r="J6" s="3225"/>
      <c r="K6" s="611" t="s">
        <v>2543</v>
      </c>
      <c r="L6" s="1133"/>
      <c r="M6" s="1134"/>
      <c r="N6" s="1134"/>
      <c r="O6" s="1134"/>
      <c r="P6" s="3230"/>
      <c r="Q6" s="3166"/>
      <c r="R6" s="3147"/>
      <c r="S6" s="3148"/>
      <c r="T6" s="3167"/>
      <c r="U6" s="3168"/>
      <c r="V6" s="3170"/>
      <c r="W6" s="3170"/>
      <c r="X6" s="1817"/>
      <c r="Y6" s="3167"/>
      <c r="Z6" s="3168"/>
      <c r="AA6" s="3142"/>
      <c r="AB6" s="3142"/>
      <c r="AC6" s="3142"/>
    </row>
    <row r="7" spans="1:29" s="117" customFormat="1" ht="15.75" thickBot="1">
      <c r="A7" s="409" t="s">
        <v>2544</v>
      </c>
      <c r="B7" s="410"/>
      <c r="C7" s="411">
        <f>'数据-取费表'!B2</f>
        <v>43040</v>
      </c>
      <c r="D7" s="412">
        <v>100</v>
      </c>
      <c r="E7" s="413"/>
      <c r="F7" s="414">
        <f>SUMIF(52:52,YEAR(E7)&amp;"-"&amp;MONTH(E7),53:53)</f>
        <v>0</v>
      </c>
      <c r="G7" s="413"/>
      <c r="H7" s="412">
        <f>SUMIF(52:52,YEAR(G7)&amp;"-"&amp;MONTH(G7),53:53)</f>
        <v>0</v>
      </c>
      <c r="I7" s="413"/>
      <c r="J7" s="412">
        <f>SUMIF(52:52,YEAR(I7)&amp;"-"&amp;MONTH(I7),53:53)</f>
        <v>0</v>
      </c>
      <c r="K7" s="612"/>
      <c r="L7" s="1135"/>
      <c r="M7" s="1136"/>
      <c r="N7" s="1136"/>
      <c r="O7" s="1136"/>
      <c r="P7" s="3143" t="s">
        <v>2545</v>
      </c>
      <c r="Q7" s="3172"/>
      <c r="R7" s="770" t="s">
        <v>17</v>
      </c>
      <c r="S7" s="771">
        <f t="shared" ref="S7:S15" si="0">F7</f>
        <v>0</v>
      </c>
      <c r="T7" s="770" t="s">
        <v>17</v>
      </c>
      <c r="U7" s="771">
        <f t="shared" ref="U7:U15" si="1">H7</f>
        <v>0</v>
      </c>
      <c r="V7" s="770" t="s">
        <v>17</v>
      </c>
      <c r="W7" s="771">
        <f t="shared" ref="W7:W15" si="2">J7</f>
        <v>0</v>
      </c>
      <c r="X7" s="772"/>
      <c r="Y7" s="3143" t="s">
        <v>2545</v>
      </c>
      <c r="Z7" s="3144"/>
      <c r="AA7" s="773" t="e">
        <f>D7/F7</f>
        <v>#DIV/0!</v>
      </c>
      <c r="AB7" s="773" t="e">
        <f>D7/H7</f>
        <v>#DIV/0!</v>
      </c>
      <c r="AC7" s="773" t="e">
        <f>D7/J7</f>
        <v>#DIV/0!</v>
      </c>
    </row>
    <row r="8" spans="1:29" s="117" customFormat="1" ht="15.75" thickBot="1">
      <c r="A8" s="409" t="s">
        <v>2546</v>
      </c>
      <c r="B8" s="410"/>
      <c r="C8" s="415" t="s">
        <v>2547</v>
      </c>
      <c r="D8" s="412">
        <v>100</v>
      </c>
      <c r="E8" s="415"/>
      <c r="F8" s="414">
        <f>SUMIF(55:55,E8,56:56)-SUMIF(55:55,C8,56:56)+100</f>
        <v>0</v>
      </c>
      <c r="G8" s="415"/>
      <c r="H8" s="412">
        <f>SUMIF(55:55,G8,56:56)-SUMIF(55:55,C8,56:56)+100</f>
        <v>0</v>
      </c>
      <c r="I8" s="415"/>
      <c r="J8" s="412">
        <f>SUMIF(55:55,I8,56:56)-SUMIF(55:55,C8,56:56)+100</f>
        <v>0</v>
      </c>
      <c r="K8" s="612"/>
      <c r="L8" s="1135"/>
      <c r="M8" s="1136"/>
      <c r="N8" s="1136"/>
      <c r="O8" s="1136"/>
      <c r="P8" s="3143" t="s">
        <v>2548</v>
      </c>
      <c r="Q8" s="3144"/>
      <c r="R8" s="770" t="s">
        <v>17</v>
      </c>
      <c r="S8" s="771">
        <f t="shared" si="0"/>
        <v>0</v>
      </c>
      <c r="T8" s="770" t="s">
        <v>17</v>
      </c>
      <c r="U8" s="771">
        <f t="shared" si="1"/>
        <v>0</v>
      </c>
      <c r="V8" s="770" t="s">
        <v>17</v>
      </c>
      <c r="W8" s="771">
        <f t="shared" si="2"/>
        <v>0</v>
      </c>
      <c r="X8" s="772"/>
      <c r="Y8" s="3143" t="s">
        <v>2548</v>
      </c>
      <c r="Z8" s="3144"/>
      <c r="AA8" s="773" t="e">
        <f t="shared" ref="AA8:AA40" si="3">D8/F8</f>
        <v>#DIV/0!</v>
      </c>
      <c r="AB8" s="773" t="e">
        <f t="shared" ref="AB8:AB40" si="4">D8/H8</f>
        <v>#DIV/0!</v>
      </c>
      <c r="AC8" s="773" t="e">
        <f t="shared" ref="AC8:AC40" si="5">D8/J8</f>
        <v>#DIV/0!</v>
      </c>
    </row>
    <row r="9" spans="1:29" s="117" customFormat="1">
      <c r="A9" s="416" t="s">
        <v>2549</v>
      </c>
      <c r="B9" s="71" t="s">
        <v>2550</v>
      </c>
      <c r="C9" s="417"/>
      <c r="D9" s="135">
        <v>100</v>
      </c>
      <c r="E9" s="420"/>
      <c r="F9" s="135">
        <f>SUMIF(57:57,E9,58:58)-SUMIF(57:57,C9,58:58)+100</f>
        <v>100</v>
      </c>
      <c r="G9" s="418"/>
      <c r="H9" s="135">
        <f>SUMIF(57:57,G9,58:58)-SUMIF(57:57,C9,58:58)+100</f>
        <v>100</v>
      </c>
      <c r="I9" s="418"/>
      <c r="J9" s="135">
        <f>SUMIF(57:57,I9,58:58)-SUMIF(57:57,C9,58:58)+100</f>
        <v>100</v>
      </c>
      <c r="K9" s="612"/>
      <c r="L9" s="1135"/>
      <c r="M9" s="1136"/>
      <c r="N9" s="1136"/>
      <c r="O9" s="1137"/>
      <c r="P9" s="3182" t="s">
        <v>2551</v>
      </c>
      <c r="Q9" s="1799" t="str">
        <f t="shared" ref="Q9:Q15" si="6">B9</f>
        <v>用途</v>
      </c>
      <c r="R9" s="770" t="s">
        <v>17</v>
      </c>
      <c r="S9" s="771">
        <f t="shared" si="0"/>
        <v>100</v>
      </c>
      <c r="T9" s="770" t="s">
        <v>17</v>
      </c>
      <c r="U9" s="771">
        <f t="shared" si="1"/>
        <v>100</v>
      </c>
      <c r="V9" s="770" t="s">
        <v>17</v>
      </c>
      <c r="W9" s="771">
        <f t="shared" si="2"/>
        <v>100</v>
      </c>
      <c r="X9" s="772"/>
      <c r="Y9" s="3017" t="s">
        <v>2552</v>
      </c>
      <c r="Z9" s="55" t="str">
        <f t="shared" ref="Z9:Z15" si="7">Q9</f>
        <v>用途</v>
      </c>
      <c r="AA9" s="773">
        <f t="shared" si="3"/>
        <v>1</v>
      </c>
      <c r="AB9" s="773">
        <f t="shared" si="4"/>
        <v>1</v>
      </c>
      <c r="AC9" s="773">
        <f t="shared" si="5"/>
        <v>1</v>
      </c>
    </row>
    <row r="10" spans="1:29" s="428" customFormat="1" ht="27">
      <c r="A10" s="422"/>
      <c r="B10" s="423" t="s">
        <v>2553</v>
      </c>
      <c r="C10" s="424"/>
      <c r="D10" s="136">
        <v>100</v>
      </c>
      <c r="E10" s="424"/>
      <c r="F10" s="136">
        <f>SUMIF(59:59,E10,60:60)-SUMIF(59:59,C10,60:60)+100</f>
        <v>100</v>
      </c>
      <c r="G10" s="425"/>
      <c r="H10" s="136">
        <f>SUMIF(59:59,G10,60:60)-SUMIF(59:59,C10,60:60)+100</f>
        <v>100</v>
      </c>
      <c r="I10" s="424"/>
      <c r="J10" s="136">
        <f>SUMIF(59:59,I10,60:60)-SUMIF(59:59,C10,60:60)+100</f>
        <v>100</v>
      </c>
      <c r="K10" s="613"/>
      <c r="L10" s="1138"/>
      <c r="M10" s="1139"/>
      <c r="N10" s="1139"/>
      <c r="O10" s="1140"/>
      <c r="P10" s="3182"/>
      <c r="Q10" s="1799"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9"/>
      <c r="B11" s="423" t="s">
        <v>2554</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1"/>
      <c r="M11" s="1134"/>
      <c r="N11" s="1134"/>
      <c r="O11" s="1142"/>
      <c r="P11" s="3182"/>
      <c r="Q11" s="1799"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2"/>
      <c r="B12" s="2605">
        <v>111</v>
      </c>
      <c r="C12" s="433"/>
      <c r="D12" s="434">
        <v>100</v>
      </c>
      <c r="E12" s="435"/>
      <c r="F12" s="136">
        <f>SUMIF(64:64,E12,65:65)-SUMIF(64:64,C12,65:65)+100</f>
        <v>100</v>
      </c>
      <c r="G12" s="2697"/>
      <c r="H12" s="136">
        <f>SUMIF(64:64,G12,65:65)-SUMIF(64:64,C12,65:65)+100</f>
        <v>100</v>
      </c>
      <c r="I12" s="470"/>
      <c r="J12" s="136">
        <f>SUMIF(64:64,I12,65:65)-SUMIF(64:64,C12,65:65)+100</f>
        <v>100</v>
      </c>
      <c r="K12" s="614"/>
      <c r="L12" s="1135"/>
      <c r="M12" s="1136"/>
      <c r="N12" s="1136"/>
      <c r="O12" s="1137"/>
      <c r="P12" s="3182"/>
      <c r="Q12" s="1799">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9"/>
      <c r="B13" s="2605">
        <v>111</v>
      </c>
      <c r="C13" s="435"/>
      <c r="D13" s="436">
        <v>100</v>
      </c>
      <c r="E13" s="435"/>
      <c r="F13" s="136">
        <f>SUMIF(66:66,E13,67:67)-SUMIF(66:66,C13,67:67)+100</f>
        <v>100</v>
      </c>
      <c r="G13" s="2697"/>
      <c r="H13" s="436">
        <f>SUMIF(66:66,G13,67:67)-SUMIF(66:66,C13,67:67)+100</f>
        <v>100</v>
      </c>
      <c r="I13" s="470"/>
      <c r="J13" s="436">
        <f>SUMIF(66:66,I13,67:67)-SUMIF(66:66,C13,67:67)+100</f>
        <v>100</v>
      </c>
      <c r="K13" s="614"/>
      <c r="L13" s="1143"/>
      <c r="M13" s="1134"/>
      <c r="N13" s="1134"/>
      <c r="O13" s="1142"/>
      <c r="P13" s="3182"/>
      <c r="Q13" s="1799">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7"/>
      <c r="B14" s="2607">
        <v>111</v>
      </c>
      <c r="C14" s="438"/>
      <c r="D14" s="439">
        <v>100</v>
      </c>
      <c r="E14" s="438"/>
      <c r="F14" s="439">
        <f>SUMIF(68:68,E14,69:69)-SUMIF(68:68,C14,69:69)+100</f>
        <v>100</v>
      </c>
      <c r="G14" s="2697"/>
      <c r="H14" s="439">
        <f>SUMIF(68:68,G14,69:69)-SUMIF(68:68,C14,69:69)+100</f>
        <v>100</v>
      </c>
      <c r="I14" s="470"/>
      <c r="J14" s="439">
        <f>SUMIF(68:68,I14,69:69)-SUMIF(68:68,C14,69:69)+100</f>
        <v>100</v>
      </c>
      <c r="K14" s="614"/>
      <c r="L14" s="1143"/>
      <c r="M14" s="1134"/>
      <c r="N14" s="1134"/>
      <c r="O14" s="1142"/>
      <c r="P14" s="3182"/>
      <c r="Q14" s="1799">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1" t="s">
        <v>2555</v>
      </c>
      <c r="B15" s="69" t="s">
        <v>2699</v>
      </c>
      <c r="C15" s="2698"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3"/>
      <c r="M15" s="1134"/>
      <c r="N15" s="1134"/>
      <c r="O15" s="1142"/>
      <c r="P15" s="3175" t="s">
        <v>2556</v>
      </c>
      <c r="Q15" s="1814" t="str">
        <f t="shared" si="6"/>
        <v>产业集聚程度</v>
      </c>
      <c r="R15" s="774" t="s">
        <v>17</v>
      </c>
      <c r="S15" s="775">
        <f t="shared" si="0"/>
        <v>100</v>
      </c>
      <c r="T15" s="774" t="s">
        <v>17</v>
      </c>
      <c r="U15" s="775">
        <f t="shared" si="1"/>
        <v>100</v>
      </c>
      <c r="V15" s="774" t="s">
        <v>17</v>
      </c>
      <c r="W15" s="775">
        <f t="shared" si="2"/>
        <v>100</v>
      </c>
      <c r="X15" s="1817"/>
      <c r="Y15" s="3175" t="s">
        <v>2556</v>
      </c>
      <c r="Z15" s="1818" t="str">
        <f t="shared" si="7"/>
        <v>产业集聚程度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42"/>
      <c r="P16" s="3176"/>
      <c r="Q16" s="1814"/>
      <c r="R16" s="774"/>
      <c r="S16" s="775"/>
      <c r="T16" s="774"/>
      <c r="U16" s="775"/>
      <c r="V16" s="774"/>
      <c r="W16" s="775"/>
      <c r="X16" s="1817"/>
      <c r="Y16" s="3176"/>
      <c r="Z16" s="1818"/>
      <c r="AA16" s="1815">
        <v>1</v>
      </c>
      <c r="AB16" s="1815">
        <v>1</v>
      </c>
      <c r="AC16" s="1815">
        <v>1</v>
      </c>
    </row>
    <row r="17" spans="1:29" ht="85.5">
      <c r="A17" s="429"/>
      <c r="B17" s="452" t="s">
        <v>2093</v>
      </c>
      <c r="C17" s="2612"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3"/>
      <c r="M17" s="1134"/>
      <c r="N17" s="1134"/>
      <c r="O17" s="1142"/>
      <c r="P17" s="3176"/>
      <c r="Q17" s="1814" t="str">
        <f>B17</f>
        <v>交通便捷度</v>
      </c>
      <c r="R17" s="774" t="s">
        <v>17</v>
      </c>
      <c r="S17" s="775">
        <f>F17</f>
        <v>100</v>
      </c>
      <c r="T17" s="774" t="s">
        <v>17</v>
      </c>
      <c r="U17" s="775">
        <f>H17</f>
        <v>100</v>
      </c>
      <c r="V17" s="774" t="s">
        <v>17</v>
      </c>
      <c r="W17" s="775">
        <f>J17</f>
        <v>100</v>
      </c>
      <c r="X17" s="1817"/>
      <c r="Y17" s="3176"/>
      <c r="Z17" s="1818" t="str">
        <f>Q17</f>
        <v>交通便捷度</v>
      </c>
      <c r="AA17" s="1815">
        <f t="shared" si="3"/>
        <v>1</v>
      </c>
      <c r="AB17" s="1815">
        <f t="shared" si="4"/>
        <v>1</v>
      </c>
      <c r="AC17" s="1815">
        <f t="shared" si="5"/>
        <v>1</v>
      </c>
    </row>
    <row r="18" spans="1:29" ht="15">
      <c r="A18" s="429"/>
      <c r="B18" s="457"/>
      <c r="C18" s="2613"/>
      <c r="D18" s="451"/>
      <c r="E18" s="2615"/>
      <c r="F18" s="454"/>
      <c r="G18" s="2614"/>
      <c r="H18" s="449"/>
      <c r="I18" s="2615"/>
      <c r="J18" s="449"/>
      <c r="K18" s="616"/>
      <c r="L18" s="1143"/>
      <c r="M18" s="1134"/>
      <c r="N18" s="1134"/>
      <c r="O18" s="1142"/>
      <c r="P18" s="3176"/>
      <c r="Q18" s="1814"/>
      <c r="R18" s="774"/>
      <c r="S18" s="775"/>
      <c r="T18" s="774"/>
      <c r="U18" s="775"/>
      <c r="V18" s="774"/>
      <c r="W18" s="775"/>
      <c r="X18" s="1817"/>
      <c r="Y18" s="3176"/>
      <c r="Z18" s="1818"/>
      <c r="AA18" s="1815">
        <v>1</v>
      </c>
      <c r="AB18" s="1815">
        <v>1</v>
      </c>
      <c r="AC18" s="1815">
        <v>1</v>
      </c>
    </row>
    <row r="19" spans="1:29" ht="42.75">
      <c r="A19" s="429"/>
      <c r="B19" s="452" t="s">
        <v>2684</v>
      </c>
      <c r="C19" s="2612"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3"/>
      <c r="M19" s="1134"/>
      <c r="N19" s="1134"/>
      <c r="O19" s="1142"/>
      <c r="P19" s="3176"/>
      <c r="Q19" s="1814" t="str">
        <f>B19</f>
        <v>公共配套设施</v>
      </c>
      <c r="R19" s="774" t="s">
        <v>17</v>
      </c>
      <c r="S19" s="775">
        <f>F19</f>
        <v>100</v>
      </c>
      <c r="T19" s="774" t="s">
        <v>17</v>
      </c>
      <c r="U19" s="775">
        <f>H19</f>
        <v>100</v>
      </c>
      <c r="V19" s="774" t="s">
        <v>17</v>
      </c>
      <c r="W19" s="775">
        <f>J19</f>
        <v>100</v>
      </c>
      <c r="X19" s="1817"/>
      <c r="Y19" s="3176"/>
      <c r="Z19" s="1818" t="str">
        <f>Q19</f>
        <v>公共配套设施</v>
      </c>
      <c r="AA19" s="1815">
        <f t="shared" si="3"/>
        <v>1</v>
      </c>
      <c r="AB19" s="1815">
        <f t="shared" si="4"/>
        <v>1</v>
      </c>
      <c r="AC19" s="1815">
        <f t="shared" si="5"/>
        <v>1</v>
      </c>
    </row>
    <row r="20" spans="1:29" ht="15">
      <c r="A20" s="429"/>
      <c r="B20" s="457"/>
      <c r="C20" s="448"/>
      <c r="D20" s="449"/>
      <c r="E20" s="2610"/>
      <c r="F20" s="450"/>
      <c r="G20" s="2609"/>
      <c r="H20" s="449"/>
      <c r="I20" s="2610"/>
      <c r="J20" s="449"/>
      <c r="K20" s="616"/>
      <c r="L20" s="1143"/>
      <c r="M20" s="1134"/>
      <c r="N20" s="1134"/>
      <c r="O20" s="1142"/>
      <c r="P20" s="3176"/>
      <c r="Q20" s="1814"/>
      <c r="R20" s="774"/>
      <c r="S20" s="775"/>
      <c r="T20" s="774"/>
      <c r="U20" s="775"/>
      <c r="V20" s="774"/>
      <c r="W20" s="775"/>
      <c r="X20" s="1817"/>
      <c r="Y20" s="3176"/>
      <c r="Z20" s="1818"/>
      <c r="AA20" s="1815">
        <v>1</v>
      </c>
      <c r="AB20" s="1815">
        <v>1</v>
      </c>
      <c r="AC20" s="1815">
        <v>1</v>
      </c>
    </row>
    <row r="21" spans="1:29" ht="28.5">
      <c r="A21" s="429"/>
      <c r="B21" s="1387" t="s">
        <v>2685</v>
      </c>
      <c r="C21" s="2612"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3"/>
      <c r="M21" s="1134"/>
      <c r="N21" s="1134"/>
      <c r="O21" s="1142"/>
      <c r="P21" s="3176"/>
      <c r="Q21" s="1814" t="str">
        <f>B21</f>
        <v>基础设施水平</v>
      </c>
      <c r="R21" s="774" t="s">
        <v>17</v>
      </c>
      <c r="S21" s="775">
        <f>F21</f>
        <v>100</v>
      </c>
      <c r="T21" s="774" t="s">
        <v>17</v>
      </c>
      <c r="U21" s="775">
        <f>H21</f>
        <v>100</v>
      </c>
      <c r="V21" s="774" t="s">
        <v>17</v>
      </c>
      <c r="W21" s="775">
        <f>J21</f>
        <v>100</v>
      </c>
      <c r="X21" s="1817"/>
      <c r="Y21" s="3176"/>
      <c r="Z21" s="1818" t="str">
        <f>Q21</f>
        <v>基础设施水平</v>
      </c>
      <c r="AA21" s="1815">
        <f t="shared" ref="AA21" si="8">D21/F21</f>
        <v>1</v>
      </c>
      <c r="AB21" s="1815">
        <f t="shared" ref="AB21" si="9">D21/H21</f>
        <v>1</v>
      </c>
      <c r="AC21" s="1815">
        <f t="shared" ref="AC21" si="10">D21/J21</f>
        <v>1</v>
      </c>
    </row>
    <row r="22" spans="1:29" ht="15">
      <c r="A22" s="429"/>
      <c r="B22" s="1387"/>
      <c r="C22" s="2613"/>
      <c r="D22" s="449"/>
      <c r="E22" s="448"/>
      <c r="F22" s="450"/>
      <c r="G22" s="448"/>
      <c r="H22" s="449"/>
      <c r="I22" s="448"/>
      <c r="J22" s="449"/>
      <c r="K22" s="1386"/>
      <c r="L22" s="1143"/>
      <c r="M22" s="1134"/>
      <c r="N22" s="1134"/>
      <c r="O22" s="1142"/>
      <c r="P22" s="3176"/>
      <c r="Q22" s="1814"/>
      <c r="R22" s="774"/>
      <c r="S22" s="775"/>
      <c r="T22" s="774"/>
      <c r="U22" s="775"/>
      <c r="V22" s="774"/>
      <c r="W22" s="775"/>
      <c r="X22" s="1817"/>
      <c r="Y22" s="3176"/>
      <c r="Z22" s="1818"/>
      <c r="AA22" s="1815">
        <v>1</v>
      </c>
      <c r="AB22" s="1815">
        <v>1</v>
      </c>
      <c r="AC22" s="1815">
        <v>1</v>
      </c>
    </row>
    <row r="23" spans="1:29" ht="71.25">
      <c r="A23" s="429"/>
      <c r="B23" s="452" t="s">
        <v>2686</v>
      </c>
      <c r="C23" s="2612"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3"/>
      <c r="M23" s="1134"/>
      <c r="N23" s="1134"/>
      <c r="O23" s="1142"/>
      <c r="P23" s="3176"/>
      <c r="Q23" s="1814" t="str">
        <f>B23</f>
        <v>环境质量</v>
      </c>
      <c r="R23" s="774" t="s">
        <v>17</v>
      </c>
      <c r="S23" s="775">
        <f>F23</f>
        <v>100</v>
      </c>
      <c r="T23" s="774" t="s">
        <v>17</v>
      </c>
      <c r="U23" s="775">
        <f>H23</f>
        <v>100</v>
      </c>
      <c r="V23" s="774" t="s">
        <v>17</v>
      </c>
      <c r="W23" s="775">
        <f>J23</f>
        <v>100</v>
      </c>
      <c r="X23" s="1817"/>
      <c r="Y23" s="3176"/>
      <c r="Z23" s="1818" t="str">
        <f>Q23</f>
        <v>环境质量</v>
      </c>
      <c r="AA23" s="1815">
        <f t="shared" si="3"/>
        <v>1</v>
      </c>
      <c r="AB23" s="1815">
        <f t="shared" si="4"/>
        <v>1</v>
      </c>
      <c r="AC23" s="1815">
        <f t="shared" si="5"/>
        <v>1</v>
      </c>
    </row>
    <row r="24" spans="1:29" ht="15">
      <c r="A24" s="429"/>
      <c r="B24" s="1387"/>
      <c r="C24" s="448"/>
      <c r="D24" s="449"/>
      <c r="E24" s="2610"/>
      <c r="F24" s="450"/>
      <c r="G24" s="2609"/>
      <c r="H24" s="449"/>
      <c r="I24" s="2610"/>
      <c r="J24" s="449"/>
      <c r="K24" s="616"/>
      <c r="L24" s="1143"/>
      <c r="M24" s="1134"/>
      <c r="N24" s="1134"/>
      <c r="O24" s="1142"/>
      <c r="P24" s="3176"/>
      <c r="Q24" s="1814"/>
      <c r="R24" s="774"/>
      <c r="S24" s="775"/>
      <c r="T24" s="774"/>
      <c r="U24" s="775"/>
      <c r="V24" s="774"/>
      <c r="W24" s="775"/>
      <c r="X24" s="1817"/>
      <c r="Y24" s="3176"/>
      <c r="Z24" s="1818"/>
      <c r="AA24" s="1815">
        <v>1</v>
      </c>
      <c r="AB24" s="1815">
        <v>1</v>
      </c>
      <c r="AC24" s="1815">
        <v>1</v>
      </c>
    </row>
    <row r="25" spans="1:29" ht="15">
      <c r="A25" s="405"/>
      <c r="B25" s="1389">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3"/>
      <c r="M25" s="1134"/>
      <c r="N25" s="1134"/>
      <c r="O25" s="1142"/>
      <c r="P25" s="3176"/>
      <c r="Q25" s="1814">
        <f>B25</f>
        <v>111</v>
      </c>
      <c r="R25" s="774" t="s">
        <v>17</v>
      </c>
      <c r="S25" s="775">
        <f>F25</f>
        <v>100</v>
      </c>
      <c r="T25" s="774" t="s">
        <v>17</v>
      </c>
      <c r="U25" s="775">
        <f>H25</f>
        <v>100</v>
      </c>
      <c r="V25" s="774" t="s">
        <v>17</v>
      </c>
      <c r="W25" s="775">
        <f>J25</f>
        <v>100</v>
      </c>
      <c r="X25" s="1817"/>
      <c r="Y25" s="3176"/>
      <c r="Z25" s="1818">
        <f>Q25</f>
        <v>111</v>
      </c>
      <c r="AA25" s="1815">
        <f t="shared" si="3"/>
        <v>1</v>
      </c>
      <c r="AB25" s="1815">
        <f t="shared" si="4"/>
        <v>1</v>
      </c>
      <c r="AC25" s="1815">
        <f t="shared" si="5"/>
        <v>1</v>
      </c>
    </row>
    <row r="26" spans="1:29" ht="15">
      <c r="A26" s="429"/>
      <c r="B26" s="1389">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3"/>
      <c r="M26" s="1134"/>
      <c r="N26" s="1134"/>
      <c r="O26" s="1142"/>
      <c r="P26" s="3176"/>
      <c r="Q26" s="1814">
        <f t="shared" ref="Q26:Q40" si="11">B26</f>
        <v>111</v>
      </c>
      <c r="R26" s="774" t="s">
        <v>17</v>
      </c>
      <c r="S26" s="775">
        <f>F26</f>
        <v>100</v>
      </c>
      <c r="T26" s="774" t="s">
        <v>17</v>
      </c>
      <c r="U26" s="775">
        <f>H26</f>
        <v>100</v>
      </c>
      <c r="V26" s="774" t="s">
        <v>17</v>
      </c>
      <c r="W26" s="775">
        <f>J26</f>
        <v>100</v>
      </c>
      <c r="X26" s="1817"/>
      <c r="Y26" s="3176"/>
      <c r="Z26" s="1818">
        <f>Q26</f>
        <v>111</v>
      </c>
      <c r="AA26" s="1815">
        <f t="shared" si="3"/>
        <v>1</v>
      </c>
      <c r="AB26" s="1815">
        <f t="shared" si="4"/>
        <v>1</v>
      </c>
      <c r="AC26" s="1815">
        <f t="shared" si="5"/>
        <v>1</v>
      </c>
    </row>
    <row r="27" spans="1:29" s="117" customFormat="1" ht="15">
      <c r="A27" s="432"/>
      <c r="B27" s="1389">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5"/>
      <c r="M27" s="1136"/>
      <c r="N27" s="1136"/>
      <c r="O27" s="1137"/>
      <c r="P27" s="3176"/>
      <c r="Q27" s="1799">
        <f t="shared" si="11"/>
        <v>111</v>
      </c>
      <c r="R27" s="770" t="s">
        <v>17</v>
      </c>
      <c r="S27" s="771">
        <f>F27</f>
        <v>100</v>
      </c>
      <c r="T27" s="770" t="s">
        <v>17</v>
      </c>
      <c r="U27" s="771">
        <f>H27</f>
        <v>100</v>
      </c>
      <c r="V27" s="770" t="s">
        <v>17</v>
      </c>
      <c r="W27" s="771">
        <f>J27</f>
        <v>100</v>
      </c>
      <c r="X27" s="772"/>
      <c r="Y27" s="3176"/>
      <c r="Z27" s="55">
        <f>Q27</f>
        <v>111</v>
      </c>
      <c r="AA27" s="1815">
        <f>D27/F27</f>
        <v>1</v>
      </c>
      <c r="AB27" s="1815">
        <f>D27/H27</f>
        <v>1</v>
      </c>
      <c r="AC27" s="1815">
        <f>D27/J27</f>
        <v>1</v>
      </c>
    </row>
    <row r="28" spans="1:29" ht="15.75" thickBot="1">
      <c r="A28" s="437"/>
      <c r="B28" s="1389">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3"/>
      <c r="M28" s="1134"/>
      <c r="N28" s="1134"/>
      <c r="O28" s="1142"/>
      <c r="P28" s="3176"/>
      <c r="Q28" s="1814">
        <f t="shared" si="11"/>
        <v>111</v>
      </c>
      <c r="R28" s="774" t="s">
        <v>17</v>
      </c>
      <c r="S28" s="775">
        <f t="shared" ref="S28:S40" si="12">F28</f>
        <v>100</v>
      </c>
      <c r="T28" s="774" t="s">
        <v>17</v>
      </c>
      <c r="U28" s="775">
        <f t="shared" ref="U28:U40" si="13">H28</f>
        <v>100</v>
      </c>
      <c r="V28" s="774" t="s">
        <v>17</v>
      </c>
      <c r="W28" s="775">
        <f t="shared" ref="W28:W40" si="14">J28</f>
        <v>100</v>
      </c>
      <c r="X28" s="1817"/>
      <c r="Y28" s="3176"/>
      <c r="Z28" s="1818">
        <f t="shared" ref="Z28:Z40" si="15">Q28</f>
        <v>111</v>
      </c>
      <c r="AA28" s="1815">
        <f t="shared" si="3"/>
        <v>1</v>
      </c>
      <c r="AB28" s="1815">
        <f t="shared" si="4"/>
        <v>1</v>
      </c>
      <c r="AC28" s="1815">
        <f t="shared" si="5"/>
        <v>1</v>
      </c>
    </row>
    <row r="29" spans="1:29" ht="15">
      <c r="A29" s="467" t="s">
        <v>2559</v>
      </c>
      <c r="B29" s="71" t="s">
        <v>2689</v>
      </c>
      <c r="C29" s="2684"/>
      <c r="D29" s="468">
        <v>100</v>
      </c>
      <c r="E29" s="2684"/>
      <c r="F29" s="462">
        <f>SUMIF(88:88,E29,89:89)-SUMIF(88:88,C29,89:89)+100</f>
        <v>100</v>
      </c>
      <c r="G29" s="2684"/>
      <c r="H29" s="436">
        <f>SUMIF(88:88,G29,89:89)-SUMIF(88:88,C29,89:89)+100</f>
        <v>100</v>
      </c>
      <c r="I29" s="2684"/>
      <c r="J29" s="468">
        <f>SUMIF(88:88,I29,89:89)-SUMIF(88:88,C29,89:89)+100</f>
        <v>100</v>
      </c>
      <c r="K29" s="613"/>
      <c r="L29" s="1143"/>
      <c r="M29" s="1134"/>
      <c r="N29" s="1134"/>
      <c r="O29" s="1142"/>
      <c r="P29" s="3234" t="s">
        <v>2561</v>
      </c>
      <c r="Q29" s="1814" t="str">
        <f t="shared" si="11"/>
        <v>建筑类型</v>
      </c>
      <c r="R29" s="774" t="s">
        <v>17</v>
      </c>
      <c r="S29" s="775">
        <f t="shared" si="12"/>
        <v>100</v>
      </c>
      <c r="T29" s="774" t="s">
        <v>17</v>
      </c>
      <c r="U29" s="775">
        <f t="shared" si="13"/>
        <v>100</v>
      </c>
      <c r="V29" s="774" t="s">
        <v>17</v>
      </c>
      <c r="W29" s="775">
        <f t="shared" si="14"/>
        <v>100</v>
      </c>
      <c r="X29" s="1817"/>
      <c r="Y29" s="3180" t="s">
        <v>2561</v>
      </c>
      <c r="Z29" s="1818" t="str">
        <f t="shared" si="15"/>
        <v>建筑类型</v>
      </c>
      <c r="AA29" s="1815">
        <f t="shared" si="3"/>
        <v>1</v>
      </c>
      <c r="AB29" s="1815">
        <f t="shared" si="4"/>
        <v>1</v>
      </c>
      <c r="AC29" s="1815">
        <f t="shared" si="5"/>
        <v>1</v>
      </c>
    </row>
    <row r="30" spans="1:29" s="472" customFormat="1" ht="15">
      <c r="A30" s="469"/>
      <c r="B30" s="423" t="s">
        <v>2562</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1"/>
      <c r="M30" s="1144"/>
      <c r="N30" s="1144"/>
      <c r="O30" s="1145"/>
      <c r="P30" s="3180"/>
      <c r="Q30" s="776" t="str">
        <f t="shared" si="11"/>
        <v>项目建筑规模</v>
      </c>
      <c r="R30" s="777" t="s">
        <v>17</v>
      </c>
      <c r="S30" s="778" t="e">
        <f t="shared" si="12"/>
        <v>#N/A</v>
      </c>
      <c r="T30" s="777" t="s">
        <v>17</v>
      </c>
      <c r="U30" s="778" t="e">
        <f t="shared" si="13"/>
        <v>#N/A</v>
      </c>
      <c r="V30" s="777" t="s">
        <v>17</v>
      </c>
      <c r="W30" s="778" t="e">
        <f t="shared" si="14"/>
        <v>#N/A</v>
      </c>
      <c r="X30" s="779"/>
      <c r="Y30" s="3180"/>
      <c r="Z30" s="780" t="str">
        <f t="shared" si="15"/>
        <v>项目建筑规模</v>
      </c>
      <c r="AA30" s="1815" t="e">
        <f t="shared" si="3"/>
        <v>#N/A</v>
      </c>
      <c r="AB30" s="1815" t="e">
        <f t="shared" si="4"/>
        <v>#N/A</v>
      </c>
      <c r="AC30" s="1815" t="e">
        <f t="shared" si="5"/>
        <v>#N/A</v>
      </c>
    </row>
    <row r="31" spans="1:29" ht="15">
      <c r="A31" s="473"/>
      <c r="B31" s="423" t="s">
        <v>2563</v>
      </c>
      <c r="C31" s="461"/>
      <c r="D31" s="436">
        <v>100</v>
      </c>
      <c r="E31" s="461"/>
      <c r="F31" s="462">
        <f>SUMIF(93:93,E31,94:94)-SUMIF(93:93,C31,94:94)+100</f>
        <v>100</v>
      </c>
      <c r="G31" s="461"/>
      <c r="H31" s="436">
        <f>SUMIF(93:93,G31,94:94)-SUMIF(93:93,C31,94:94)+100</f>
        <v>100</v>
      </c>
      <c r="I31" s="461"/>
      <c r="J31" s="436">
        <f>SUMIF(93:93,I31,94:94)-SUMIF(93:93,C31,94:94)+100</f>
        <v>100</v>
      </c>
      <c r="K31" s="613"/>
      <c r="L31" s="1143"/>
      <c r="M31" s="1134"/>
      <c r="N31" s="1134"/>
      <c r="O31" s="1142"/>
      <c r="P31" s="3180"/>
      <c r="Q31" s="1814" t="str">
        <f t="shared" si="11"/>
        <v>建筑结构</v>
      </c>
      <c r="R31" s="774" t="s">
        <v>17</v>
      </c>
      <c r="S31" s="775">
        <f t="shared" si="12"/>
        <v>100</v>
      </c>
      <c r="T31" s="774" t="s">
        <v>17</v>
      </c>
      <c r="U31" s="775">
        <f t="shared" si="13"/>
        <v>100</v>
      </c>
      <c r="V31" s="774" t="s">
        <v>17</v>
      </c>
      <c r="W31" s="775">
        <f t="shared" si="14"/>
        <v>100</v>
      </c>
      <c r="X31" s="1817"/>
      <c r="Y31" s="3180"/>
      <c r="Z31" s="1818" t="str">
        <f t="shared" si="15"/>
        <v>建筑结构</v>
      </c>
      <c r="AA31" s="1815">
        <f t="shared" si="3"/>
        <v>1</v>
      </c>
      <c r="AB31" s="1815">
        <f t="shared" si="4"/>
        <v>1</v>
      </c>
      <c r="AC31" s="1815">
        <f t="shared" si="5"/>
        <v>1</v>
      </c>
    </row>
    <row r="32" spans="1:29" ht="15">
      <c r="A32" s="473"/>
      <c r="B32" s="423" t="s">
        <v>2657</v>
      </c>
      <c r="C32" s="461"/>
      <c r="D32" s="436">
        <v>100</v>
      </c>
      <c r="E32" s="461"/>
      <c r="F32" s="462">
        <f>SUMIF(95:95,E32,96:96)-SUMIF(95:95,C32,96:96)+100</f>
        <v>100</v>
      </c>
      <c r="G32" s="461"/>
      <c r="H32" s="436">
        <f>SUMIF(95:95,G32,96:96)-SUMIF(95:95,C32,96:96)+100</f>
        <v>100</v>
      </c>
      <c r="I32" s="461"/>
      <c r="J32" s="436">
        <f>SUMIF(95:95,I32,96:96)-SUMIF(95:95,C32,96:96)+100</f>
        <v>100</v>
      </c>
      <c r="K32" s="613"/>
      <c r="L32" s="1143"/>
      <c r="M32" s="1134"/>
      <c r="N32" s="1134"/>
      <c r="O32" s="1142"/>
      <c r="P32" s="3180"/>
      <c r="Q32" s="1814" t="str">
        <f t="shared" si="11"/>
        <v>公共部分装修</v>
      </c>
      <c r="R32" s="774" t="s">
        <v>17</v>
      </c>
      <c r="S32" s="775">
        <f t="shared" si="12"/>
        <v>100</v>
      </c>
      <c r="T32" s="774" t="s">
        <v>17</v>
      </c>
      <c r="U32" s="775">
        <f t="shared" si="13"/>
        <v>100</v>
      </c>
      <c r="V32" s="774" t="s">
        <v>17</v>
      </c>
      <c r="W32" s="775">
        <f t="shared" si="14"/>
        <v>100</v>
      </c>
      <c r="X32" s="1817"/>
      <c r="Y32" s="3180"/>
      <c r="Z32" s="1818" t="str">
        <f t="shared" si="15"/>
        <v>公共部分装修</v>
      </c>
      <c r="AA32" s="1815">
        <f t="shared" si="3"/>
        <v>1</v>
      </c>
      <c r="AB32" s="1815">
        <f t="shared" si="4"/>
        <v>1</v>
      </c>
      <c r="AC32" s="1815">
        <f t="shared" si="5"/>
        <v>1</v>
      </c>
    </row>
    <row r="33" spans="1:29" ht="15">
      <c r="A33" s="473"/>
      <c r="B33" s="423" t="s">
        <v>2658</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3"/>
      <c r="M33" s="1134"/>
      <c r="N33" s="1134"/>
      <c r="O33" s="1142"/>
      <c r="P33" s="3180"/>
      <c r="Q33" s="1814" t="str">
        <f t="shared" si="11"/>
        <v>成新度</v>
      </c>
      <c r="R33" s="774" t="s">
        <v>17</v>
      </c>
      <c r="S33" s="775" t="e">
        <f t="shared" si="12"/>
        <v>#N/A</v>
      </c>
      <c r="T33" s="774" t="s">
        <v>17</v>
      </c>
      <c r="U33" s="775" t="e">
        <f t="shared" si="13"/>
        <v>#N/A</v>
      </c>
      <c r="V33" s="774" t="s">
        <v>17</v>
      </c>
      <c r="W33" s="775" t="e">
        <f t="shared" si="14"/>
        <v>#N/A</v>
      </c>
      <c r="X33" s="1817"/>
      <c r="Y33" s="3180"/>
      <c r="Z33" s="1818" t="str">
        <f t="shared" si="15"/>
        <v>成新度</v>
      </c>
      <c r="AA33" s="1815" t="e">
        <f t="shared" si="3"/>
        <v>#N/A</v>
      </c>
      <c r="AB33" s="1815" t="e">
        <f t="shared" si="4"/>
        <v>#N/A</v>
      </c>
      <c r="AC33" s="1815" t="e">
        <f t="shared" si="5"/>
        <v>#N/A</v>
      </c>
    </row>
    <row r="34" spans="1:29" s="117" customFormat="1" ht="15">
      <c r="A34" s="474"/>
      <c r="B34" s="423" t="s">
        <v>2691</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5"/>
      <c r="M34" s="1136"/>
      <c r="N34" s="1136"/>
      <c r="O34" s="1137"/>
      <c r="P34" s="3180"/>
      <c r="Q34" s="1799" t="str">
        <f t="shared" si="11"/>
        <v>物业管理</v>
      </c>
      <c r="R34" s="770" t="s">
        <v>17</v>
      </c>
      <c r="S34" s="771">
        <f t="shared" si="12"/>
        <v>100</v>
      </c>
      <c r="T34" s="770" t="s">
        <v>17</v>
      </c>
      <c r="U34" s="771">
        <f t="shared" si="13"/>
        <v>100</v>
      </c>
      <c r="V34" s="770" t="s">
        <v>17</v>
      </c>
      <c r="W34" s="771">
        <f t="shared" si="14"/>
        <v>100</v>
      </c>
      <c r="X34" s="772"/>
      <c r="Y34" s="3180"/>
      <c r="Z34" s="55" t="str">
        <f t="shared" si="15"/>
        <v>物业管理</v>
      </c>
      <c r="AA34" s="773">
        <f t="shared" si="3"/>
        <v>1</v>
      </c>
      <c r="AB34" s="773">
        <f t="shared" si="4"/>
        <v>1</v>
      </c>
      <c r="AC34" s="773">
        <f t="shared" si="5"/>
        <v>1</v>
      </c>
    </row>
    <row r="35" spans="1:29" ht="15">
      <c r="A35" s="473"/>
      <c r="B35" s="423" t="s">
        <v>2659</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3"/>
      <c r="M35" s="1134"/>
      <c r="N35" s="1134"/>
      <c r="O35" s="1142"/>
      <c r="P35" s="3180" t="s">
        <v>2561</v>
      </c>
      <c r="Q35" s="1814" t="str">
        <f t="shared" si="11"/>
        <v>市政基础设施</v>
      </c>
      <c r="R35" s="774" t="s">
        <v>17</v>
      </c>
      <c r="S35" s="775">
        <f t="shared" si="12"/>
        <v>100</v>
      </c>
      <c r="T35" s="774" t="s">
        <v>17</v>
      </c>
      <c r="U35" s="775">
        <f t="shared" si="13"/>
        <v>100</v>
      </c>
      <c r="V35" s="774" t="s">
        <v>17</v>
      </c>
      <c r="W35" s="775">
        <f t="shared" si="14"/>
        <v>100</v>
      </c>
      <c r="X35" s="1817"/>
      <c r="Y35" s="3180" t="s">
        <v>2561</v>
      </c>
      <c r="Z35" s="1818" t="str">
        <f t="shared" si="15"/>
        <v>市政基础设施</v>
      </c>
      <c r="AA35" s="1815">
        <f t="shared" si="3"/>
        <v>1</v>
      </c>
      <c r="AB35" s="1815">
        <f t="shared" si="4"/>
        <v>1</v>
      </c>
      <c r="AC35" s="1815">
        <f t="shared" si="5"/>
        <v>1</v>
      </c>
    </row>
    <row r="36" spans="1:29" ht="15">
      <c r="A36" s="473"/>
      <c r="B36" s="423" t="s">
        <v>2664</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3"/>
      <c r="M36" s="1134"/>
      <c r="N36" s="1134"/>
      <c r="O36" s="1142"/>
      <c r="P36" s="3180"/>
      <c r="Q36" s="1814" t="str">
        <f t="shared" si="11"/>
        <v>内部装修</v>
      </c>
      <c r="R36" s="774" t="s">
        <v>17</v>
      </c>
      <c r="S36" s="775">
        <f t="shared" si="12"/>
        <v>100</v>
      </c>
      <c r="T36" s="774" t="s">
        <v>17</v>
      </c>
      <c r="U36" s="775">
        <f t="shared" si="13"/>
        <v>100</v>
      </c>
      <c r="V36" s="774" t="s">
        <v>17</v>
      </c>
      <c r="W36" s="775">
        <f t="shared" si="14"/>
        <v>100</v>
      </c>
      <c r="X36" s="1817"/>
      <c r="Y36" s="3180"/>
      <c r="Z36" s="1818" t="str">
        <f t="shared" si="15"/>
        <v>内部装修</v>
      </c>
      <c r="AA36" s="1815">
        <f t="shared" si="3"/>
        <v>1</v>
      </c>
      <c r="AB36" s="1815">
        <f t="shared" si="4"/>
        <v>1</v>
      </c>
      <c r="AC36" s="1815">
        <f t="shared" si="5"/>
        <v>1</v>
      </c>
    </row>
    <row r="37" spans="1:29" ht="15">
      <c r="A37" s="473"/>
      <c r="B37" s="423" t="s">
        <v>2700</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3"/>
      <c r="M37" s="1134"/>
      <c r="N37" s="1134"/>
      <c r="O37" s="1142"/>
      <c r="P37" s="3180"/>
      <c r="Q37" s="1814" t="str">
        <f t="shared" si="11"/>
        <v>内部装修状况</v>
      </c>
      <c r="R37" s="774" t="s">
        <v>17</v>
      </c>
      <c r="S37" s="775">
        <f t="shared" si="12"/>
        <v>100</v>
      </c>
      <c r="T37" s="774" t="s">
        <v>17</v>
      </c>
      <c r="U37" s="775">
        <f t="shared" si="13"/>
        <v>100</v>
      </c>
      <c r="V37" s="774" t="s">
        <v>17</v>
      </c>
      <c r="W37" s="775">
        <f t="shared" si="14"/>
        <v>100</v>
      </c>
      <c r="X37" s="1817"/>
      <c r="Y37" s="3180"/>
      <c r="Z37" s="1818" t="str">
        <f t="shared" si="15"/>
        <v>内部装修状况</v>
      </c>
      <c r="AA37" s="1815">
        <f t="shared" si="3"/>
        <v>1</v>
      </c>
      <c r="AB37" s="1815">
        <f t="shared" si="4"/>
        <v>1</v>
      </c>
      <c r="AC37" s="1815">
        <f t="shared" si="5"/>
        <v>1</v>
      </c>
    </row>
    <row r="38" spans="1:29" s="472" customFormat="1" ht="15">
      <c r="A38" s="469"/>
      <c r="B38" s="1389">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1"/>
      <c r="M38" s="1144"/>
      <c r="N38" s="1144"/>
      <c r="O38" s="1145"/>
      <c r="P38" s="3180"/>
      <c r="Q38" s="776">
        <f t="shared" si="11"/>
        <v>111</v>
      </c>
      <c r="R38" s="777" t="s">
        <v>17</v>
      </c>
      <c r="S38" s="778">
        <f t="shared" si="12"/>
        <v>100</v>
      </c>
      <c r="T38" s="777" t="s">
        <v>17</v>
      </c>
      <c r="U38" s="778">
        <f t="shared" si="13"/>
        <v>100</v>
      </c>
      <c r="V38" s="777" t="s">
        <v>17</v>
      </c>
      <c r="W38" s="778">
        <f t="shared" si="14"/>
        <v>100</v>
      </c>
      <c r="X38" s="779"/>
      <c r="Y38" s="3180"/>
      <c r="Z38" s="780">
        <f t="shared" si="15"/>
        <v>111</v>
      </c>
      <c r="AA38" s="1815">
        <f t="shared" si="3"/>
        <v>1</v>
      </c>
      <c r="AB38" s="1815">
        <f t="shared" si="4"/>
        <v>1</v>
      </c>
      <c r="AC38" s="1815">
        <f t="shared" si="5"/>
        <v>1</v>
      </c>
    </row>
    <row r="39" spans="1:29" ht="15">
      <c r="A39" s="473"/>
      <c r="B39" s="1389">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3"/>
      <c r="M39" s="1134"/>
      <c r="N39" s="1134"/>
      <c r="O39" s="1142"/>
      <c r="P39" s="3180"/>
      <c r="Q39" s="1814">
        <f t="shared" si="11"/>
        <v>111</v>
      </c>
      <c r="R39" s="774" t="s">
        <v>17</v>
      </c>
      <c r="S39" s="775">
        <f t="shared" si="12"/>
        <v>100</v>
      </c>
      <c r="T39" s="774" t="s">
        <v>17</v>
      </c>
      <c r="U39" s="775">
        <f t="shared" si="13"/>
        <v>100</v>
      </c>
      <c r="V39" s="774" t="s">
        <v>17</v>
      </c>
      <c r="W39" s="775">
        <f t="shared" si="14"/>
        <v>100</v>
      </c>
      <c r="X39" s="1817"/>
      <c r="Y39" s="3180"/>
      <c r="Z39" s="1818">
        <f t="shared" si="15"/>
        <v>111</v>
      </c>
      <c r="AA39" s="1815">
        <f t="shared" si="3"/>
        <v>1</v>
      </c>
      <c r="AB39" s="1815">
        <f t="shared" si="4"/>
        <v>1</v>
      </c>
      <c r="AC39" s="1815">
        <f t="shared" si="5"/>
        <v>1</v>
      </c>
    </row>
    <row r="40" spans="1:29" ht="15.75" thickBot="1">
      <c r="A40" s="479"/>
      <c r="B40" s="2607">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3"/>
      <c r="M40" s="1134"/>
      <c r="N40" s="1134"/>
      <c r="O40" s="1142"/>
      <c r="P40" s="3181"/>
      <c r="Q40" s="1814">
        <f t="shared" si="11"/>
        <v>111</v>
      </c>
      <c r="R40" s="774" t="s">
        <v>17</v>
      </c>
      <c r="S40" s="775">
        <f t="shared" si="12"/>
        <v>100</v>
      </c>
      <c r="T40" s="774" t="s">
        <v>17</v>
      </c>
      <c r="U40" s="775">
        <f t="shared" si="13"/>
        <v>100</v>
      </c>
      <c r="V40" s="774" t="s">
        <v>17</v>
      </c>
      <c r="W40" s="775">
        <f t="shared" si="14"/>
        <v>100</v>
      </c>
      <c r="X40" s="1817"/>
      <c r="Y40" s="3181"/>
      <c r="Z40" s="1818">
        <f t="shared" si="15"/>
        <v>111</v>
      </c>
      <c r="AA40" s="1815">
        <f t="shared" si="3"/>
        <v>1</v>
      </c>
      <c r="AB40" s="1815">
        <f t="shared" si="4"/>
        <v>1</v>
      </c>
      <c r="AC40" s="1815">
        <f t="shared" si="5"/>
        <v>1</v>
      </c>
    </row>
    <row r="41" spans="1:29" ht="15">
      <c r="A41" s="480" t="s">
        <v>2573</v>
      </c>
      <c r="B41" s="481"/>
      <c r="C41" s="1410" t="s">
        <v>1</v>
      </c>
      <c r="D41" s="1411"/>
      <c r="E41" s="1412"/>
      <c r="F41" s="1413"/>
      <c r="G41" s="1414"/>
      <c r="H41" s="1415"/>
      <c r="I41" s="1412"/>
      <c r="J41" s="1415"/>
      <c r="K41" s="783"/>
      <c r="L41" s="1146"/>
      <c r="M41" s="1147"/>
      <c r="N41" s="1134"/>
      <c r="O41" s="1147"/>
      <c r="P41" s="3182" t="str">
        <f>A41</f>
        <v>成交单价（元/平方米）</v>
      </c>
      <c r="Q41" s="3182"/>
      <c r="R41" s="3183">
        <f>E41</f>
        <v>0</v>
      </c>
      <c r="S41" s="3183"/>
      <c r="T41" s="3183">
        <f>G41</f>
        <v>0</v>
      </c>
      <c r="U41" s="3183"/>
      <c r="V41" s="3183">
        <f>I41</f>
        <v>0</v>
      </c>
      <c r="W41" s="3183"/>
      <c r="X41" s="759"/>
      <c r="Y41" s="781"/>
      <c r="Z41" s="759"/>
      <c r="AA41" s="759"/>
      <c r="AB41" s="759"/>
      <c r="AC41" s="759"/>
    </row>
    <row r="42" spans="1:29" ht="15.75" thickBot="1">
      <c r="A42" s="487" t="s">
        <v>2665</v>
      </c>
      <c r="B42" s="488"/>
      <c r="C42" s="1416" t="e">
        <f>R43</f>
        <v>#DIV/0!</v>
      </c>
      <c r="D42" s="1417"/>
      <c r="E42" s="1418" t="e">
        <f>R42</f>
        <v>#DIV/0!</v>
      </c>
      <c r="F42" s="1418"/>
      <c r="G42" s="1416" t="e">
        <f>T42</f>
        <v>#DIV/0!</v>
      </c>
      <c r="H42" s="1417"/>
      <c r="I42" s="1418" t="e">
        <f>V42</f>
        <v>#DIV/0!</v>
      </c>
      <c r="J42" s="1417"/>
      <c r="K42" s="784"/>
      <c r="L42" s="1146"/>
      <c r="M42" s="1147"/>
      <c r="N42" s="1134"/>
      <c r="O42" s="1147"/>
      <c r="P42" s="3182" t="str">
        <f>A42</f>
        <v>比较价值（元/平方米）</v>
      </c>
      <c r="Q42" s="3182"/>
      <c r="R42" s="3183" t="e">
        <f>IF(F1="售价",ROUND(PRODUCT(R41,AA7:AA40),0),ROUND(PRODUCT(R41,AA7:AA40),1))</f>
        <v>#DIV/0!</v>
      </c>
      <c r="S42" s="3183"/>
      <c r="T42" s="3183" t="e">
        <f>IF(F1="售价",ROUND(PRODUCT(T41,AB7:AB40),0),ROUND(PRODUCT(T41,AB7:AB40),1))</f>
        <v>#DIV/0!</v>
      </c>
      <c r="U42" s="3183"/>
      <c r="V42" s="3183" t="e">
        <f>IF(F1="售价",ROUND(PRODUCT(V41,AC7:AC40),0),ROUND(PRODUCT(V41,AC7:AC40),1))</f>
        <v>#DIV/0!</v>
      </c>
      <c r="W42" s="3183"/>
      <c r="X42" s="759"/>
      <c r="Y42" s="759"/>
      <c r="Z42" s="759"/>
      <c r="AA42" s="759"/>
      <c r="AB42" s="759"/>
      <c r="AC42" s="759"/>
    </row>
    <row r="43" spans="1:29" ht="15.75" thickBot="1">
      <c r="A43" s="493" t="s">
        <v>2666</v>
      </c>
      <c r="B43" s="494"/>
      <c r="C43" s="1420" t="e">
        <f>R43</f>
        <v>#DIV/0!</v>
      </c>
      <c r="D43" s="1420"/>
      <c r="E43" s="1420"/>
      <c r="F43" s="1420"/>
      <c r="G43" s="1420"/>
      <c r="H43" s="1420"/>
      <c r="I43" s="1420"/>
      <c r="J43" s="1420"/>
      <c r="K43" s="785"/>
      <c r="L43" s="1146"/>
      <c r="M43" s="1147"/>
      <c r="N43" s="1147"/>
      <c r="O43" s="1147"/>
      <c r="P43" s="3231" t="str">
        <f>A43</f>
        <v>估价对象XX用房的比较价值（楼面单价，元/平方米）</v>
      </c>
      <c r="Q43" s="3232"/>
      <c r="R43" s="3233" t="e">
        <f>IF(F1="售价",ROUND(AVERAGE(R42:V42),0),ROUND(AVERAGE(R42:V42),1))</f>
        <v>#DIV/0!</v>
      </c>
      <c r="S43" s="3233"/>
      <c r="T43" s="3233"/>
      <c r="U43" s="3233"/>
      <c r="V43" s="3233"/>
      <c r="W43" s="323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8" t="s">
        <v>2667</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47"/>
      <c r="N46" s="1147"/>
      <c r="O46" s="1147"/>
    </row>
    <row r="47" spans="1:29" ht="13.5" customHeight="1">
      <c r="A47" s="1147"/>
      <c r="B47" s="1147"/>
      <c r="C47" s="498" t="s">
        <v>2668</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2669</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2670</v>
      </c>
      <c r="B51" s="759"/>
      <c r="C51" s="764"/>
      <c r="D51" s="764"/>
      <c r="E51" s="764"/>
      <c r="F51" s="765"/>
      <c r="G51" s="765"/>
      <c r="H51" s="764"/>
      <c r="I51" s="764"/>
      <c r="J51" s="764"/>
      <c r="K51" s="1163"/>
      <c r="L51" s="1164"/>
      <c r="M51" s="1162"/>
      <c r="N51" s="1162"/>
      <c r="O51" s="1162"/>
      <c r="P51" s="504"/>
      <c r="Q51" s="505"/>
    </row>
    <row r="52" spans="1:17" s="509" customFormat="1" ht="15">
      <c r="A52" s="506" t="s">
        <v>2544</v>
      </c>
      <c r="B52" s="507"/>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8"/>
    </row>
    <row r="53" spans="1:17" s="117" customFormat="1" ht="15">
      <c r="A53" s="510"/>
      <c r="B53" s="511"/>
      <c r="C53" s="1577">
        <v>100</v>
      </c>
      <c r="D53" s="513"/>
      <c r="E53" s="513"/>
      <c r="F53" s="513"/>
      <c r="G53" s="513"/>
      <c r="H53" s="513"/>
      <c r="I53" s="513"/>
      <c r="J53" s="513"/>
      <c r="K53" s="513"/>
      <c r="L53" s="513"/>
      <c r="M53" s="514"/>
      <c r="N53" s="513"/>
      <c r="O53" s="515"/>
      <c r="P53" s="505"/>
    </row>
    <row r="54" spans="1:17" s="117" customFormat="1" ht="15.75" thickBot="1">
      <c r="A54" s="516" t="s">
        <v>2581</v>
      </c>
      <c r="B54" s="517"/>
      <c r="C54" s="518"/>
      <c r="D54" s="519"/>
      <c r="E54" s="519"/>
      <c r="F54" s="519"/>
      <c r="G54" s="519"/>
      <c r="H54" s="519"/>
      <c r="I54" s="519"/>
      <c r="J54" s="519"/>
      <c r="K54" s="519"/>
      <c r="L54" s="519"/>
      <c r="M54" s="520"/>
      <c r="N54" s="519"/>
      <c r="O54" s="521"/>
      <c r="P54" s="505"/>
      <c r="Q54" s="505"/>
    </row>
    <row r="55" spans="1:17" s="117" customFormat="1" ht="15">
      <c r="A55" s="522" t="s">
        <v>2546</v>
      </c>
      <c r="B55" s="511"/>
      <c r="C55" s="523" t="s">
        <v>2648</v>
      </c>
      <c r="D55" s="524"/>
      <c r="E55" s="524"/>
      <c r="F55" s="524"/>
      <c r="G55" s="524"/>
      <c r="H55" s="524"/>
      <c r="I55" s="524"/>
      <c r="J55" s="524"/>
      <c r="K55" s="524"/>
      <c r="L55" s="525"/>
      <c r="M55" s="526"/>
      <c r="N55" s="1154"/>
      <c r="O55" s="1154"/>
      <c r="P55" s="527"/>
      <c r="Q55" s="505"/>
    </row>
    <row r="56" spans="1:17" s="117" customFormat="1" ht="15.75" thickBot="1">
      <c r="A56" s="522"/>
      <c r="B56" s="511"/>
      <c r="C56" s="640">
        <v>100</v>
      </c>
      <c r="D56" s="513"/>
      <c r="E56" s="513"/>
      <c r="F56" s="513"/>
      <c r="G56" s="513"/>
      <c r="H56" s="513"/>
      <c r="I56" s="513"/>
      <c r="J56" s="513"/>
      <c r="K56" s="513"/>
      <c r="L56" s="513"/>
      <c r="M56" s="515"/>
      <c r="N56" s="1154"/>
      <c r="O56" s="1154"/>
      <c r="P56" s="505"/>
      <c r="Q56" s="505"/>
    </row>
    <row r="57" spans="1:17">
      <c r="A57" s="528" t="s">
        <v>2584</v>
      </c>
      <c r="B57" s="529" t="s">
        <v>2550</v>
      </c>
      <c r="C57" s="530">
        <f>C9</f>
        <v>0</v>
      </c>
      <c r="D57" s="531"/>
      <c r="E57" s="531"/>
      <c r="F57" s="531"/>
      <c r="G57" s="531"/>
      <c r="H57" s="531"/>
      <c r="I57" s="531"/>
      <c r="J57" s="531"/>
      <c r="K57" s="532"/>
      <c r="L57" s="533"/>
      <c r="M57" s="534"/>
      <c r="N57" s="1155"/>
      <c r="O57" s="1155"/>
      <c r="P57" s="45"/>
      <c r="Q57" s="505"/>
    </row>
    <row r="58" spans="1:17" ht="15.75" thickBot="1">
      <c r="A58" s="535"/>
      <c r="B58" s="536"/>
      <c r="C58" s="537">
        <v>100</v>
      </c>
      <c r="D58" s="537"/>
      <c r="E58" s="537"/>
      <c r="F58" s="537"/>
      <c r="G58" s="537"/>
      <c r="H58" s="537"/>
      <c r="I58" s="537"/>
      <c r="J58" s="537"/>
      <c r="K58" s="537"/>
      <c r="L58" s="537"/>
      <c r="M58" s="538"/>
      <c r="N58" s="1156"/>
      <c r="O58" s="1156"/>
      <c r="P58" s="45"/>
      <c r="Q58" s="505"/>
    </row>
    <row r="59" spans="1:17" ht="27.75" thickTop="1">
      <c r="A59" s="535"/>
      <c r="B59" s="539" t="s">
        <v>2553</v>
      </c>
      <c r="C59" s="540" t="s">
        <v>2585</v>
      </c>
      <c r="D59" s="540" t="s">
        <v>2586</v>
      </c>
      <c r="E59" s="540" t="s">
        <v>2587</v>
      </c>
      <c r="F59" s="540" t="s">
        <v>2588</v>
      </c>
      <c r="G59" s="540" t="s">
        <v>2589</v>
      </c>
      <c r="H59" s="540" t="s">
        <v>2590</v>
      </c>
      <c r="I59" s="540" t="s">
        <v>2591</v>
      </c>
      <c r="J59" s="540"/>
      <c r="K59" s="541"/>
      <c r="L59" s="542"/>
      <c r="M59" s="543"/>
      <c r="N59" s="1155"/>
      <c r="O59" s="1155"/>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6"/>
      <c r="O60" s="1156"/>
      <c r="P60" s="45"/>
      <c r="Q60" s="505"/>
    </row>
    <row r="61" spans="1:17" ht="15.75" thickTop="1">
      <c r="A61" s="535"/>
      <c r="B61" s="547" t="s">
        <v>2554</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6"/>
      <c r="O61" s="1156"/>
      <c r="P61" s="45"/>
      <c r="Q61" s="505"/>
    </row>
    <row r="62" spans="1:17" ht="15">
      <c r="A62" s="535"/>
      <c r="B62" s="549"/>
      <c r="C62" s="550"/>
      <c r="D62" s="550"/>
      <c r="E62" s="550"/>
      <c r="F62" s="550"/>
      <c r="G62" s="550"/>
      <c r="H62" s="550"/>
      <c r="I62" s="550"/>
      <c r="J62" s="550"/>
      <c r="K62" s="551"/>
      <c r="L62" s="552"/>
      <c r="M62" s="553"/>
      <c r="N62" s="1155"/>
      <c r="O62" s="1155"/>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6"/>
      <c r="O63" s="1156"/>
      <c r="P63" s="45"/>
      <c r="Q63" s="505"/>
    </row>
    <row r="64" spans="1:17" s="472" customFormat="1" ht="15.75" thickTop="1">
      <c r="A64" s="554"/>
      <c r="B64" s="539">
        <f>B12</f>
        <v>111</v>
      </c>
      <c r="C64" s="555"/>
      <c r="D64" s="555"/>
      <c r="E64" s="555"/>
      <c r="F64" s="555"/>
      <c r="G64" s="555"/>
      <c r="H64" s="556"/>
      <c r="I64" s="556"/>
      <c r="J64" s="556"/>
      <c r="K64" s="556"/>
      <c r="L64" s="557"/>
      <c r="M64" s="558"/>
      <c r="N64" s="1157"/>
      <c r="O64" s="1157"/>
      <c r="P64" s="559"/>
      <c r="Q64" s="560"/>
    </row>
    <row r="65" spans="1:17" s="472" customFormat="1" ht="15.75" thickBot="1">
      <c r="A65" s="554"/>
      <c r="B65" s="544"/>
      <c r="C65" s="561"/>
      <c r="D65" s="537"/>
      <c r="E65" s="537"/>
      <c r="F65" s="537"/>
      <c r="G65" s="537"/>
      <c r="H65" s="537"/>
      <c r="I65" s="537"/>
      <c r="J65" s="537"/>
      <c r="K65" s="537"/>
      <c r="L65" s="537"/>
      <c r="M65" s="538"/>
      <c r="N65" s="1156"/>
      <c r="O65" s="1156"/>
      <c r="P65" s="559"/>
      <c r="Q65" s="560"/>
    </row>
    <row r="66" spans="1:17" s="472" customFormat="1" ht="15.75" thickTop="1">
      <c r="A66" s="554"/>
      <c r="B66" s="539">
        <f>B13</f>
        <v>111</v>
      </c>
      <c r="C66" s="555"/>
      <c r="D66" s="555"/>
      <c r="E66" s="555"/>
      <c r="F66" s="555"/>
      <c r="G66" s="555"/>
      <c r="H66" s="556"/>
      <c r="I66" s="556"/>
      <c r="J66" s="556"/>
      <c r="K66" s="556"/>
      <c r="L66" s="557"/>
      <c r="M66" s="558"/>
      <c r="N66" s="1157"/>
      <c r="O66" s="1157"/>
      <c r="P66" s="471"/>
      <c r="Q66" s="562"/>
    </row>
    <row r="67" spans="1:17" s="472" customFormat="1" ht="15.75" thickBot="1">
      <c r="A67" s="554"/>
      <c r="B67" s="544"/>
      <c r="C67" s="561"/>
      <c r="D67" s="537"/>
      <c r="E67" s="537"/>
      <c r="F67" s="537"/>
      <c r="G67" s="561"/>
      <c r="H67" s="563"/>
      <c r="I67" s="563"/>
      <c r="J67" s="563"/>
      <c r="K67" s="563"/>
      <c r="L67" s="563"/>
      <c r="M67" s="564"/>
      <c r="N67" s="1157"/>
      <c r="O67" s="1157"/>
      <c r="P67" s="559"/>
      <c r="Q67" s="560"/>
    </row>
    <row r="68" spans="1:17" s="472" customFormat="1" ht="15.75" thickTop="1">
      <c r="A68" s="554"/>
      <c r="B68" s="547">
        <f>B14</f>
        <v>111</v>
      </c>
      <c r="C68" s="524"/>
      <c r="D68" s="524"/>
      <c r="E68" s="524"/>
      <c r="F68" s="524"/>
      <c r="G68" s="524"/>
      <c r="H68" s="565"/>
      <c r="I68" s="565"/>
      <c r="J68" s="565"/>
      <c r="K68" s="565"/>
      <c r="L68" s="566"/>
      <c r="M68" s="567"/>
      <c r="N68" s="1157"/>
      <c r="O68" s="1157"/>
      <c r="P68" s="568"/>
      <c r="Q68" s="560"/>
    </row>
    <row r="69" spans="1:17" s="472" customFormat="1" ht="15.75" thickBot="1">
      <c r="A69" s="569"/>
      <c r="B69" s="570"/>
      <c r="C69" s="571"/>
      <c r="D69" s="571"/>
      <c r="E69" s="571"/>
      <c r="F69" s="571"/>
      <c r="G69" s="571"/>
      <c r="H69" s="572"/>
      <c r="I69" s="572"/>
      <c r="J69" s="572"/>
      <c r="K69" s="572"/>
      <c r="L69" s="572"/>
      <c r="M69" s="573"/>
      <c r="N69" s="1157"/>
      <c r="O69" s="1157"/>
      <c r="P69" s="559"/>
      <c r="Q69" s="560"/>
    </row>
    <row r="70" spans="1:17">
      <c r="A70" s="528" t="s">
        <v>2555</v>
      </c>
      <c r="B70" s="529" t="s">
        <v>2701</v>
      </c>
      <c r="C70" s="574" t="s">
        <v>2593</v>
      </c>
      <c r="D70" s="574" t="s">
        <v>2594</v>
      </c>
      <c r="E70" s="574" t="s">
        <v>2595</v>
      </c>
      <c r="F70" s="574" t="s">
        <v>2596</v>
      </c>
      <c r="G70" s="574" t="s">
        <v>2597</v>
      </c>
      <c r="H70" s="530"/>
      <c r="I70" s="530"/>
      <c r="J70" s="530"/>
      <c r="K70" s="575"/>
      <c r="L70" s="576"/>
      <c r="M70" s="577"/>
      <c r="N70" s="1155"/>
      <c r="O70" s="1155"/>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6"/>
      <c r="O71" s="1156"/>
      <c r="P71" s="45"/>
      <c r="Q71" s="505"/>
    </row>
    <row r="72" spans="1:17" ht="15.75" thickTop="1">
      <c r="A72" s="535"/>
      <c r="B72" s="539" t="s">
        <v>2598</v>
      </c>
      <c r="C72" s="579" t="s">
        <v>2593</v>
      </c>
      <c r="D72" s="579" t="s">
        <v>2594</v>
      </c>
      <c r="E72" s="579" t="s">
        <v>2595</v>
      </c>
      <c r="F72" s="579" t="s">
        <v>2596</v>
      </c>
      <c r="G72" s="579" t="s">
        <v>2597</v>
      </c>
      <c r="H72" s="540"/>
      <c r="I72" s="540"/>
      <c r="J72" s="540"/>
      <c r="K72" s="541"/>
      <c r="L72" s="542"/>
      <c r="M72" s="543"/>
      <c r="N72" s="1155"/>
      <c r="O72" s="1155"/>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6"/>
      <c r="O73" s="1156"/>
      <c r="P73" s="45"/>
      <c r="Q73" s="505"/>
    </row>
    <row r="74" spans="1:17" ht="15.75" thickTop="1">
      <c r="A74" s="535"/>
      <c r="B74" s="539" t="s">
        <v>2599</v>
      </c>
      <c r="C74" s="579" t="s">
        <v>2593</v>
      </c>
      <c r="D74" s="579" t="s">
        <v>2594</v>
      </c>
      <c r="E74" s="579" t="s">
        <v>2595</v>
      </c>
      <c r="F74" s="579" t="s">
        <v>2596</v>
      </c>
      <c r="G74" s="579" t="s">
        <v>2597</v>
      </c>
      <c r="H74" s="540"/>
      <c r="I74" s="540"/>
      <c r="J74" s="540"/>
      <c r="K74" s="541"/>
      <c r="L74" s="542"/>
      <c r="M74" s="543"/>
      <c r="N74" s="1155"/>
      <c r="O74" s="1155"/>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6"/>
      <c r="O75" s="1156"/>
      <c r="P75" s="45"/>
      <c r="Q75" s="505"/>
    </row>
    <row r="76" spans="1:17" ht="15.75" thickTop="1">
      <c r="A76" s="535"/>
      <c r="B76" s="547" t="s">
        <v>2685</v>
      </c>
      <c r="C76" s="661" t="s">
        <v>2671</v>
      </c>
      <c r="D76" s="661" t="s">
        <v>2672</v>
      </c>
      <c r="E76" s="661" t="s">
        <v>2673</v>
      </c>
      <c r="F76" s="661" t="s">
        <v>2674</v>
      </c>
      <c r="G76" s="661" t="s">
        <v>2675</v>
      </c>
      <c r="H76" s="540"/>
      <c r="I76" s="540"/>
      <c r="J76" s="540"/>
      <c r="K76" s="540"/>
      <c r="L76" s="540"/>
      <c r="M76" s="1385"/>
      <c r="N76" s="1156"/>
      <c r="O76" s="1156"/>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6"/>
      <c r="O77" s="1156"/>
      <c r="P77" s="45"/>
      <c r="Q77" s="505"/>
    </row>
    <row r="78" spans="1:17" ht="15.75" thickTop="1">
      <c r="A78" s="535"/>
      <c r="B78" s="539" t="s">
        <v>2694</v>
      </c>
      <c r="C78" s="579" t="s">
        <v>2593</v>
      </c>
      <c r="D78" s="579" t="s">
        <v>2594</v>
      </c>
      <c r="E78" s="579" t="s">
        <v>2595</v>
      </c>
      <c r="F78" s="579" t="s">
        <v>2596</v>
      </c>
      <c r="G78" s="579" t="s">
        <v>2597</v>
      </c>
      <c r="H78" s="540"/>
      <c r="I78" s="540"/>
      <c r="J78" s="540"/>
      <c r="K78" s="541"/>
      <c r="L78" s="542"/>
      <c r="M78" s="543"/>
      <c r="N78" s="1155"/>
      <c r="O78" s="1155"/>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6"/>
      <c r="O79" s="1156"/>
      <c r="P79" s="45"/>
      <c r="Q79" s="505"/>
    </row>
    <row r="80" spans="1:17" s="117" customFormat="1" ht="15.75" thickTop="1">
      <c r="A80" s="580"/>
      <c r="B80" s="539">
        <f>B25</f>
        <v>111</v>
      </c>
      <c r="C80" s="555"/>
      <c r="D80" s="555"/>
      <c r="E80" s="555"/>
      <c r="F80" s="555"/>
      <c r="G80" s="555"/>
      <c r="H80" s="555"/>
      <c r="I80" s="555"/>
      <c r="J80" s="555"/>
      <c r="K80" s="555"/>
      <c r="L80" s="581"/>
      <c r="M80" s="582"/>
      <c r="N80" s="1154"/>
      <c r="O80" s="1154"/>
      <c r="P80" s="45"/>
      <c r="Q80" s="505"/>
    </row>
    <row r="81" spans="1:17" s="117" customFormat="1" ht="15.75" thickBot="1">
      <c r="A81" s="580"/>
      <c r="B81" s="544"/>
      <c r="C81" s="561"/>
      <c r="D81" s="537"/>
      <c r="E81" s="537"/>
      <c r="F81" s="537"/>
      <c r="G81" s="537"/>
      <c r="H81" s="537"/>
      <c r="I81" s="537"/>
      <c r="J81" s="537"/>
      <c r="K81" s="537"/>
      <c r="L81" s="537"/>
      <c r="M81" s="538"/>
      <c r="N81" s="1156"/>
      <c r="O81" s="1156"/>
      <c r="P81" s="45"/>
      <c r="Q81" s="505"/>
    </row>
    <row r="82" spans="1:17" s="117" customFormat="1" ht="15.75" thickTop="1">
      <c r="A82" s="580"/>
      <c r="B82" s="539">
        <f>B26</f>
        <v>111</v>
      </c>
      <c r="C82" s="555"/>
      <c r="D82" s="555"/>
      <c r="E82" s="555"/>
      <c r="F82" s="555"/>
      <c r="G82" s="555"/>
      <c r="H82" s="555"/>
      <c r="I82" s="555"/>
      <c r="J82" s="555"/>
      <c r="K82" s="555"/>
      <c r="L82" s="581"/>
      <c r="M82" s="582"/>
      <c r="N82" s="1154"/>
      <c r="O82" s="1154"/>
      <c r="P82" s="45"/>
      <c r="Q82" s="505"/>
    </row>
    <row r="83" spans="1:17" s="117" customFormat="1" ht="15.75" thickBot="1">
      <c r="A83" s="580"/>
      <c r="B83" s="544"/>
      <c r="C83" s="561"/>
      <c r="D83" s="537"/>
      <c r="E83" s="537"/>
      <c r="F83" s="537"/>
      <c r="G83" s="537"/>
      <c r="H83" s="537"/>
      <c r="I83" s="537"/>
      <c r="J83" s="537"/>
      <c r="K83" s="537"/>
      <c r="L83" s="537"/>
      <c r="M83" s="538"/>
      <c r="N83" s="1156"/>
      <c r="O83" s="1156"/>
      <c r="P83" s="45"/>
      <c r="Q83" s="505"/>
    </row>
    <row r="84" spans="1:17" s="472" customFormat="1" ht="15.75" thickTop="1">
      <c r="A84" s="554"/>
      <c r="B84" s="539">
        <f>B27</f>
        <v>111</v>
      </c>
      <c r="C84" s="555"/>
      <c r="D84" s="555"/>
      <c r="E84" s="555"/>
      <c r="F84" s="555"/>
      <c r="G84" s="555"/>
      <c r="H84" s="555"/>
      <c r="I84" s="555"/>
      <c r="J84" s="555"/>
      <c r="K84" s="555"/>
      <c r="L84" s="581"/>
      <c r="M84" s="582"/>
      <c r="N84" s="1157"/>
      <c r="O84" s="1157"/>
      <c r="P84" s="559"/>
      <c r="Q84" s="560"/>
    </row>
    <row r="85" spans="1:17" s="472" customFormat="1" ht="15.75" thickBot="1">
      <c r="A85" s="554"/>
      <c r="B85" s="544"/>
      <c r="C85" s="561"/>
      <c r="D85" s="537"/>
      <c r="E85" s="537"/>
      <c r="F85" s="537"/>
      <c r="G85" s="537"/>
      <c r="H85" s="537"/>
      <c r="I85" s="537"/>
      <c r="J85" s="537"/>
      <c r="K85" s="537"/>
      <c r="L85" s="537"/>
      <c r="M85" s="538"/>
      <c r="N85" s="1157"/>
      <c r="O85" s="1157"/>
      <c r="P85" s="559"/>
      <c r="Q85" s="560"/>
    </row>
    <row r="86" spans="1:17" ht="15.75" thickTop="1">
      <c r="A86" s="535"/>
      <c r="B86" s="547">
        <f>B28</f>
        <v>111</v>
      </c>
      <c r="C86" s="524"/>
      <c r="D86" s="524"/>
      <c r="E86" s="524"/>
      <c r="F86" s="524"/>
      <c r="G86" s="588"/>
      <c r="H86" s="588"/>
      <c r="I86" s="588"/>
      <c r="J86" s="588"/>
      <c r="K86" s="589"/>
      <c r="L86" s="590"/>
      <c r="M86" s="591"/>
      <c r="N86" s="1155"/>
      <c r="O86" s="1155"/>
      <c r="P86" s="45"/>
      <c r="Q86" s="505"/>
    </row>
    <row r="87" spans="1:17" ht="15.75" thickBot="1">
      <c r="A87" s="2641"/>
      <c r="B87" s="570"/>
      <c r="C87" s="571"/>
      <c r="D87" s="571"/>
      <c r="E87" s="571"/>
      <c r="F87" s="571"/>
      <c r="G87" s="592"/>
      <c r="H87" s="592"/>
      <c r="I87" s="592"/>
      <c r="J87" s="592"/>
      <c r="K87" s="592"/>
      <c r="L87" s="592"/>
      <c r="M87" s="593"/>
      <c r="N87" s="1156"/>
      <c r="O87" s="1156"/>
      <c r="P87" s="45"/>
      <c r="Q87" s="505"/>
    </row>
    <row r="88" spans="1:17">
      <c r="A88" s="528" t="s">
        <v>2559</v>
      </c>
      <c r="B88" s="529" t="s">
        <v>2608</v>
      </c>
      <c r="C88" s="531"/>
      <c r="D88" s="531"/>
      <c r="E88" s="531"/>
      <c r="F88" s="531"/>
      <c r="G88" s="531"/>
      <c r="H88" s="531"/>
      <c r="I88" s="531"/>
      <c r="J88" s="531"/>
      <c r="K88" s="532"/>
      <c r="L88" s="533"/>
      <c r="M88" s="534"/>
      <c r="N88" s="1155"/>
      <c r="O88" s="1155"/>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6"/>
      <c r="O89" s="1156"/>
      <c r="P89" s="45"/>
      <c r="Q89" s="505"/>
    </row>
    <row r="90" spans="1:17" ht="15.75" thickTop="1">
      <c r="A90" s="535"/>
      <c r="B90" s="539" t="s">
        <v>2609</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4"/>
      <c r="O90" s="1154"/>
      <c r="P90" s="45"/>
      <c r="Q90" s="505"/>
    </row>
    <row r="91" spans="1:17" s="472" customFormat="1">
      <c r="A91" s="594"/>
      <c r="B91" s="595"/>
      <c r="C91" s="596"/>
      <c r="D91" s="596"/>
      <c r="E91" s="596"/>
      <c r="F91" s="596"/>
      <c r="G91" s="596"/>
      <c r="H91" s="596"/>
      <c r="I91" s="596"/>
      <c r="J91" s="597"/>
      <c r="K91" s="597"/>
      <c r="L91" s="598"/>
      <c r="M91" s="599"/>
      <c r="N91" s="1157"/>
      <c r="O91" s="1157"/>
      <c r="P91" s="559"/>
      <c r="Q91" s="560"/>
    </row>
    <row r="92" spans="1:17" s="472" customFormat="1" ht="15.75" thickBot="1">
      <c r="A92" s="554"/>
      <c r="B92" s="544"/>
      <c r="C92" s="561"/>
      <c r="D92" s="537"/>
      <c r="E92" s="537"/>
      <c r="F92" s="537"/>
      <c r="G92" s="537"/>
      <c r="H92" s="537"/>
      <c r="I92" s="537"/>
      <c r="J92" s="537"/>
      <c r="K92" s="537"/>
      <c r="L92" s="537"/>
      <c r="M92" s="538"/>
      <c r="N92" s="1156"/>
      <c r="O92" s="1156"/>
      <c r="P92" s="559"/>
      <c r="Q92" s="560"/>
    </row>
    <row r="93" spans="1:17" ht="15" thickTop="1">
      <c r="A93" s="600"/>
      <c r="B93" s="539" t="s">
        <v>2610</v>
      </c>
      <c r="C93" s="555"/>
      <c r="D93" s="555"/>
      <c r="E93" s="584"/>
      <c r="F93" s="584"/>
      <c r="G93" s="584"/>
      <c r="H93" s="584"/>
      <c r="I93" s="584"/>
      <c r="J93" s="584"/>
      <c r="K93" s="585"/>
      <c r="L93" s="586"/>
      <c r="M93" s="587"/>
      <c r="N93" s="1155"/>
      <c r="O93" s="1155"/>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6"/>
      <c r="O94" s="1156"/>
      <c r="P94" s="45"/>
      <c r="Q94" s="505"/>
    </row>
    <row r="95" spans="1:17" ht="15" thickTop="1">
      <c r="A95" s="600"/>
      <c r="B95" s="539" t="s">
        <v>2612</v>
      </c>
      <c r="C95" s="555"/>
      <c r="D95" s="555"/>
      <c r="E95" s="555"/>
      <c r="F95" s="584"/>
      <c r="G95" s="584"/>
      <c r="H95" s="584"/>
      <c r="I95" s="584"/>
      <c r="J95" s="584"/>
      <c r="K95" s="585"/>
      <c r="L95" s="586"/>
      <c r="M95" s="587"/>
      <c r="N95" s="1155"/>
      <c r="O95" s="1155"/>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6"/>
      <c r="O96" s="1156"/>
      <c r="P96" s="45"/>
      <c r="Q96" s="505"/>
    </row>
    <row r="97" spans="1:17" ht="15" thickTop="1">
      <c r="A97" s="600"/>
      <c r="B97" s="539" t="s">
        <v>1994</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5"/>
      <c r="O97" s="1155"/>
      <c r="P97" s="45"/>
      <c r="Q97" s="505"/>
    </row>
    <row r="98" spans="1:17">
      <c r="A98" s="600"/>
      <c r="B98" s="547"/>
      <c r="C98" s="604">
        <v>0.5</v>
      </c>
      <c r="D98" s="604">
        <v>0.6</v>
      </c>
      <c r="E98" s="604">
        <v>0.7</v>
      </c>
      <c r="F98" s="604">
        <v>0.8</v>
      </c>
      <c r="G98" s="604">
        <v>0.9</v>
      </c>
      <c r="H98" s="604">
        <v>1.0001</v>
      </c>
      <c r="I98" s="624"/>
      <c r="J98" s="624"/>
      <c r="K98" s="625"/>
      <c r="L98" s="626"/>
      <c r="M98" s="627"/>
      <c r="N98" s="1155"/>
      <c r="O98" s="1155"/>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6"/>
      <c r="O99" s="1156"/>
      <c r="P99" s="45"/>
      <c r="Q99" s="505"/>
    </row>
    <row r="100" spans="1:17" s="472" customFormat="1" ht="15" thickTop="1">
      <c r="A100" s="594"/>
      <c r="B100" s="539" t="s">
        <v>2613</v>
      </c>
      <c r="C100" s="555"/>
      <c r="D100" s="555"/>
      <c r="E100" s="555"/>
      <c r="F100" s="555"/>
      <c r="G100" s="555"/>
      <c r="H100" s="584"/>
      <c r="I100" s="584"/>
      <c r="J100" s="584"/>
      <c r="K100" s="585"/>
      <c r="L100" s="586"/>
      <c r="M100" s="587"/>
      <c r="N100" s="1157"/>
      <c r="O100" s="1157"/>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7"/>
      <c r="O101" s="1157"/>
      <c r="P101" s="559"/>
      <c r="Q101" s="560"/>
    </row>
    <row r="102" spans="1:17" ht="15" thickTop="1">
      <c r="A102" s="600"/>
      <c r="B102" s="539" t="s">
        <v>2614</v>
      </c>
      <c r="C102" s="555"/>
      <c r="D102" s="555"/>
      <c r="E102" s="555"/>
      <c r="F102" s="555"/>
      <c r="G102" s="555"/>
      <c r="H102" s="584"/>
      <c r="I102" s="584"/>
      <c r="J102" s="584"/>
      <c r="K102" s="585"/>
      <c r="L102" s="586"/>
      <c r="M102" s="587"/>
      <c r="N102" s="1155"/>
      <c r="O102" s="1155"/>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6"/>
      <c r="O103" s="1156"/>
      <c r="P103" s="45"/>
      <c r="Q103" s="505"/>
    </row>
    <row r="104" spans="1:17" ht="15" thickTop="1">
      <c r="A104" s="600"/>
      <c r="B104" s="539" t="s">
        <v>2616</v>
      </c>
      <c r="C104" s="555"/>
      <c r="D104" s="555"/>
      <c r="E104" s="555"/>
      <c r="F104" s="555"/>
      <c r="G104" s="555"/>
      <c r="H104" s="584"/>
      <c r="I104" s="584"/>
      <c r="J104" s="584"/>
      <c r="K104" s="585"/>
      <c r="L104" s="586"/>
      <c r="M104" s="587"/>
      <c r="N104" s="1155"/>
      <c r="O104" s="1155"/>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6"/>
      <c r="O105" s="1156"/>
      <c r="P105" s="45"/>
      <c r="Q105" s="505"/>
    </row>
    <row r="106" spans="1:17" ht="15" thickTop="1">
      <c r="A106" s="600"/>
      <c r="B106" s="637" t="s">
        <v>2702</v>
      </c>
      <c r="C106" s="579" t="s">
        <v>2593</v>
      </c>
      <c r="D106" s="579" t="s">
        <v>2594</v>
      </c>
      <c r="E106" s="579" t="s">
        <v>2595</v>
      </c>
      <c r="F106" s="579" t="s">
        <v>2596</v>
      </c>
      <c r="G106" s="579" t="s">
        <v>2597</v>
      </c>
      <c r="H106" s="540"/>
      <c r="I106" s="540"/>
      <c r="J106" s="540"/>
      <c r="K106" s="541"/>
      <c r="L106" s="542"/>
      <c r="M106" s="543"/>
      <c r="N106" s="1156"/>
      <c r="O106" s="1156"/>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6"/>
      <c r="O107" s="1156"/>
      <c r="P107" s="45"/>
      <c r="Q107" s="505"/>
    </row>
    <row r="108" spans="1:17" s="472" customFormat="1" ht="15" thickTop="1">
      <c r="A108" s="594"/>
      <c r="B108" s="539">
        <f>B38</f>
        <v>111</v>
      </c>
      <c r="C108" s="555"/>
      <c r="D108" s="555"/>
      <c r="E108" s="555"/>
      <c r="F108" s="555"/>
      <c r="G108" s="555"/>
      <c r="H108" s="556"/>
      <c r="I108" s="556"/>
      <c r="J108" s="556"/>
      <c r="K108" s="556"/>
      <c r="L108" s="557"/>
      <c r="M108" s="558"/>
      <c r="N108" s="1157"/>
      <c r="O108" s="1157"/>
      <c r="P108" s="559"/>
      <c r="Q108" s="560"/>
    </row>
    <row r="109" spans="1:17" s="472" customFormat="1" ht="15.75" thickBot="1">
      <c r="A109" s="554"/>
      <c r="B109" s="536"/>
      <c r="C109" s="561"/>
      <c r="D109" s="537"/>
      <c r="E109" s="537"/>
      <c r="F109" s="537"/>
      <c r="G109" s="561"/>
      <c r="H109" s="563"/>
      <c r="I109" s="563"/>
      <c r="J109" s="563"/>
      <c r="K109" s="563"/>
      <c r="L109" s="563"/>
      <c r="M109" s="564"/>
      <c r="N109" s="1157"/>
      <c r="O109" s="1157"/>
      <c r="P109" s="559"/>
      <c r="Q109" s="560"/>
    </row>
    <row r="110" spans="1:17" ht="15" thickTop="1">
      <c r="A110" s="600"/>
      <c r="B110" s="539">
        <f>B39</f>
        <v>111</v>
      </c>
      <c r="C110" s="555"/>
      <c r="D110" s="555"/>
      <c r="E110" s="555"/>
      <c r="F110" s="555"/>
      <c r="G110" s="555"/>
      <c r="H110" s="556"/>
      <c r="I110" s="556"/>
      <c r="J110" s="556"/>
      <c r="K110" s="556"/>
      <c r="L110" s="557"/>
      <c r="M110" s="558"/>
      <c r="N110" s="1155"/>
      <c r="O110" s="1155"/>
      <c r="P110" s="45"/>
      <c r="Q110" s="505"/>
    </row>
    <row r="111" spans="1:17" ht="15.75" thickBot="1">
      <c r="A111" s="535"/>
      <c r="B111" s="544"/>
      <c r="C111" s="561"/>
      <c r="D111" s="537"/>
      <c r="E111" s="537"/>
      <c r="F111" s="537"/>
      <c r="G111" s="561"/>
      <c r="H111" s="563"/>
      <c r="I111" s="563"/>
      <c r="J111" s="563"/>
      <c r="K111" s="563"/>
      <c r="L111" s="563"/>
      <c r="M111" s="564"/>
      <c r="N111" s="1156"/>
      <c r="O111" s="1156"/>
      <c r="P111" s="45"/>
      <c r="Q111" s="505"/>
    </row>
    <row r="112" spans="1:17" ht="15" thickTop="1">
      <c r="A112" s="600"/>
      <c r="B112" s="547">
        <f>B40</f>
        <v>111</v>
      </c>
      <c r="C112" s="524"/>
      <c r="D112" s="524"/>
      <c r="E112" s="524"/>
      <c r="F112" s="524"/>
      <c r="G112" s="588"/>
      <c r="H112" s="588"/>
      <c r="I112" s="588"/>
      <c r="J112" s="588"/>
      <c r="K112" s="524"/>
      <c r="L112" s="525"/>
      <c r="M112" s="591"/>
      <c r="N112" s="1155"/>
      <c r="O112" s="1155"/>
      <c r="P112" s="45"/>
      <c r="Q112" s="505"/>
    </row>
    <row r="113" spans="1:17" ht="15.75" thickBot="1">
      <c r="A113" s="2641"/>
      <c r="B113" s="570"/>
      <c r="C113" s="571"/>
      <c r="D113" s="571"/>
      <c r="E113" s="571"/>
      <c r="F113" s="571"/>
      <c r="G113" s="592"/>
      <c r="H113" s="592"/>
      <c r="I113" s="592"/>
      <c r="J113" s="592"/>
      <c r="K113" s="592"/>
      <c r="L113" s="592"/>
      <c r="M113" s="593"/>
      <c r="N113" s="1156"/>
      <c r="O113" s="1156"/>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2703</v>
      </c>
      <c r="B1" s="1623"/>
      <c r="C1" s="1624" t="s">
        <v>2526</v>
      </c>
      <c r="D1" s="1625"/>
      <c r="E1" s="1626"/>
      <c r="F1" s="2589"/>
      <c r="G1" s="1627" t="s">
        <v>2639</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9" customFormat="1" ht="28.5" customHeight="1" thickTop="1">
      <c r="A2" s="1621" t="s">
        <v>2323</v>
      </c>
      <c r="B2" s="1421" t="e">
        <f ca="1">IF(C2="——",IF(B37="元/平方米",ROUND(C39*D3/10000,0),ROUND(F3*C39/10000,0)),IF(B37="元/平方米",ROUND(C39*D3/10000,0),ROUND(F3*C39/10000,0))-D2)</f>
        <v>#DIV/0!</v>
      </c>
      <c r="C2" s="2591"/>
      <c r="D2" s="1127" t="e">
        <f ca="1">SUMIF(INDIRECT("'"&amp;F2&amp;"'"&amp;"!A:A"),"承租人权益价值",INDIRECT("'"&amp;F2&amp;"'"&amp;"!c:c"))</f>
        <v>#REF!</v>
      </c>
      <c r="E2" s="2592" t="s">
        <v>2324</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9" customFormat="1" ht="28.5" customHeight="1" thickBot="1">
      <c r="A3" s="248" t="s">
        <v>2325</v>
      </c>
      <c r="B3" s="610" t="e">
        <f ca="1">IF(AND(C2="——",B37="元/平方米"),C39,ROUND(B2*10000/D3,0))</f>
        <v>#DIV/0!</v>
      </c>
      <c r="C3" s="401" t="s">
        <v>2640</v>
      </c>
      <c r="D3" s="400">
        <f>SUMIF('数据-汇总表'!$C19:$C33,D1,'数据-汇总表'!$E19:$E33)</f>
        <v>0</v>
      </c>
      <c r="E3" s="401" t="s">
        <v>2704</v>
      </c>
      <c r="F3" s="400">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2" t="s">
        <v>2641</v>
      </c>
      <c r="B4" s="403"/>
      <c r="C4" s="3157" t="s">
        <v>2642</v>
      </c>
      <c r="D4" s="3158"/>
      <c r="E4" s="3159" t="s">
        <v>2643</v>
      </c>
      <c r="F4" s="3160"/>
      <c r="G4" s="3157" t="s">
        <v>2644</v>
      </c>
      <c r="H4" s="3158"/>
      <c r="I4" s="3157" t="s">
        <v>2645</v>
      </c>
      <c r="J4" s="3158"/>
      <c r="K4" s="611" t="s">
        <v>2646</v>
      </c>
      <c r="L4" s="1133"/>
      <c r="M4" s="1134"/>
      <c r="N4" s="1134"/>
      <c r="O4" s="1134"/>
      <c r="P4" s="3227" t="s">
        <v>2647</v>
      </c>
      <c r="Q4" s="3228"/>
      <c r="R4" s="3219" t="s">
        <v>2643</v>
      </c>
      <c r="S4" s="3220"/>
      <c r="T4" s="3219" t="s">
        <v>2644</v>
      </c>
      <c r="U4" s="3220"/>
      <c r="V4" s="3170" t="s">
        <v>2645</v>
      </c>
      <c r="W4" s="3170"/>
      <c r="X4" s="1817"/>
      <c r="Y4" s="3219" t="s">
        <v>2647</v>
      </c>
      <c r="Z4" s="3220"/>
      <c r="AA4" s="3218" t="s">
        <v>2643</v>
      </c>
      <c r="AB4" s="3141" t="s">
        <v>2644</v>
      </c>
      <c r="AC4" s="3218" t="s">
        <v>2645</v>
      </c>
    </row>
    <row r="5" spans="1:29" ht="15">
      <c r="A5" s="405"/>
      <c r="B5" s="406"/>
      <c r="C5" s="3222" t="s">
        <v>2538</v>
      </c>
      <c r="D5" s="3223"/>
      <c r="E5" s="3221" t="s">
        <v>2539</v>
      </c>
      <c r="F5" s="3150"/>
      <c r="G5" s="3222" t="s">
        <v>2540</v>
      </c>
      <c r="H5" s="3223"/>
      <c r="I5" s="3222" t="s">
        <v>2541</v>
      </c>
      <c r="J5" s="3223"/>
      <c r="K5" s="611"/>
      <c r="L5" s="1133"/>
      <c r="M5" s="1134"/>
      <c r="N5" s="1134"/>
      <c r="O5" s="1134"/>
      <c r="P5" s="3229"/>
      <c r="Q5" s="3164"/>
      <c r="R5" s="3147"/>
      <c r="S5" s="3148"/>
      <c r="T5" s="3147"/>
      <c r="U5" s="3148"/>
      <c r="V5" s="3170"/>
      <c r="W5" s="3170"/>
      <c r="X5" s="1817"/>
      <c r="Y5" s="3147"/>
      <c r="Z5" s="3148"/>
      <c r="AA5" s="3141"/>
      <c r="AB5" s="3141"/>
      <c r="AC5" s="3141"/>
    </row>
    <row r="6" spans="1:29" ht="15.75" thickBot="1">
      <c r="A6" s="407"/>
      <c r="B6" s="408"/>
      <c r="C6" s="3224" t="s">
        <v>2542</v>
      </c>
      <c r="D6" s="3225"/>
      <c r="E6" s="3226" t="s">
        <v>2542</v>
      </c>
      <c r="F6" s="3152"/>
      <c r="G6" s="3224" t="s">
        <v>2542</v>
      </c>
      <c r="H6" s="3225"/>
      <c r="I6" s="3224" t="s">
        <v>2542</v>
      </c>
      <c r="J6" s="3225"/>
      <c r="K6" s="611" t="s">
        <v>2543</v>
      </c>
      <c r="L6" s="1133"/>
      <c r="M6" s="1134"/>
      <c r="N6" s="1134"/>
      <c r="O6" s="1134"/>
      <c r="P6" s="3230"/>
      <c r="Q6" s="3166"/>
      <c r="R6" s="3147"/>
      <c r="S6" s="3148"/>
      <c r="T6" s="3167"/>
      <c r="U6" s="3168"/>
      <c r="V6" s="3170"/>
      <c r="W6" s="3170"/>
      <c r="X6" s="1817"/>
      <c r="Y6" s="3167"/>
      <c r="Z6" s="3168"/>
      <c r="AA6" s="3142"/>
      <c r="AB6" s="3142"/>
      <c r="AC6" s="3142"/>
    </row>
    <row r="7" spans="1:29" s="117" customFormat="1" ht="15.75" thickBot="1">
      <c r="A7" s="409" t="s">
        <v>2544</v>
      </c>
      <c r="B7" s="410"/>
      <c r="C7" s="411">
        <f>'数据-取费表'!B2</f>
        <v>43040</v>
      </c>
      <c r="D7" s="412">
        <v>100</v>
      </c>
      <c r="E7" s="413"/>
      <c r="F7" s="414">
        <f>SUMIF(48:48,YEAR(E7)&amp;"-"&amp;MONTH(E7),49:49)</f>
        <v>0</v>
      </c>
      <c r="G7" s="413"/>
      <c r="H7" s="412">
        <f>SUMIF(48:48,YEAR(G7)&amp;"-"&amp;MONTH(G7),49:49)</f>
        <v>0</v>
      </c>
      <c r="I7" s="413"/>
      <c r="J7" s="412">
        <f>SUMIF(48:48,YEAR(I7)&amp;"-"&amp;MONTH(I7),49:49)</f>
        <v>0</v>
      </c>
      <c r="K7" s="612"/>
      <c r="L7" s="1135"/>
      <c r="M7" s="1136"/>
      <c r="N7" s="1136"/>
      <c r="O7" s="1136"/>
      <c r="P7" s="3143" t="s">
        <v>2545</v>
      </c>
      <c r="Q7" s="3172"/>
      <c r="R7" s="770" t="s">
        <v>17</v>
      </c>
      <c r="S7" s="771">
        <f t="shared" ref="S7:S14" si="0">F7</f>
        <v>0</v>
      </c>
      <c r="T7" s="770" t="s">
        <v>17</v>
      </c>
      <c r="U7" s="771">
        <f t="shared" ref="U7:U14" si="1">H7</f>
        <v>0</v>
      </c>
      <c r="V7" s="770" t="s">
        <v>17</v>
      </c>
      <c r="W7" s="771">
        <f t="shared" ref="W7:W14" si="2">J7</f>
        <v>0</v>
      </c>
      <c r="X7" s="772"/>
      <c r="Y7" s="3143" t="s">
        <v>2545</v>
      </c>
      <c r="Z7" s="3144"/>
      <c r="AA7" s="773" t="e">
        <f>D7/F7</f>
        <v>#DIV/0!</v>
      </c>
      <c r="AB7" s="773" t="e">
        <f>D7/H7</f>
        <v>#DIV/0!</v>
      </c>
      <c r="AC7" s="773" t="e">
        <f>D7/J7</f>
        <v>#DIV/0!</v>
      </c>
    </row>
    <row r="8" spans="1:29" s="117" customFormat="1" ht="15.75" thickBot="1">
      <c r="A8" s="409" t="s">
        <v>2546</v>
      </c>
      <c r="B8" s="410"/>
      <c r="C8" s="415" t="s">
        <v>2648</v>
      </c>
      <c r="D8" s="412">
        <v>100</v>
      </c>
      <c r="E8" s="415"/>
      <c r="F8" s="414">
        <f>SUMIF(51:51,E8,52:52)-SUMIF(51:51,C8,52:52)+100</f>
        <v>0</v>
      </c>
      <c r="G8" s="415"/>
      <c r="H8" s="412">
        <f>SUMIF(51:51,G8,52:52)-SUMIF(51:51,C8,52:52)+100</f>
        <v>0</v>
      </c>
      <c r="I8" s="415"/>
      <c r="J8" s="412">
        <f>SUMIF(51:51,I8,52:52)-SUMIF(51:51,C8,52:52)+100</f>
        <v>0</v>
      </c>
      <c r="K8" s="612"/>
      <c r="L8" s="1135"/>
      <c r="M8" s="1136"/>
      <c r="N8" s="1136"/>
      <c r="O8" s="1136"/>
      <c r="P8" s="3143" t="s">
        <v>2548</v>
      </c>
      <c r="Q8" s="3144"/>
      <c r="R8" s="770" t="s">
        <v>17</v>
      </c>
      <c r="S8" s="771">
        <f t="shared" si="0"/>
        <v>0</v>
      </c>
      <c r="T8" s="770" t="s">
        <v>17</v>
      </c>
      <c r="U8" s="771">
        <f t="shared" si="1"/>
        <v>0</v>
      </c>
      <c r="V8" s="770" t="s">
        <v>17</v>
      </c>
      <c r="W8" s="771">
        <f t="shared" si="2"/>
        <v>0</v>
      </c>
      <c r="X8" s="772"/>
      <c r="Y8" s="3143" t="s">
        <v>2548</v>
      </c>
      <c r="Z8" s="3144"/>
      <c r="AA8" s="773" t="e">
        <f t="shared" ref="AA8:AA36" si="3">D8/F8</f>
        <v>#DIV/0!</v>
      </c>
      <c r="AB8" s="773" t="e">
        <f t="shared" ref="AB8:AB36" si="4">D8/H8</f>
        <v>#DIV/0!</v>
      </c>
      <c r="AC8" s="773" t="e">
        <f t="shared" ref="AC8:AC36" si="5">D8/J8</f>
        <v>#DIV/0!</v>
      </c>
    </row>
    <row r="9" spans="1:29" s="117" customFormat="1">
      <c r="A9" s="68" t="s">
        <v>2549</v>
      </c>
      <c r="B9" s="641" t="s">
        <v>2550</v>
      </c>
      <c r="C9" s="417"/>
      <c r="D9" s="135">
        <v>100</v>
      </c>
      <c r="E9" s="420"/>
      <c r="F9" s="135">
        <f>SUMIF(53:53,E9,54:54)-SUMIF(53:53,C9,54:54)+100</f>
        <v>100</v>
      </c>
      <c r="G9" s="418"/>
      <c r="H9" s="135">
        <f>SUMIF(53:53,G9,54:54)-SUMIF(53:53,C9,54:54)+100</f>
        <v>100</v>
      </c>
      <c r="I9" s="418"/>
      <c r="J9" s="135">
        <f>SUMIF(53:53,I9,54:54)-SUMIF(53:53,C9,54:54)+100</f>
        <v>100</v>
      </c>
      <c r="K9" s="612"/>
      <c r="L9" s="1135"/>
      <c r="M9" s="1136"/>
      <c r="N9" s="1136"/>
      <c r="O9" s="1136"/>
      <c r="P9" s="3182" t="s">
        <v>2551</v>
      </c>
      <c r="Q9" s="1799" t="str">
        <f t="shared" ref="Q9:Q14" si="6">B9</f>
        <v>用途</v>
      </c>
      <c r="R9" s="770" t="s">
        <v>17</v>
      </c>
      <c r="S9" s="771">
        <f t="shared" si="0"/>
        <v>100</v>
      </c>
      <c r="T9" s="770" t="s">
        <v>17</v>
      </c>
      <c r="U9" s="771">
        <f t="shared" si="1"/>
        <v>100</v>
      </c>
      <c r="V9" s="770" t="s">
        <v>17</v>
      </c>
      <c r="W9" s="771">
        <f t="shared" si="2"/>
        <v>100</v>
      </c>
      <c r="X9" s="772"/>
      <c r="Y9" s="3017" t="s">
        <v>2552</v>
      </c>
      <c r="Z9" s="55" t="str">
        <f t="shared" ref="Z9:Z14" si="7">Q9</f>
        <v>用途</v>
      </c>
      <c r="AA9" s="773">
        <f t="shared" si="3"/>
        <v>1</v>
      </c>
      <c r="AB9" s="773">
        <f t="shared" si="4"/>
        <v>1</v>
      </c>
      <c r="AC9" s="773">
        <f t="shared" si="5"/>
        <v>1</v>
      </c>
    </row>
    <row r="10" spans="1:29" s="428" customFormat="1" ht="27">
      <c r="A10" s="642"/>
      <c r="B10" s="643" t="s">
        <v>2553</v>
      </c>
      <c r="C10" s="424"/>
      <c r="D10" s="136">
        <v>100</v>
      </c>
      <c r="E10" s="424"/>
      <c r="F10" s="136">
        <f>SUMIF(55:55,E10,56:56)-SUMIF(55:55,C10,56:56)+100</f>
        <v>100</v>
      </c>
      <c r="G10" s="425"/>
      <c r="H10" s="136">
        <f>SUMIF(55:55,G10,56:56)-SUMIF(55:55,C10,56:56)+100</f>
        <v>100</v>
      </c>
      <c r="I10" s="424"/>
      <c r="J10" s="136">
        <f>SUMIF(55:55,I10,56:56)-SUMIF(55:55,C10,56:56)+100</f>
        <v>100</v>
      </c>
      <c r="K10" s="613"/>
      <c r="L10" s="1138"/>
      <c r="M10" s="1139"/>
      <c r="N10" s="1139"/>
      <c r="O10" s="1139"/>
      <c r="P10" s="3182"/>
      <c r="Q10" s="1799"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1"/>
      <c r="M11" s="1134"/>
      <c r="N11" s="1134"/>
      <c r="O11" s="1134"/>
      <c r="P11" s="3182"/>
      <c r="Q11" s="1799">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5"/>
      <c r="M12" s="1136"/>
      <c r="N12" s="1136"/>
      <c r="O12" s="1136"/>
      <c r="P12" s="3182"/>
      <c r="Q12" s="1799">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3"/>
      <c r="M13" s="1134"/>
      <c r="N13" s="1134"/>
      <c r="O13" s="1134"/>
      <c r="P13" s="3182"/>
      <c r="Q13" s="1799">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6.75">
      <c r="A14" s="402" t="s">
        <v>2555</v>
      </c>
      <c r="B14" s="630" t="s">
        <v>2705</v>
      </c>
      <c r="C14" s="2698" t="str">
        <f>IF(B1="工业",估价对象房地状况!G4,估价对象房地状况!C6)</f>
        <v>估价对象紧邻白家疃路，周边路网密集程度一般，行车出入便捷度一般。周边2公里范围内有522路、651路等公交，公共交通便捷度一般。综合评价交通便捷度一般。</v>
      </c>
      <c r="D14" s="442">
        <v>100</v>
      </c>
      <c r="E14" s="443"/>
      <c r="F14" s="444">
        <f>SUMIF(63:63,E15,64:64)-SUMIF(63:63,C15,64:64)+100</f>
        <v>100</v>
      </c>
      <c r="G14" s="445"/>
      <c r="H14" s="442">
        <f>SUMIF(63:63,G15,64:64)-SUMIF(63:63,C15,64:64)+100</f>
        <v>100</v>
      </c>
      <c r="I14" s="443"/>
      <c r="J14" s="442">
        <f>SUMIF(63:63,I15,64:64)-SUMIF(63:63,C15,64:64)+100</f>
        <v>100</v>
      </c>
      <c r="K14" s="615"/>
      <c r="L14" s="1143"/>
      <c r="M14" s="1134"/>
      <c r="N14" s="1134"/>
      <c r="O14" s="1134"/>
      <c r="P14" s="3175" t="s">
        <v>2556</v>
      </c>
      <c r="Q14" s="1814" t="str">
        <f t="shared" si="6"/>
        <v>交通便捷度</v>
      </c>
      <c r="R14" s="774" t="s">
        <v>17</v>
      </c>
      <c r="S14" s="775">
        <f t="shared" si="0"/>
        <v>100</v>
      </c>
      <c r="T14" s="774" t="s">
        <v>17</v>
      </c>
      <c r="U14" s="775">
        <f t="shared" si="1"/>
        <v>100</v>
      </c>
      <c r="V14" s="774" t="s">
        <v>17</v>
      </c>
      <c r="W14" s="775">
        <f t="shared" si="2"/>
        <v>100</v>
      </c>
      <c r="X14" s="1817"/>
      <c r="Y14" s="3175" t="s">
        <v>2556</v>
      </c>
      <c r="Z14" s="1818" t="str">
        <f t="shared" si="7"/>
        <v>交通便捷度</v>
      </c>
      <c r="AA14" s="1815">
        <f t="shared" si="3"/>
        <v>1</v>
      </c>
      <c r="AB14" s="1815">
        <f t="shared" si="4"/>
        <v>1</v>
      </c>
      <c r="AC14" s="1815">
        <f t="shared" si="5"/>
        <v>1</v>
      </c>
    </row>
    <row r="15" spans="1:29" ht="15">
      <c r="A15" s="405"/>
      <c r="B15" s="648"/>
      <c r="C15" s="448"/>
      <c r="D15" s="449"/>
      <c r="E15" s="448"/>
      <c r="F15" s="450"/>
      <c r="G15" s="448"/>
      <c r="H15" s="451"/>
      <c r="I15" s="448"/>
      <c r="J15" s="449"/>
      <c r="K15" s="616"/>
      <c r="L15" s="1143"/>
      <c r="M15" s="1134"/>
      <c r="N15" s="1134"/>
      <c r="O15" s="1134"/>
      <c r="P15" s="3176"/>
      <c r="Q15" s="1814"/>
      <c r="R15" s="774"/>
      <c r="S15" s="775"/>
      <c r="T15" s="774"/>
      <c r="U15" s="775"/>
      <c r="V15" s="774"/>
      <c r="W15" s="775"/>
      <c r="X15" s="1817"/>
      <c r="Y15" s="3176"/>
      <c r="Z15" s="1818"/>
      <c r="AA15" s="1815">
        <v>1</v>
      </c>
      <c r="AB15" s="1815">
        <v>1</v>
      </c>
      <c r="AC15" s="1815">
        <v>1</v>
      </c>
    </row>
    <row r="16" spans="1:29" ht="185.25">
      <c r="A16" s="405"/>
      <c r="B16" s="632" t="s">
        <v>2684</v>
      </c>
      <c r="C16" s="2612" t="str">
        <f>IF(B1="工业",估价对象房地状况!G5,估价对象房地状况!C7)</f>
        <v>周边2公里内的公共服务配套设施较为齐备，有购物场所（华联超市）、医院（北京中医药大学附属医院）、银行（民生银行）、学校（翠微小学）、餐饮（嘉和一品）等公共服务配套设施。</v>
      </c>
      <c r="D16" s="456">
        <v>100</v>
      </c>
      <c r="E16" s="458"/>
      <c r="F16" s="459">
        <f>SUMIF(65:65,E17,66:66)-SUMIF(65:65,C17,66:66)+100</f>
        <v>100</v>
      </c>
      <c r="G16" s="460"/>
      <c r="H16" s="456">
        <f>SUMIF(65:65,G17,66:66)-SUMIF(65:65,C17,66:66)+100</f>
        <v>100</v>
      </c>
      <c r="I16" s="458"/>
      <c r="J16" s="456">
        <f>SUMIF(65:65,I17,66:66)-SUMIF(65:65,C17,66:66)+100</f>
        <v>100</v>
      </c>
      <c r="K16" s="615"/>
      <c r="L16" s="1143"/>
      <c r="M16" s="1134"/>
      <c r="N16" s="1134"/>
      <c r="O16" s="1134"/>
      <c r="P16" s="3176"/>
      <c r="Q16" s="1814" t="str">
        <f>B16</f>
        <v>公共配套设施</v>
      </c>
      <c r="R16" s="774" t="s">
        <v>17</v>
      </c>
      <c r="S16" s="775">
        <f>F16</f>
        <v>100</v>
      </c>
      <c r="T16" s="774" t="s">
        <v>17</v>
      </c>
      <c r="U16" s="775">
        <f>H16</f>
        <v>100</v>
      </c>
      <c r="V16" s="774" t="s">
        <v>17</v>
      </c>
      <c r="W16" s="775">
        <f>J16</f>
        <v>100</v>
      </c>
      <c r="X16" s="1817"/>
      <c r="Y16" s="3176"/>
      <c r="Z16" s="1818" t="str">
        <f>Q16</f>
        <v>公共配套设施</v>
      </c>
      <c r="AA16" s="1815">
        <f t="shared" si="3"/>
        <v>1</v>
      </c>
      <c r="AB16" s="1815">
        <f t="shared" si="4"/>
        <v>1</v>
      </c>
      <c r="AC16" s="1815">
        <f t="shared" si="5"/>
        <v>1</v>
      </c>
    </row>
    <row r="17" spans="1:29" ht="15">
      <c r="A17" s="405"/>
      <c r="B17" s="633"/>
      <c r="C17" s="2613"/>
      <c r="D17" s="449"/>
      <c r="E17" s="448"/>
      <c r="F17" s="450"/>
      <c r="G17" s="448"/>
      <c r="H17" s="449"/>
      <c r="I17" s="448"/>
      <c r="J17" s="449"/>
      <c r="K17" s="616"/>
      <c r="L17" s="1143"/>
      <c r="M17" s="1134"/>
      <c r="N17" s="1134"/>
      <c r="O17" s="1134"/>
      <c r="P17" s="3176"/>
      <c r="Q17" s="1814"/>
      <c r="R17" s="774"/>
      <c r="S17" s="775"/>
      <c r="T17" s="774"/>
      <c r="U17" s="775"/>
      <c r="V17" s="774"/>
      <c r="W17" s="775"/>
      <c r="X17" s="1817"/>
      <c r="Y17" s="3176"/>
      <c r="Z17" s="1818"/>
      <c r="AA17" s="1815">
        <v>1</v>
      </c>
      <c r="AB17" s="1815">
        <v>1</v>
      </c>
      <c r="AC17" s="1815">
        <v>1</v>
      </c>
    </row>
    <row r="18" spans="1:29" ht="15">
      <c r="A18" s="405"/>
      <c r="B18" s="634" t="s">
        <v>2685</v>
      </c>
      <c r="C18" s="2612" t="str">
        <f>IF(B1="工业",估价对象房地状况!G6,估价对象房地状况!C8)</f>
        <v>七通</v>
      </c>
      <c r="D18" s="451">
        <v>100</v>
      </c>
      <c r="E18" s="453"/>
      <c r="F18" s="459">
        <f>SUMIF(67:67,E19,68:68)-SUMIF(67:67,C19,68:68)+100</f>
        <v>100</v>
      </c>
      <c r="G18" s="455"/>
      <c r="H18" s="456">
        <f>SUMIF(67:67,G19,68:68)-SUMIF(67:67,C19,68:68)+100</f>
        <v>100</v>
      </c>
      <c r="I18" s="453"/>
      <c r="J18" s="456">
        <f>SUMIF(67:67,I19,68:68)-SUMIF(67:67,C19,68:68)+100</f>
        <v>100</v>
      </c>
      <c r="K18" s="615"/>
      <c r="L18" s="1143"/>
      <c r="M18" s="1134"/>
      <c r="N18" s="1134"/>
      <c r="O18" s="1134"/>
      <c r="P18" s="3176"/>
      <c r="Q18" s="1814" t="str">
        <f>B18</f>
        <v>基础设施水平</v>
      </c>
      <c r="R18" s="774" t="s">
        <v>17</v>
      </c>
      <c r="S18" s="775">
        <f>F18</f>
        <v>100</v>
      </c>
      <c r="T18" s="774" t="s">
        <v>17</v>
      </c>
      <c r="U18" s="775">
        <f>H18</f>
        <v>100</v>
      </c>
      <c r="V18" s="774" t="s">
        <v>17</v>
      </c>
      <c r="W18" s="775">
        <f>J18</f>
        <v>100</v>
      </c>
      <c r="X18" s="1817"/>
      <c r="Y18" s="3176"/>
      <c r="Z18" s="1818" t="str">
        <f>Q18</f>
        <v>基础设施水平</v>
      </c>
      <c r="AA18" s="1815">
        <f t="shared" ref="AA18" si="8">D18/F18</f>
        <v>1</v>
      </c>
      <c r="AB18" s="1815">
        <f t="shared" ref="AB18" si="9">D18/H18</f>
        <v>1</v>
      </c>
      <c r="AC18" s="1815">
        <f t="shared" ref="AC18" si="10">D18/J18</f>
        <v>1</v>
      </c>
    </row>
    <row r="19" spans="1:29" ht="15">
      <c r="A19" s="405"/>
      <c r="B19" s="634"/>
      <c r="C19" s="2613"/>
      <c r="D19" s="451"/>
      <c r="E19" s="2613"/>
      <c r="F19" s="454"/>
      <c r="G19" s="2613"/>
      <c r="H19" s="449"/>
      <c r="I19" s="448"/>
      <c r="J19" s="449"/>
      <c r="K19" s="1386"/>
      <c r="L19" s="1143"/>
      <c r="M19" s="1134"/>
      <c r="N19" s="1134"/>
      <c r="O19" s="1134"/>
      <c r="P19" s="3176"/>
      <c r="Q19" s="1814"/>
      <c r="R19" s="774"/>
      <c r="S19" s="775"/>
      <c r="T19" s="774"/>
      <c r="U19" s="775"/>
      <c r="V19" s="774"/>
      <c r="W19" s="775"/>
      <c r="X19" s="1817"/>
      <c r="Y19" s="3176"/>
      <c r="Z19" s="1818"/>
      <c r="AA19" s="1815">
        <v>1</v>
      </c>
      <c r="AB19" s="1815">
        <v>1</v>
      </c>
      <c r="AC19" s="1815">
        <v>1</v>
      </c>
    </row>
    <row r="20" spans="1:29" ht="142.5">
      <c r="A20" s="405"/>
      <c r="B20" s="632" t="s">
        <v>2706</v>
      </c>
      <c r="C20" s="2612" t="str">
        <f>IF(B1="工业",估价对象房地状况!G7,估价对象房地状况!C9)</f>
        <v>估价对象周边约2公里范围有温泉公园，自然环境一般；周边约2公里范围内有北京行政学院等人文设施，人文环境一般；综合评价环境状况一般。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3"/>
      <c r="M20" s="1134"/>
      <c r="N20" s="1134"/>
      <c r="O20" s="1134"/>
      <c r="P20" s="3176"/>
      <c r="Q20" s="1814" t="str">
        <f>B20</f>
        <v>自然及人文环境</v>
      </c>
      <c r="R20" s="774" t="s">
        <v>17</v>
      </c>
      <c r="S20" s="775">
        <f>F20</f>
        <v>100</v>
      </c>
      <c r="T20" s="774" t="s">
        <v>17</v>
      </c>
      <c r="U20" s="775">
        <f>H20</f>
        <v>100</v>
      </c>
      <c r="V20" s="774" t="s">
        <v>17</v>
      </c>
      <c r="W20" s="775">
        <f>J20</f>
        <v>100</v>
      </c>
      <c r="X20" s="1817"/>
      <c r="Y20" s="3176"/>
      <c r="Z20" s="1818" t="str">
        <f>Q20</f>
        <v>自然及人文环境</v>
      </c>
      <c r="AA20" s="1815">
        <f t="shared" si="3"/>
        <v>1</v>
      </c>
      <c r="AB20" s="1815">
        <f t="shared" si="4"/>
        <v>1</v>
      </c>
      <c r="AC20" s="1815">
        <f t="shared" si="5"/>
        <v>1</v>
      </c>
    </row>
    <row r="21" spans="1:29" ht="15">
      <c r="A21" s="405"/>
      <c r="B21" s="633"/>
      <c r="C21" s="448"/>
      <c r="D21" s="449"/>
      <c r="E21" s="448"/>
      <c r="F21" s="450"/>
      <c r="G21" s="448"/>
      <c r="H21" s="449"/>
      <c r="I21" s="448"/>
      <c r="J21" s="449"/>
      <c r="K21" s="616"/>
      <c r="L21" s="1143"/>
      <c r="M21" s="1134"/>
      <c r="N21" s="1134"/>
      <c r="O21" s="1134"/>
      <c r="P21" s="3176"/>
      <c r="Q21" s="1814"/>
      <c r="R21" s="774"/>
      <c r="S21" s="775"/>
      <c r="T21" s="774"/>
      <c r="U21" s="775"/>
      <c r="V21" s="774"/>
      <c r="W21" s="775"/>
      <c r="X21" s="1817"/>
      <c r="Y21" s="3176"/>
      <c r="Z21" s="1818"/>
      <c r="AA21" s="1815">
        <v>1</v>
      </c>
      <c r="AB21" s="1815">
        <v>1</v>
      </c>
      <c r="AC21" s="1815">
        <v>1</v>
      </c>
    </row>
    <row r="22" spans="1:29" ht="15">
      <c r="A22" s="405"/>
      <c r="B22" s="632" t="s">
        <v>2707</v>
      </c>
      <c r="C22" s="617"/>
      <c r="D22" s="451">
        <v>100</v>
      </c>
      <c r="E22" s="617"/>
      <c r="F22" s="462">
        <f>SUMIF(71:71,E22,72:72)-SUMIF(71:71,C22,72:72)+100</f>
        <v>100</v>
      </c>
      <c r="G22" s="617"/>
      <c r="H22" s="436">
        <f>SUMIF(71:71,G22,72:72)-SUMIF(71:71,C22,72:72)+100</f>
        <v>100</v>
      </c>
      <c r="I22" s="617"/>
      <c r="J22" s="436">
        <f>SUMIF(71:71,I22,72:72)-SUMIF(71:71,C22,72:72)+100</f>
        <v>100</v>
      </c>
      <c r="K22" s="613"/>
      <c r="L22" s="1143"/>
      <c r="M22" s="1134"/>
      <c r="N22" s="1134"/>
      <c r="O22" s="1134"/>
      <c r="P22" s="3176"/>
      <c r="Q22" s="1814" t="str">
        <f>B22</f>
        <v>楼层</v>
      </c>
      <c r="R22" s="774" t="s">
        <v>17</v>
      </c>
      <c r="S22" s="775">
        <f>F22</f>
        <v>100</v>
      </c>
      <c r="T22" s="774" t="s">
        <v>17</v>
      </c>
      <c r="U22" s="775">
        <f>H22</f>
        <v>100</v>
      </c>
      <c r="V22" s="774" t="s">
        <v>17</v>
      </c>
      <c r="W22" s="775">
        <f>J22</f>
        <v>100</v>
      </c>
      <c r="X22" s="1817"/>
      <c r="Y22" s="3176"/>
      <c r="Z22" s="1818" t="str">
        <f>Q22</f>
        <v>楼层</v>
      </c>
      <c r="AA22" s="1815">
        <f t="shared" si="3"/>
        <v>1</v>
      </c>
      <c r="AB22" s="1815">
        <f t="shared" si="4"/>
        <v>1</v>
      </c>
      <c r="AC22" s="1815">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3"/>
      <c r="M23" s="1134"/>
      <c r="N23" s="1134"/>
      <c r="O23" s="1134"/>
      <c r="P23" s="3176"/>
      <c r="Q23" s="1814">
        <f>B23</f>
        <v>111</v>
      </c>
      <c r="R23" s="774" t="s">
        <v>17</v>
      </c>
      <c r="S23" s="775">
        <f>F23</f>
        <v>100</v>
      </c>
      <c r="T23" s="774" t="s">
        <v>17</v>
      </c>
      <c r="U23" s="775">
        <f>H23</f>
        <v>100</v>
      </c>
      <c r="V23" s="774" t="s">
        <v>17</v>
      </c>
      <c r="W23" s="775">
        <f>J23</f>
        <v>100</v>
      </c>
      <c r="X23" s="1817"/>
      <c r="Y23" s="3176"/>
      <c r="Z23" s="1818">
        <f>Q23</f>
        <v>111</v>
      </c>
      <c r="AA23" s="1815">
        <f t="shared" si="3"/>
        <v>1</v>
      </c>
      <c r="AB23" s="1815">
        <f t="shared" si="4"/>
        <v>1</v>
      </c>
      <c r="AC23" s="1815">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3"/>
      <c r="M24" s="1134"/>
      <c r="N24" s="1134"/>
      <c r="O24" s="1134"/>
      <c r="P24" s="3176"/>
      <c r="Q24" s="1814">
        <f t="shared" ref="Q24:Q36" si="11">B24</f>
        <v>111</v>
      </c>
      <c r="R24" s="774" t="s">
        <v>17</v>
      </c>
      <c r="S24" s="775">
        <f>F24</f>
        <v>100</v>
      </c>
      <c r="T24" s="774" t="s">
        <v>17</v>
      </c>
      <c r="U24" s="775">
        <f>H24</f>
        <v>100</v>
      </c>
      <c r="V24" s="774" t="s">
        <v>17</v>
      </c>
      <c r="W24" s="775">
        <f>J24</f>
        <v>100</v>
      </c>
      <c r="X24" s="1817"/>
      <c r="Y24" s="3176"/>
      <c r="Z24" s="1818">
        <f>Q24</f>
        <v>111</v>
      </c>
      <c r="AA24" s="1815">
        <f t="shared" si="3"/>
        <v>1</v>
      </c>
      <c r="AB24" s="1815">
        <f t="shared" si="4"/>
        <v>1</v>
      </c>
      <c r="AC24" s="1815">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5"/>
      <c r="M25" s="1136"/>
      <c r="N25" s="1136"/>
      <c r="O25" s="1136"/>
      <c r="P25" s="3176"/>
      <c r="Q25" s="1799">
        <f t="shared" si="11"/>
        <v>111</v>
      </c>
      <c r="R25" s="770" t="s">
        <v>17</v>
      </c>
      <c r="S25" s="771">
        <f>F25</f>
        <v>100</v>
      </c>
      <c r="T25" s="770" t="s">
        <v>17</v>
      </c>
      <c r="U25" s="771">
        <f>H25</f>
        <v>100</v>
      </c>
      <c r="V25" s="770" t="s">
        <v>17</v>
      </c>
      <c r="W25" s="771">
        <f>J25</f>
        <v>100</v>
      </c>
      <c r="X25" s="772"/>
      <c r="Y25" s="3176"/>
      <c r="Z25" s="55">
        <f>Q25</f>
        <v>111</v>
      </c>
      <c r="AA25" s="1815">
        <f>D25/F25</f>
        <v>1</v>
      </c>
      <c r="AB25" s="1815">
        <f>D25/H25</f>
        <v>1</v>
      </c>
      <c r="AC25" s="1815">
        <f>D25/J25</f>
        <v>1</v>
      </c>
    </row>
    <row r="26" spans="1:29" ht="15">
      <c r="A26" s="653" t="s">
        <v>2559</v>
      </c>
      <c r="B26" s="70" t="s">
        <v>2708</v>
      </c>
      <c r="C26" s="2699">
        <f>B1</f>
        <v>0</v>
      </c>
      <c r="D26" s="449">
        <v>100</v>
      </c>
      <c r="E26" s="448"/>
      <c r="F26" s="450">
        <f>SUMIF(79:79,E26,80:80)-SUMIF(79:79,C26,80:80)+100</f>
        <v>100</v>
      </c>
      <c r="G26" s="448"/>
      <c r="H26" s="449">
        <f>SUMIF(79:79,G26,80:80)-SUMIF(79:79,C26,80:80)+100</f>
        <v>100</v>
      </c>
      <c r="I26" s="448"/>
      <c r="J26" s="449">
        <f>SUMIF(79:79,I26,80:80)-SUMIF(79:79,C26,80:80)+100</f>
        <v>100</v>
      </c>
      <c r="K26" s="613"/>
      <c r="L26" s="1143"/>
      <c r="M26" s="1134"/>
      <c r="N26" s="1134"/>
      <c r="O26" s="1134"/>
      <c r="P26" s="3234" t="s">
        <v>2561</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80" t="s">
        <v>2561</v>
      </c>
      <c r="Z26" s="1818" t="str">
        <f t="shared" ref="Z26:Z36" si="15">Q26</f>
        <v>配套类型</v>
      </c>
      <c r="AA26" s="1815">
        <f t="shared" si="3"/>
        <v>1</v>
      </c>
      <c r="AB26" s="1815">
        <f t="shared" si="4"/>
        <v>1</v>
      </c>
      <c r="AC26" s="1815">
        <f t="shared" si="5"/>
        <v>1</v>
      </c>
    </row>
    <row r="27" spans="1:29" s="472" customFormat="1" ht="15">
      <c r="A27" s="654"/>
      <c r="B27" s="655" t="s">
        <v>2709</v>
      </c>
      <c r="C27" s="656"/>
      <c r="D27" s="136">
        <v>100</v>
      </c>
      <c r="E27" s="656"/>
      <c r="F27" s="462">
        <f>SUMIF(81:81,E27,82:82)-SUMIF(81:81,C27,82:82)+100</f>
        <v>100</v>
      </c>
      <c r="G27" s="656"/>
      <c r="H27" s="436">
        <f>SUMIF(81:81,G27,82:82)-SUMIF(81:81,C27,82:82)+100</f>
        <v>100</v>
      </c>
      <c r="I27" s="656"/>
      <c r="J27" s="436">
        <f>SUMIF(81:81,I27,82:82)-SUMIF(81:81,C27,82:82)+100</f>
        <v>100</v>
      </c>
      <c r="K27" s="614"/>
      <c r="L27" s="1141"/>
      <c r="M27" s="1144"/>
      <c r="N27" s="1144"/>
      <c r="O27" s="1144"/>
      <c r="P27" s="3180"/>
      <c r="Q27" s="776" t="str">
        <f t="shared" si="11"/>
        <v>项目停车位配比</v>
      </c>
      <c r="R27" s="777" t="s">
        <v>17</v>
      </c>
      <c r="S27" s="778">
        <f t="shared" si="12"/>
        <v>100</v>
      </c>
      <c r="T27" s="777" t="s">
        <v>17</v>
      </c>
      <c r="U27" s="778">
        <f t="shared" si="13"/>
        <v>100</v>
      </c>
      <c r="V27" s="777" t="s">
        <v>17</v>
      </c>
      <c r="W27" s="778">
        <f t="shared" si="14"/>
        <v>100</v>
      </c>
      <c r="X27" s="779"/>
      <c r="Y27" s="3180"/>
      <c r="Z27" s="780" t="str">
        <f t="shared" si="15"/>
        <v>项目停车位配比</v>
      </c>
      <c r="AA27" s="1815">
        <f t="shared" si="3"/>
        <v>1</v>
      </c>
      <c r="AB27" s="1815">
        <f t="shared" si="4"/>
        <v>1</v>
      </c>
      <c r="AC27" s="1815">
        <f t="shared" si="5"/>
        <v>1</v>
      </c>
    </row>
    <row r="28" spans="1:29" ht="15">
      <c r="A28" s="657"/>
      <c r="B28" s="655" t="s">
        <v>2710</v>
      </c>
      <c r="C28" s="461"/>
      <c r="D28" s="436">
        <v>100</v>
      </c>
      <c r="E28" s="461"/>
      <c r="F28" s="462">
        <f>SUMIF(83:83,E28,84:84)-SUMIF(83:83,C28,84:84)+100</f>
        <v>100</v>
      </c>
      <c r="G28" s="461"/>
      <c r="H28" s="436">
        <f>SUMIF(83:83,G28,84:84)-SUMIF(83:83,C28,84:84)+100</f>
        <v>100</v>
      </c>
      <c r="I28" s="461"/>
      <c r="J28" s="436">
        <f>SUMIF(83:83,I28,84:84)-SUMIF(83:83,C28,84:84)+100</f>
        <v>100</v>
      </c>
      <c r="K28" s="613"/>
      <c r="L28" s="1143"/>
      <c r="M28" s="1134"/>
      <c r="N28" s="1134"/>
      <c r="O28" s="1134"/>
      <c r="P28" s="3180"/>
      <c r="Q28" s="1814" t="str">
        <f t="shared" si="11"/>
        <v>公共部分装修</v>
      </c>
      <c r="R28" s="774" t="s">
        <v>17</v>
      </c>
      <c r="S28" s="775">
        <f t="shared" si="12"/>
        <v>100</v>
      </c>
      <c r="T28" s="774" t="s">
        <v>17</v>
      </c>
      <c r="U28" s="775">
        <f t="shared" si="13"/>
        <v>100</v>
      </c>
      <c r="V28" s="774" t="s">
        <v>17</v>
      </c>
      <c r="W28" s="775">
        <f t="shared" si="14"/>
        <v>100</v>
      </c>
      <c r="X28" s="1817"/>
      <c r="Y28" s="3180"/>
      <c r="Z28" s="1818" t="str">
        <f t="shared" si="15"/>
        <v>公共部分装修</v>
      </c>
      <c r="AA28" s="1815">
        <f t="shared" si="3"/>
        <v>1</v>
      </c>
      <c r="AB28" s="1815">
        <f t="shared" si="4"/>
        <v>1</v>
      </c>
      <c r="AC28" s="1815">
        <f t="shared" si="5"/>
        <v>1</v>
      </c>
    </row>
    <row r="29" spans="1:29" ht="15">
      <c r="A29" s="657"/>
      <c r="B29" s="655" t="s">
        <v>2711</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3"/>
      <c r="M29" s="1134"/>
      <c r="N29" s="1134"/>
      <c r="O29" s="1134"/>
      <c r="P29" s="3180"/>
      <c r="Q29" s="1814" t="str">
        <f t="shared" si="11"/>
        <v>成新率</v>
      </c>
      <c r="R29" s="774" t="s">
        <v>17</v>
      </c>
      <c r="S29" s="775" t="e">
        <f t="shared" si="12"/>
        <v>#N/A</v>
      </c>
      <c r="T29" s="774" t="s">
        <v>17</v>
      </c>
      <c r="U29" s="775" t="e">
        <f t="shared" si="13"/>
        <v>#N/A</v>
      </c>
      <c r="V29" s="774" t="s">
        <v>17</v>
      </c>
      <c r="W29" s="775" t="e">
        <f t="shared" si="14"/>
        <v>#N/A</v>
      </c>
      <c r="X29" s="1817"/>
      <c r="Y29" s="3180"/>
      <c r="Z29" s="1818" t="str">
        <f t="shared" si="15"/>
        <v>成新率</v>
      </c>
      <c r="AA29" s="1815" t="e">
        <f t="shared" si="3"/>
        <v>#N/A</v>
      </c>
      <c r="AB29" s="1815" t="e">
        <f t="shared" si="4"/>
        <v>#N/A</v>
      </c>
      <c r="AC29" s="1815" t="e">
        <f t="shared" si="5"/>
        <v>#N/A</v>
      </c>
    </row>
    <row r="30" spans="1:29" ht="15">
      <c r="A30" s="657"/>
      <c r="B30" s="655" t="s">
        <v>2712</v>
      </c>
      <c r="C30" s="658"/>
      <c r="D30" s="436">
        <v>100</v>
      </c>
      <c r="E30" s="658"/>
      <c r="F30" s="462">
        <f>SUMIF(88:88,E30,89:89)-SUMIF(88:88,C30,89:89)+100</f>
        <v>100</v>
      </c>
      <c r="G30" s="658"/>
      <c r="H30" s="436">
        <f>SUMIF(88:88,E30,89:89)-SUMIF(88:88,C30,89:89)+100</f>
        <v>100</v>
      </c>
      <c r="I30" s="658"/>
      <c r="J30" s="436">
        <f>SUMIF(88:88,E30,89:89)-SUMIF(88:88,C30,89:89)+100</f>
        <v>100</v>
      </c>
      <c r="K30" s="613"/>
      <c r="L30" s="1143"/>
      <c r="M30" s="1134"/>
      <c r="N30" s="1134"/>
      <c r="O30" s="1134"/>
      <c r="P30" s="3180"/>
      <c r="Q30" s="1814" t="str">
        <f t="shared" si="11"/>
        <v>物业等级</v>
      </c>
      <c r="R30" s="774" t="s">
        <v>17</v>
      </c>
      <c r="S30" s="775">
        <f t="shared" si="12"/>
        <v>100</v>
      </c>
      <c r="T30" s="774" t="s">
        <v>17</v>
      </c>
      <c r="U30" s="775">
        <f t="shared" si="13"/>
        <v>100</v>
      </c>
      <c r="V30" s="774" t="s">
        <v>17</v>
      </c>
      <c r="W30" s="775">
        <f t="shared" si="14"/>
        <v>100</v>
      </c>
      <c r="X30" s="1817"/>
      <c r="Y30" s="3180"/>
      <c r="Z30" s="1818" t="str">
        <f t="shared" si="15"/>
        <v>物业等级</v>
      </c>
      <c r="AA30" s="1815">
        <f t="shared" si="3"/>
        <v>1</v>
      </c>
      <c r="AB30" s="1815">
        <f t="shared" si="4"/>
        <v>1</v>
      </c>
      <c r="AC30" s="1815">
        <f t="shared" si="5"/>
        <v>1</v>
      </c>
    </row>
    <row r="31" spans="1:29" s="117" customFormat="1" ht="15">
      <c r="A31" s="659"/>
      <c r="B31" s="655" t="s">
        <v>2713</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5"/>
      <c r="M31" s="1136"/>
      <c r="N31" s="1136"/>
      <c r="O31" s="1136"/>
      <c r="P31" s="3180"/>
      <c r="Q31" s="1799" t="str">
        <f t="shared" si="11"/>
        <v>停车位面积</v>
      </c>
      <c r="R31" s="770" t="s">
        <v>17</v>
      </c>
      <c r="S31" s="771" t="e">
        <f t="shared" si="12"/>
        <v>#N/A</v>
      </c>
      <c r="T31" s="770" t="s">
        <v>17</v>
      </c>
      <c r="U31" s="771" t="e">
        <f t="shared" si="13"/>
        <v>#N/A</v>
      </c>
      <c r="V31" s="770" t="s">
        <v>17</v>
      </c>
      <c r="W31" s="771" t="e">
        <f t="shared" si="14"/>
        <v>#N/A</v>
      </c>
      <c r="X31" s="772"/>
      <c r="Y31" s="3180"/>
      <c r="Z31" s="55" t="str">
        <f t="shared" si="15"/>
        <v>停车位面积</v>
      </c>
      <c r="AA31" s="773" t="e">
        <f t="shared" si="3"/>
        <v>#N/A</v>
      </c>
      <c r="AB31" s="773" t="e">
        <f t="shared" si="4"/>
        <v>#N/A</v>
      </c>
      <c r="AC31" s="773" t="e">
        <f t="shared" si="5"/>
        <v>#N/A</v>
      </c>
    </row>
    <row r="32" spans="1:29" ht="15">
      <c r="A32" s="657"/>
      <c r="B32" s="655" t="s">
        <v>2714</v>
      </c>
      <c r="C32" s="461"/>
      <c r="D32" s="436">
        <v>100</v>
      </c>
      <c r="E32" s="461"/>
      <c r="F32" s="462">
        <f>SUMIF(93:93,E32,94:94)-SUMIF(93:93,C32,94:94)+100</f>
        <v>100</v>
      </c>
      <c r="G32" s="461"/>
      <c r="H32" s="436">
        <f>SUMIF(93:93,G32,94:94)-SUMIF(93:93,C32,94:94)+100</f>
        <v>100</v>
      </c>
      <c r="I32" s="461"/>
      <c r="J32" s="436">
        <f>SUMIF(93:93,I32,94:94)-SUMIF(93:93,C32,94:94)+100</f>
        <v>100</v>
      </c>
      <c r="K32" s="613"/>
      <c r="L32" s="1143"/>
      <c r="M32" s="1134"/>
      <c r="N32" s="1134"/>
      <c r="O32" s="1134"/>
      <c r="P32" s="3180" t="s">
        <v>2561</v>
      </c>
      <c r="Q32" s="1814" t="str">
        <f t="shared" si="11"/>
        <v>车位类型</v>
      </c>
      <c r="R32" s="774" t="s">
        <v>17</v>
      </c>
      <c r="S32" s="775">
        <f t="shared" si="12"/>
        <v>100</v>
      </c>
      <c r="T32" s="774" t="s">
        <v>17</v>
      </c>
      <c r="U32" s="775">
        <f t="shared" si="13"/>
        <v>100</v>
      </c>
      <c r="V32" s="774" t="s">
        <v>17</v>
      </c>
      <c r="W32" s="775">
        <f t="shared" si="14"/>
        <v>100</v>
      </c>
      <c r="X32" s="1817"/>
      <c r="Y32" s="3180" t="s">
        <v>2561</v>
      </c>
      <c r="Z32" s="1818" t="str">
        <f t="shared" si="15"/>
        <v>车位类型</v>
      </c>
      <c r="AA32" s="1815">
        <f t="shared" si="3"/>
        <v>1</v>
      </c>
      <c r="AB32" s="1815">
        <f t="shared" si="4"/>
        <v>1</v>
      </c>
      <c r="AC32" s="1815">
        <f t="shared" si="5"/>
        <v>1</v>
      </c>
    </row>
    <row r="33" spans="1:29" ht="15">
      <c r="A33" s="657"/>
      <c r="B33" s="655" t="s">
        <v>2715</v>
      </c>
      <c r="C33" s="461"/>
      <c r="D33" s="436">
        <v>100</v>
      </c>
      <c r="E33" s="461"/>
      <c r="F33" s="462">
        <f>SUMIF(95:95,E33,96:96)-SUMIF(95:95,C33,96:96)+100</f>
        <v>100</v>
      </c>
      <c r="G33" s="461"/>
      <c r="H33" s="436">
        <f>SUMIF(95:95,G33,96:96)-SUMIF(95:95,C33,96:96)+100</f>
        <v>100</v>
      </c>
      <c r="I33" s="461"/>
      <c r="J33" s="436">
        <f>SUMIF(95:95,I33,96:96)-SUMIF(95:95,C33,96:96)+100</f>
        <v>100</v>
      </c>
      <c r="K33" s="613"/>
      <c r="L33" s="1143"/>
      <c r="M33" s="1134"/>
      <c r="N33" s="1134"/>
      <c r="O33" s="1134"/>
      <c r="P33" s="3180"/>
      <c r="Q33" s="1814" t="str">
        <f t="shared" si="11"/>
        <v>是否直接入户</v>
      </c>
      <c r="R33" s="774" t="s">
        <v>17</v>
      </c>
      <c r="S33" s="775">
        <f t="shared" si="12"/>
        <v>100</v>
      </c>
      <c r="T33" s="774" t="s">
        <v>17</v>
      </c>
      <c r="U33" s="775">
        <f t="shared" si="13"/>
        <v>100</v>
      </c>
      <c r="V33" s="774" t="s">
        <v>17</v>
      </c>
      <c r="W33" s="775">
        <f t="shared" si="14"/>
        <v>100</v>
      </c>
      <c r="X33" s="1817"/>
      <c r="Y33" s="3180"/>
      <c r="Z33" s="1818" t="str">
        <f t="shared" si="15"/>
        <v>是否直接入户</v>
      </c>
      <c r="AA33" s="1815">
        <f t="shared" si="3"/>
        <v>1</v>
      </c>
      <c r="AB33" s="1815">
        <f t="shared" si="4"/>
        <v>1</v>
      </c>
      <c r="AC33" s="1815">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3"/>
      <c r="M34" s="1134"/>
      <c r="N34" s="1134"/>
      <c r="O34" s="1134"/>
      <c r="P34" s="3180"/>
      <c r="Q34" s="1814">
        <f t="shared" si="11"/>
        <v>111</v>
      </c>
      <c r="R34" s="774" t="s">
        <v>17</v>
      </c>
      <c r="S34" s="775">
        <f t="shared" si="12"/>
        <v>100</v>
      </c>
      <c r="T34" s="774" t="s">
        <v>17</v>
      </c>
      <c r="U34" s="775">
        <f t="shared" si="13"/>
        <v>100</v>
      </c>
      <c r="V34" s="774" t="s">
        <v>17</v>
      </c>
      <c r="W34" s="775">
        <f t="shared" si="14"/>
        <v>100</v>
      </c>
      <c r="X34" s="1817"/>
      <c r="Y34" s="3180"/>
      <c r="Z34" s="1818">
        <f t="shared" si="15"/>
        <v>111</v>
      </c>
      <c r="AA34" s="1815">
        <f t="shared" si="3"/>
        <v>1</v>
      </c>
      <c r="AB34" s="1815">
        <f t="shared" si="4"/>
        <v>1</v>
      </c>
      <c r="AC34" s="1815">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1"/>
      <c r="M35" s="1144"/>
      <c r="N35" s="1144"/>
      <c r="O35" s="1144"/>
      <c r="P35" s="3180"/>
      <c r="Q35" s="776">
        <f t="shared" si="11"/>
        <v>111</v>
      </c>
      <c r="R35" s="777" t="s">
        <v>17</v>
      </c>
      <c r="S35" s="778">
        <f t="shared" si="12"/>
        <v>100</v>
      </c>
      <c r="T35" s="777" t="s">
        <v>17</v>
      </c>
      <c r="U35" s="778">
        <f t="shared" si="13"/>
        <v>100</v>
      </c>
      <c r="V35" s="777" t="s">
        <v>17</v>
      </c>
      <c r="W35" s="778">
        <f t="shared" si="14"/>
        <v>100</v>
      </c>
      <c r="X35" s="779"/>
      <c r="Y35" s="3180"/>
      <c r="Z35" s="780">
        <f t="shared" si="15"/>
        <v>111</v>
      </c>
      <c r="AA35" s="1815">
        <f t="shared" si="3"/>
        <v>1</v>
      </c>
      <c r="AB35" s="1815">
        <f t="shared" si="4"/>
        <v>1</v>
      </c>
      <c r="AC35" s="1815">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3"/>
      <c r="M36" s="1134"/>
      <c r="N36" s="1134"/>
      <c r="O36" s="1134"/>
      <c r="P36" s="3180"/>
      <c r="Q36" s="1814">
        <f t="shared" si="11"/>
        <v>111</v>
      </c>
      <c r="R36" s="774" t="s">
        <v>17</v>
      </c>
      <c r="S36" s="775">
        <f t="shared" si="12"/>
        <v>100</v>
      </c>
      <c r="T36" s="774" t="s">
        <v>17</v>
      </c>
      <c r="U36" s="775">
        <f t="shared" si="13"/>
        <v>100</v>
      </c>
      <c r="V36" s="774" t="s">
        <v>17</v>
      </c>
      <c r="W36" s="775">
        <f t="shared" si="14"/>
        <v>100</v>
      </c>
      <c r="X36" s="1817"/>
      <c r="Y36" s="3180"/>
      <c r="Z36" s="1818">
        <f t="shared" si="15"/>
        <v>111</v>
      </c>
      <c r="AA36" s="1815">
        <f t="shared" si="3"/>
        <v>1</v>
      </c>
      <c r="AB36" s="1815">
        <f t="shared" si="4"/>
        <v>1</v>
      </c>
      <c r="AC36" s="1815">
        <f t="shared" si="5"/>
        <v>1</v>
      </c>
    </row>
    <row r="37" spans="1:29" ht="15">
      <c r="A37" s="480" t="s">
        <v>2716</v>
      </c>
      <c r="B37" s="2700" t="s">
        <v>2717</v>
      </c>
      <c r="C37" s="1410" t="s">
        <v>1</v>
      </c>
      <c r="D37" s="1411"/>
      <c r="E37" s="1412"/>
      <c r="F37" s="1413"/>
      <c r="G37" s="1414"/>
      <c r="H37" s="1415"/>
      <c r="I37" s="1412"/>
      <c r="J37" s="1415"/>
      <c r="K37" s="620"/>
      <c r="L37" s="1146"/>
      <c r="M37" s="1147"/>
      <c r="N37" s="1134"/>
      <c r="O37" s="1147"/>
      <c r="P37" s="3182" t="str">
        <f>A37</f>
        <v>成交单价</v>
      </c>
      <c r="Q37" s="3182"/>
      <c r="R37" s="3183">
        <f>E37</f>
        <v>0</v>
      </c>
      <c r="S37" s="3183"/>
      <c r="T37" s="3183">
        <f>G37</f>
        <v>0</v>
      </c>
      <c r="U37" s="3183"/>
      <c r="V37" s="3183">
        <f>I37</f>
        <v>0</v>
      </c>
      <c r="W37" s="3183"/>
      <c r="X37" s="759"/>
      <c r="Y37" s="781"/>
      <c r="Z37" s="759"/>
      <c r="AA37" s="759"/>
      <c r="AB37" s="759"/>
      <c r="AC37" s="759"/>
    </row>
    <row r="38" spans="1:29" ht="15.75" thickBot="1">
      <c r="A38" s="487" t="s">
        <v>2718</v>
      </c>
      <c r="B38" s="488" t="str">
        <f>B37</f>
        <v>元/车位</v>
      </c>
      <c r="C38" s="1416" t="e">
        <f>R39</f>
        <v>#DIV/0!</v>
      </c>
      <c r="D38" s="1417"/>
      <c r="E38" s="1418" t="e">
        <f>R38</f>
        <v>#DIV/0!</v>
      </c>
      <c r="F38" s="1418"/>
      <c r="G38" s="1416" t="e">
        <f>T38</f>
        <v>#DIV/0!</v>
      </c>
      <c r="H38" s="1417"/>
      <c r="I38" s="1418" t="e">
        <f>V38</f>
        <v>#DIV/0!</v>
      </c>
      <c r="J38" s="1417"/>
      <c r="K38" s="621"/>
      <c r="L38" s="1146"/>
      <c r="M38" s="1147"/>
      <c r="N38" s="1147"/>
      <c r="O38" s="1147"/>
      <c r="P38" s="3182" t="str">
        <f>A38</f>
        <v>比较价值（元/平方米）</v>
      </c>
      <c r="Q38" s="3182"/>
      <c r="R38" s="3183" t="e">
        <f>IF(F1="售价",ROUND(PRODUCT(R37,AA7:AA36),0),ROUND(PRODUCT(R37,AA7:AA36),1))</f>
        <v>#DIV/0!</v>
      </c>
      <c r="S38" s="3183"/>
      <c r="T38" s="3183" t="e">
        <f>IF(F1="售价",ROUND(PRODUCT(T37,AB7:AB36),0),ROUND(PRODUCT(T37,AB7:AB36),1))</f>
        <v>#DIV/0!</v>
      </c>
      <c r="U38" s="3183"/>
      <c r="V38" s="3183" t="e">
        <f>IF(F1="售价",ROUND(PRODUCT(V37,AC7:AC36),0),ROUND(PRODUCT(V37,AC7:AC36),1))</f>
        <v>#DIV/0!</v>
      </c>
      <c r="W38" s="3183"/>
      <c r="X38" s="759"/>
      <c r="Y38" s="759"/>
      <c r="Z38" s="759"/>
      <c r="AA38" s="759"/>
      <c r="AB38" s="759"/>
      <c r="AC38" s="759"/>
    </row>
    <row r="39" spans="1:29" ht="15.75" thickBot="1">
      <c r="A39" s="493" t="s">
        <v>2719</v>
      </c>
      <c r="B39" s="494"/>
      <c r="C39" s="1420" t="e">
        <f>R39</f>
        <v>#DIV/0!</v>
      </c>
      <c r="D39" s="1420"/>
      <c r="E39" s="1420"/>
      <c r="F39" s="1420"/>
      <c r="G39" s="1420"/>
      <c r="H39" s="1420"/>
      <c r="I39" s="1420"/>
      <c r="J39" s="1420"/>
      <c r="K39" s="622"/>
      <c r="L39" s="1146"/>
      <c r="M39" s="1147"/>
      <c r="N39" s="1147"/>
      <c r="O39" s="1147"/>
      <c r="P39" s="3231" t="str">
        <f>A39</f>
        <v>估价对象XX用房的比较价值（楼面单价，元/平方米）</v>
      </c>
      <c r="Q39" s="3232"/>
      <c r="R39" s="3233" t="e">
        <f>IF(F1="售价",ROUND(AVERAGE(R38:V38),0),ROUND(AVERAGE(R38:V38),1))</f>
        <v>#DIV/0!</v>
      </c>
      <c r="S39" s="3233"/>
      <c r="T39" s="3233"/>
      <c r="U39" s="3233"/>
      <c r="V39" s="3233"/>
      <c r="W39" s="323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8" t="s">
        <v>2720</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8" t="s">
        <v>2721</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3" customFormat="1" ht="13.5" customHeight="1">
      <c r="A44" s="1148"/>
      <c r="B44" s="1148"/>
      <c r="C44" s="498" t="s">
        <v>2722</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3"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9" customFormat="1" ht="15">
      <c r="A48" s="506" t="s">
        <v>2724</v>
      </c>
      <c r="B48" s="507"/>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10"/>
      <c r="B49" s="511"/>
      <c r="C49" s="1570">
        <v>100</v>
      </c>
      <c r="D49" s="513"/>
      <c r="E49" s="513"/>
      <c r="F49" s="513"/>
      <c r="G49" s="513"/>
      <c r="H49" s="513"/>
      <c r="I49" s="513"/>
      <c r="J49" s="513"/>
      <c r="K49" s="513"/>
      <c r="L49" s="513"/>
      <c r="M49" s="514"/>
      <c r="N49" s="513"/>
      <c r="O49" s="514"/>
      <c r="P49" s="1431"/>
      <c r="Q49" s="1430"/>
      <c r="R49" s="1430"/>
      <c r="S49" s="1430"/>
      <c r="T49" s="1430"/>
      <c r="U49" s="1430"/>
      <c r="V49" s="1430"/>
      <c r="W49" s="1430"/>
      <c r="X49" s="1430"/>
      <c r="Y49" s="1430"/>
      <c r="Z49" s="1430"/>
      <c r="AA49" s="1430"/>
      <c r="AB49" s="1430"/>
      <c r="AC49" s="1430"/>
    </row>
    <row r="50" spans="1:29" s="117" customFormat="1" ht="15.75" thickBot="1">
      <c r="A50" s="516" t="s">
        <v>2581</v>
      </c>
      <c r="B50" s="517"/>
      <c r="C50" s="518"/>
      <c r="D50" s="519"/>
      <c r="E50" s="519"/>
      <c r="F50" s="519"/>
      <c r="G50" s="519"/>
      <c r="H50" s="519"/>
      <c r="I50" s="519"/>
      <c r="J50" s="519"/>
      <c r="K50" s="519"/>
      <c r="L50" s="519"/>
      <c r="M50" s="520"/>
      <c r="N50" s="519"/>
      <c r="O50" s="520"/>
      <c r="P50" s="1431"/>
      <c r="Q50" s="1426"/>
      <c r="R50" s="1430"/>
      <c r="S50" s="1430"/>
      <c r="T50" s="1430"/>
      <c r="U50" s="1430"/>
      <c r="V50" s="1430"/>
      <c r="W50" s="1430"/>
      <c r="X50" s="1430"/>
      <c r="Y50" s="1430"/>
      <c r="Z50" s="1430"/>
      <c r="AA50" s="1430"/>
      <c r="AB50" s="1430"/>
      <c r="AC50" s="1430"/>
    </row>
    <row r="51" spans="1:29" s="117" customFormat="1" ht="15">
      <c r="A51" s="522" t="s">
        <v>2546</v>
      </c>
      <c r="B51" s="511"/>
      <c r="C51" s="523" t="s">
        <v>2648</v>
      </c>
      <c r="D51" s="524"/>
      <c r="E51" s="524"/>
      <c r="F51" s="524"/>
      <c r="G51" s="524"/>
      <c r="H51" s="524"/>
      <c r="I51" s="524"/>
      <c r="J51" s="524"/>
      <c r="K51" s="524"/>
      <c r="L51" s="525"/>
      <c r="M51" s="526"/>
      <c r="N51" s="1154"/>
      <c r="O51" s="1154"/>
      <c r="P51" s="1429"/>
      <c r="Q51" s="1426"/>
      <c r="R51" s="1430"/>
      <c r="S51" s="1430"/>
      <c r="T51" s="1430"/>
      <c r="U51" s="1430"/>
      <c r="V51" s="1430"/>
      <c r="W51" s="1430"/>
      <c r="X51" s="1430"/>
      <c r="Y51" s="1430"/>
      <c r="Z51" s="1430"/>
      <c r="AA51" s="1430"/>
      <c r="AB51" s="1430"/>
      <c r="AC51" s="1430"/>
    </row>
    <row r="52" spans="1:29" s="117" customFormat="1" ht="15.75" thickBot="1">
      <c r="A52" s="522"/>
      <c r="B52" s="511"/>
      <c r="C52" s="640">
        <v>100</v>
      </c>
      <c r="D52" s="513"/>
      <c r="E52" s="513"/>
      <c r="F52" s="513"/>
      <c r="G52" s="513"/>
      <c r="H52" s="513"/>
      <c r="I52" s="513"/>
      <c r="J52" s="513"/>
      <c r="K52" s="513"/>
      <c r="L52" s="513"/>
      <c r="M52" s="515"/>
      <c r="N52" s="1154"/>
      <c r="O52" s="1154"/>
      <c r="P52" s="1431"/>
      <c r="Q52" s="1426"/>
      <c r="R52" s="1430"/>
      <c r="S52" s="1430"/>
      <c r="T52" s="1430"/>
      <c r="U52" s="1430"/>
      <c r="V52" s="1430"/>
      <c r="W52" s="1430"/>
      <c r="X52" s="1430"/>
      <c r="Y52" s="1430"/>
      <c r="Z52" s="1430"/>
      <c r="AA52" s="1430"/>
      <c r="AB52" s="1430"/>
      <c r="AC52" s="1430"/>
    </row>
    <row r="53" spans="1:29">
      <c r="A53" s="528" t="s">
        <v>2584</v>
      </c>
      <c r="B53" s="529" t="s">
        <v>2550</v>
      </c>
      <c r="C53" s="530">
        <f>C9</f>
        <v>0</v>
      </c>
      <c r="D53" s="531"/>
      <c r="E53" s="531"/>
      <c r="F53" s="531"/>
      <c r="G53" s="531"/>
      <c r="H53" s="531"/>
      <c r="I53" s="531"/>
      <c r="J53" s="531"/>
      <c r="K53" s="532"/>
      <c r="L53" s="533"/>
      <c r="M53" s="534"/>
      <c r="N53" s="1155"/>
      <c r="O53" s="1155"/>
      <c r="P53" s="1432"/>
      <c r="Q53" s="1426"/>
      <c r="R53" s="1147"/>
      <c r="S53" s="1147"/>
      <c r="T53" s="1147"/>
      <c r="U53" s="1147"/>
      <c r="V53" s="1147"/>
      <c r="W53" s="1147"/>
      <c r="X53" s="1147"/>
      <c r="Y53" s="1147"/>
      <c r="Z53" s="1147"/>
      <c r="AA53" s="1147"/>
      <c r="AB53" s="1147"/>
      <c r="AC53" s="1147"/>
    </row>
    <row r="54" spans="1:29" ht="15.75" thickBot="1">
      <c r="A54" s="535"/>
      <c r="B54" s="536"/>
      <c r="C54" s="537">
        <v>100</v>
      </c>
      <c r="D54" s="537"/>
      <c r="E54" s="537"/>
      <c r="F54" s="537"/>
      <c r="G54" s="537"/>
      <c r="H54" s="537"/>
      <c r="I54" s="537"/>
      <c r="J54" s="537"/>
      <c r="K54" s="537"/>
      <c r="L54" s="537"/>
      <c r="M54" s="538"/>
      <c r="N54" s="1156"/>
      <c r="O54" s="1156"/>
      <c r="P54" s="1432"/>
      <c r="Q54" s="1426"/>
      <c r="R54" s="1147"/>
      <c r="S54" s="1147"/>
      <c r="T54" s="1147"/>
      <c r="U54" s="1147"/>
      <c r="V54" s="1147"/>
      <c r="W54" s="1147"/>
      <c r="X54" s="1147"/>
      <c r="Y54" s="1147"/>
      <c r="Z54" s="1147"/>
      <c r="AA54" s="1147"/>
      <c r="AB54" s="1147"/>
      <c r="AC54" s="1147"/>
    </row>
    <row r="55" spans="1:29" ht="27.75" thickTop="1">
      <c r="A55" s="535"/>
      <c r="B55" s="539" t="s">
        <v>2553</v>
      </c>
      <c r="C55" s="540" t="s">
        <v>2585</v>
      </c>
      <c r="D55" s="540" t="s">
        <v>2586</v>
      </c>
      <c r="E55" s="540" t="s">
        <v>2587</v>
      </c>
      <c r="F55" s="540" t="s">
        <v>2588</v>
      </c>
      <c r="G55" s="540" t="s">
        <v>2589</v>
      </c>
      <c r="H55" s="540" t="s">
        <v>2590</v>
      </c>
      <c r="I55" s="540" t="s">
        <v>2591</v>
      </c>
      <c r="J55" s="540"/>
      <c r="K55" s="541"/>
      <c r="L55" s="542"/>
      <c r="M55" s="543"/>
      <c r="N55" s="1155"/>
      <c r="O55" s="1155"/>
      <c r="P55" s="1432"/>
      <c r="Q55" s="1426"/>
      <c r="R55" s="1147"/>
      <c r="S55" s="1147"/>
      <c r="T55" s="1147"/>
      <c r="U55" s="1147"/>
      <c r="V55" s="1147"/>
      <c r="W55" s="1147"/>
      <c r="X55" s="1147"/>
      <c r="Y55" s="1147"/>
      <c r="Z55" s="1147"/>
      <c r="AA55" s="1147"/>
      <c r="AB55" s="1147"/>
      <c r="AC55" s="1147"/>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6"/>
      <c r="O56" s="1156"/>
      <c r="P56" s="1432"/>
      <c r="Q56" s="1426"/>
      <c r="R56" s="1147"/>
      <c r="S56" s="1147"/>
      <c r="T56" s="1147"/>
      <c r="U56" s="1147"/>
      <c r="V56" s="1147"/>
      <c r="W56" s="1147"/>
      <c r="X56" s="1147"/>
      <c r="Y56" s="1147"/>
      <c r="Z56" s="1147"/>
      <c r="AA56" s="1147"/>
      <c r="AB56" s="1147"/>
      <c r="AC56" s="1147"/>
    </row>
    <row r="57" spans="1:29" ht="15.75" thickTop="1">
      <c r="A57" s="535"/>
      <c r="B57" s="661">
        <f>B11</f>
        <v>111</v>
      </c>
      <c r="C57" s="550"/>
      <c r="D57" s="550"/>
      <c r="E57" s="550"/>
      <c r="F57" s="550"/>
      <c r="G57" s="550"/>
      <c r="H57" s="550"/>
      <c r="I57" s="550"/>
      <c r="J57" s="550"/>
      <c r="K57" s="551"/>
      <c r="L57" s="552"/>
      <c r="M57" s="553"/>
      <c r="N57" s="1155"/>
      <c r="O57" s="1155"/>
      <c r="P57" s="1432"/>
      <c r="Q57" s="1426"/>
      <c r="R57" s="1147"/>
      <c r="S57" s="1147"/>
      <c r="T57" s="1147"/>
      <c r="U57" s="1147"/>
      <c r="V57" s="1147"/>
      <c r="W57" s="1147"/>
      <c r="X57" s="1147"/>
      <c r="Y57" s="1147"/>
      <c r="Z57" s="1147"/>
      <c r="AA57" s="1147"/>
      <c r="AB57" s="1147"/>
      <c r="AC57" s="1147"/>
    </row>
    <row r="58" spans="1:29" ht="15.75" thickBot="1">
      <c r="A58" s="535"/>
      <c r="B58" s="536"/>
      <c r="C58" s="561"/>
      <c r="D58" s="537"/>
      <c r="E58" s="537"/>
      <c r="F58" s="537"/>
      <c r="G58" s="537"/>
      <c r="H58" s="537"/>
      <c r="I58" s="537"/>
      <c r="J58" s="537"/>
      <c r="K58" s="537"/>
      <c r="L58" s="537"/>
      <c r="M58" s="538"/>
      <c r="N58" s="1156"/>
      <c r="O58" s="1156"/>
      <c r="P58" s="1432"/>
      <c r="Q58" s="1426"/>
      <c r="R58" s="1147"/>
      <c r="S58" s="1147"/>
      <c r="T58" s="1147"/>
      <c r="U58" s="1147"/>
      <c r="V58" s="1147"/>
      <c r="W58" s="1147"/>
      <c r="X58" s="1147"/>
      <c r="Y58" s="1147"/>
      <c r="Z58" s="1147"/>
      <c r="AA58" s="1147"/>
      <c r="AB58" s="1147"/>
      <c r="AC58" s="1147"/>
    </row>
    <row r="59" spans="1:29" s="472" customFormat="1" ht="15.75" thickTop="1">
      <c r="A59" s="554"/>
      <c r="B59" s="539">
        <f>B12</f>
        <v>111</v>
      </c>
      <c r="C59" s="550"/>
      <c r="D59" s="550"/>
      <c r="E59" s="550"/>
      <c r="F59" s="550"/>
      <c r="G59" s="555"/>
      <c r="H59" s="556"/>
      <c r="I59" s="556"/>
      <c r="J59" s="556"/>
      <c r="K59" s="556"/>
      <c r="L59" s="557"/>
      <c r="M59" s="558"/>
      <c r="N59" s="1157"/>
      <c r="O59" s="1157"/>
      <c r="P59" s="1433"/>
      <c r="Q59" s="1434"/>
      <c r="R59" s="1435"/>
      <c r="S59" s="1435"/>
      <c r="T59" s="1435"/>
      <c r="U59" s="1435"/>
      <c r="V59" s="1435"/>
      <c r="W59" s="1435"/>
      <c r="X59" s="1435"/>
      <c r="Y59" s="1435"/>
      <c r="Z59" s="1435"/>
      <c r="AA59" s="1435"/>
      <c r="AB59" s="1435"/>
      <c r="AC59" s="1435"/>
    </row>
    <row r="60" spans="1:29" s="472" customFormat="1" ht="15.75" thickBot="1">
      <c r="A60" s="554"/>
      <c r="B60" s="544"/>
      <c r="C60" s="561"/>
      <c r="D60" s="537"/>
      <c r="E60" s="537"/>
      <c r="F60" s="537"/>
      <c r="G60" s="537"/>
      <c r="H60" s="537"/>
      <c r="I60" s="537"/>
      <c r="J60" s="537"/>
      <c r="K60" s="537"/>
      <c r="L60" s="537"/>
      <c r="M60" s="538"/>
      <c r="N60" s="1156"/>
      <c r="O60" s="1156"/>
      <c r="P60" s="1433"/>
      <c r="Q60" s="1434"/>
      <c r="R60" s="1435"/>
      <c r="S60" s="1435"/>
      <c r="T60" s="1435"/>
      <c r="U60" s="1435"/>
      <c r="V60" s="1435"/>
      <c r="W60" s="1435"/>
      <c r="X60" s="1435"/>
      <c r="Y60" s="1435"/>
      <c r="Z60" s="1435"/>
      <c r="AA60" s="1435"/>
      <c r="AB60" s="1435"/>
      <c r="AC60" s="1435"/>
    </row>
    <row r="61" spans="1:29" s="472" customFormat="1" ht="15.75" thickTop="1">
      <c r="A61" s="554"/>
      <c r="B61" s="539">
        <f>B13</f>
        <v>111</v>
      </c>
      <c r="C61" s="555"/>
      <c r="D61" s="555"/>
      <c r="E61" s="555"/>
      <c r="F61" s="555"/>
      <c r="G61" s="555"/>
      <c r="H61" s="556"/>
      <c r="I61" s="556"/>
      <c r="J61" s="556"/>
      <c r="K61" s="556"/>
      <c r="L61" s="557"/>
      <c r="M61" s="558"/>
      <c r="N61" s="1157"/>
      <c r="O61" s="1157"/>
      <c r="P61" s="1436"/>
      <c r="Q61" s="1437"/>
      <c r="R61" s="1435"/>
      <c r="S61" s="1435"/>
      <c r="T61" s="1435"/>
      <c r="U61" s="1435"/>
      <c r="V61" s="1435"/>
      <c r="W61" s="1435"/>
      <c r="X61" s="1435"/>
      <c r="Y61" s="1435"/>
      <c r="Z61" s="1435"/>
      <c r="AA61" s="1435"/>
      <c r="AB61" s="1435"/>
      <c r="AC61" s="1435"/>
    </row>
    <row r="62" spans="1:29" s="472" customFormat="1" ht="15.75" thickBot="1">
      <c r="A62" s="554"/>
      <c r="B62" s="544"/>
      <c r="C62" s="561"/>
      <c r="D62" s="561"/>
      <c r="E62" s="561"/>
      <c r="F62" s="561"/>
      <c r="G62" s="561"/>
      <c r="H62" s="563"/>
      <c r="I62" s="563"/>
      <c r="J62" s="563"/>
      <c r="K62" s="563"/>
      <c r="L62" s="563"/>
      <c r="M62" s="564"/>
      <c r="N62" s="1157"/>
      <c r="O62" s="1157"/>
      <c r="P62" s="1433"/>
      <c r="Q62" s="1434"/>
      <c r="R62" s="1435"/>
      <c r="S62" s="1435"/>
      <c r="T62" s="1435"/>
      <c r="U62" s="1435"/>
      <c r="V62" s="1435"/>
      <c r="W62" s="1435"/>
      <c r="X62" s="1435"/>
      <c r="Y62" s="1435"/>
      <c r="Z62" s="1435"/>
      <c r="AA62" s="1435"/>
      <c r="AB62" s="1435"/>
      <c r="AC62" s="1435"/>
    </row>
    <row r="63" spans="1:29" ht="15" thickTop="1">
      <c r="A63" s="528" t="s">
        <v>2555</v>
      </c>
      <c r="B63" s="529" t="s">
        <v>2598</v>
      </c>
      <c r="C63" s="574" t="s">
        <v>2593</v>
      </c>
      <c r="D63" s="574" t="s">
        <v>2594</v>
      </c>
      <c r="E63" s="574" t="s">
        <v>2595</v>
      </c>
      <c r="F63" s="574" t="s">
        <v>2596</v>
      </c>
      <c r="G63" s="574" t="s">
        <v>2597</v>
      </c>
      <c r="H63" s="530"/>
      <c r="I63" s="530"/>
      <c r="J63" s="530"/>
      <c r="K63" s="575"/>
      <c r="L63" s="576"/>
      <c r="M63" s="577"/>
      <c r="N63" s="1155"/>
      <c r="O63" s="1155"/>
      <c r="P63" s="1438"/>
      <c r="Q63" s="1426"/>
      <c r="R63" s="1147"/>
      <c r="S63" s="1147"/>
      <c r="T63" s="1147"/>
      <c r="U63" s="1147"/>
      <c r="V63" s="1147"/>
      <c r="W63" s="1147"/>
      <c r="X63" s="1147"/>
      <c r="Y63" s="1147"/>
      <c r="Z63" s="1147"/>
      <c r="AA63" s="1147"/>
      <c r="AB63" s="1147"/>
      <c r="AC63" s="1147"/>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6"/>
      <c r="O64" s="1156"/>
      <c r="P64" s="1432"/>
      <c r="Q64" s="1426"/>
      <c r="R64" s="1147"/>
      <c r="S64" s="1147"/>
      <c r="T64" s="1147"/>
      <c r="U64" s="1147"/>
      <c r="V64" s="1147"/>
      <c r="W64" s="1147"/>
      <c r="X64" s="1147"/>
      <c r="Y64" s="1147"/>
      <c r="Z64" s="1147"/>
      <c r="AA64" s="1147"/>
      <c r="AB64" s="1147"/>
      <c r="AC64" s="1147"/>
    </row>
    <row r="65" spans="1:29" ht="15.75" thickTop="1">
      <c r="A65" s="535"/>
      <c r="B65" s="539" t="s">
        <v>2599</v>
      </c>
      <c r="C65" s="579" t="s">
        <v>2593</v>
      </c>
      <c r="D65" s="579" t="s">
        <v>2594</v>
      </c>
      <c r="E65" s="579" t="s">
        <v>2595</v>
      </c>
      <c r="F65" s="579" t="s">
        <v>2596</v>
      </c>
      <c r="G65" s="579" t="s">
        <v>2597</v>
      </c>
      <c r="H65" s="540"/>
      <c r="I65" s="540"/>
      <c r="J65" s="540"/>
      <c r="K65" s="541"/>
      <c r="L65" s="542"/>
      <c r="M65" s="543"/>
      <c r="N65" s="1155"/>
      <c r="O65" s="1155"/>
      <c r="P65" s="1432"/>
      <c r="Q65" s="1426"/>
      <c r="R65" s="1147"/>
      <c r="S65" s="1147"/>
      <c r="T65" s="1147"/>
      <c r="U65" s="1147"/>
      <c r="V65" s="1147"/>
      <c r="W65" s="1147"/>
      <c r="X65" s="1147"/>
      <c r="Y65" s="1147"/>
      <c r="Z65" s="1147"/>
      <c r="AA65" s="1147"/>
      <c r="AB65" s="1147"/>
      <c r="AC65" s="1147"/>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6"/>
      <c r="O66" s="1156"/>
      <c r="P66" s="1432"/>
      <c r="Q66" s="1426"/>
      <c r="R66" s="1147"/>
      <c r="S66" s="1147"/>
      <c r="T66" s="1147"/>
      <c r="U66" s="1147"/>
      <c r="V66" s="1147"/>
      <c r="W66" s="1147"/>
      <c r="X66" s="1147"/>
      <c r="Y66" s="1147"/>
      <c r="Z66" s="1147"/>
      <c r="AA66" s="1147"/>
      <c r="AB66" s="1147"/>
      <c r="AC66" s="1147"/>
    </row>
    <row r="67" spans="1:29" ht="15.75" thickTop="1">
      <c r="A67" s="535"/>
      <c r="B67" s="547" t="s">
        <v>2685</v>
      </c>
      <c r="C67" s="661" t="s">
        <v>2671</v>
      </c>
      <c r="D67" s="661" t="s">
        <v>2672</v>
      </c>
      <c r="E67" s="661" t="s">
        <v>2673</v>
      </c>
      <c r="F67" s="661" t="s">
        <v>2674</v>
      </c>
      <c r="G67" s="661" t="s">
        <v>2675</v>
      </c>
      <c r="H67" s="540"/>
      <c r="I67" s="540"/>
      <c r="J67" s="540"/>
      <c r="K67" s="540"/>
      <c r="L67" s="540"/>
      <c r="M67" s="1385"/>
      <c r="N67" s="1156"/>
      <c r="O67" s="1156"/>
      <c r="P67" s="1432"/>
      <c r="Q67" s="1426"/>
      <c r="R67" s="1147"/>
      <c r="S67" s="1147"/>
      <c r="T67" s="1147"/>
      <c r="U67" s="1147"/>
      <c r="V67" s="1147"/>
      <c r="W67" s="1147"/>
      <c r="X67" s="1147"/>
      <c r="Y67" s="1147"/>
      <c r="Z67" s="1147"/>
      <c r="AA67" s="1147"/>
      <c r="AB67" s="1147"/>
      <c r="AC67" s="1147"/>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6"/>
      <c r="O68" s="1156"/>
      <c r="P68" s="1432"/>
      <c r="Q68" s="1426"/>
      <c r="R68" s="1147"/>
      <c r="S68" s="1147"/>
      <c r="T68" s="1147"/>
      <c r="U68" s="1147"/>
      <c r="V68" s="1147"/>
      <c r="W68" s="1147"/>
      <c r="X68" s="1147"/>
      <c r="Y68" s="1147"/>
      <c r="Z68" s="1147"/>
      <c r="AA68" s="1147"/>
      <c r="AB68" s="1147"/>
      <c r="AC68" s="1147"/>
    </row>
    <row r="69" spans="1:29" ht="15.75" thickTop="1">
      <c r="A69" s="535"/>
      <c r="B69" s="539" t="s">
        <v>2605</v>
      </c>
      <c r="C69" s="579" t="s">
        <v>2593</v>
      </c>
      <c r="D69" s="579" t="s">
        <v>2594</v>
      </c>
      <c r="E69" s="579" t="s">
        <v>2595</v>
      </c>
      <c r="F69" s="579" t="s">
        <v>2596</v>
      </c>
      <c r="G69" s="579" t="s">
        <v>2597</v>
      </c>
      <c r="H69" s="540"/>
      <c r="I69" s="540"/>
      <c r="J69" s="540"/>
      <c r="K69" s="541"/>
      <c r="L69" s="542"/>
      <c r="M69" s="543"/>
      <c r="N69" s="1155"/>
      <c r="O69" s="1155"/>
      <c r="P69" s="1432"/>
      <c r="Q69" s="1426"/>
      <c r="R69" s="1147"/>
      <c r="S69" s="1147"/>
      <c r="T69" s="1147"/>
      <c r="U69" s="1147"/>
      <c r="V69" s="1147"/>
      <c r="W69" s="1147"/>
      <c r="X69" s="1147"/>
      <c r="Y69" s="1147"/>
      <c r="Z69" s="1147"/>
      <c r="AA69" s="1147"/>
      <c r="AB69" s="1147"/>
      <c r="AC69" s="1147"/>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6"/>
      <c r="O70" s="1156"/>
      <c r="P70" s="1432"/>
      <c r="Q70" s="1426"/>
      <c r="R70" s="1147"/>
      <c r="S70" s="1147"/>
      <c r="T70" s="1147"/>
      <c r="U70" s="1147"/>
      <c r="V70" s="1147"/>
      <c r="W70" s="1147"/>
      <c r="X70" s="1147"/>
      <c r="Y70" s="1147"/>
      <c r="Z70" s="1147"/>
      <c r="AA70" s="1147"/>
      <c r="AB70" s="1147"/>
      <c r="AC70" s="1147"/>
    </row>
    <row r="71" spans="1:29" ht="15.75" thickTop="1">
      <c r="A71" s="535"/>
      <c r="B71" s="539" t="s">
        <v>2725</v>
      </c>
      <c r="C71" s="555"/>
      <c r="D71" s="555"/>
      <c r="E71" s="555"/>
      <c r="F71" s="555"/>
      <c r="G71" s="555"/>
      <c r="H71" s="584"/>
      <c r="I71" s="584"/>
      <c r="J71" s="584"/>
      <c r="K71" s="585"/>
      <c r="L71" s="586"/>
      <c r="M71" s="587"/>
      <c r="N71" s="1155"/>
      <c r="O71" s="1155"/>
      <c r="P71" s="1432"/>
      <c r="Q71" s="1426"/>
      <c r="R71" s="1147"/>
      <c r="S71" s="1147"/>
      <c r="T71" s="1147"/>
      <c r="U71" s="1147"/>
      <c r="V71" s="1147"/>
      <c r="W71" s="1147"/>
      <c r="X71" s="1147"/>
      <c r="Y71" s="1147"/>
      <c r="Z71" s="1147"/>
      <c r="AA71" s="1147"/>
      <c r="AB71" s="1147"/>
      <c r="AC71" s="1147"/>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6"/>
      <c r="O72" s="1156"/>
      <c r="P72" s="1432"/>
      <c r="Q72" s="1426"/>
      <c r="R72" s="1147"/>
      <c r="S72" s="1147"/>
      <c r="T72" s="1147"/>
      <c r="U72" s="1147"/>
      <c r="V72" s="1147"/>
      <c r="W72" s="1147"/>
      <c r="X72" s="1147"/>
      <c r="Y72" s="1147"/>
      <c r="Z72" s="1147"/>
      <c r="AA72" s="1147"/>
      <c r="AB72" s="1147"/>
      <c r="AC72" s="1147"/>
    </row>
    <row r="73" spans="1:29" s="117" customFormat="1" ht="15.75" thickTop="1">
      <c r="A73" s="580"/>
      <c r="B73" s="539">
        <f>B23</f>
        <v>111</v>
      </c>
      <c r="C73" s="550"/>
      <c r="D73" s="550"/>
      <c r="E73" s="550"/>
      <c r="F73" s="550"/>
      <c r="G73" s="555"/>
      <c r="H73" s="555"/>
      <c r="I73" s="555"/>
      <c r="J73" s="555"/>
      <c r="K73" s="555"/>
      <c r="L73" s="581"/>
      <c r="M73" s="582"/>
      <c r="N73" s="1154"/>
      <c r="O73" s="1154"/>
      <c r="P73" s="1432"/>
      <c r="Q73" s="1426"/>
      <c r="R73" s="1430"/>
      <c r="S73" s="1430"/>
      <c r="T73" s="1430"/>
      <c r="U73" s="1430"/>
      <c r="V73" s="1430"/>
      <c r="W73" s="1430"/>
      <c r="X73" s="1430"/>
      <c r="Y73" s="1430"/>
      <c r="Z73" s="1430"/>
      <c r="AA73" s="1430"/>
      <c r="AB73" s="1430"/>
      <c r="AC73" s="1430"/>
    </row>
    <row r="74" spans="1:29" s="117" customFormat="1" ht="15.75" thickBot="1">
      <c r="A74" s="580"/>
      <c r="B74" s="544"/>
      <c r="C74" s="561"/>
      <c r="D74" s="537"/>
      <c r="E74" s="537"/>
      <c r="F74" s="537"/>
      <c r="G74" s="537"/>
      <c r="H74" s="537"/>
      <c r="I74" s="537"/>
      <c r="J74" s="537"/>
      <c r="K74" s="537"/>
      <c r="L74" s="537"/>
      <c r="M74" s="538"/>
      <c r="N74" s="1156"/>
      <c r="O74" s="1156"/>
      <c r="P74" s="1432"/>
      <c r="Q74" s="1426"/>
      <c r="R74" s="1430"/>
      <c r="S74" s="1430"/>
      <c r="T74" s="1430"/>
      <c r="U74" s="1430"/>
      <c r="V74" s="1430"/>
      <c r="W74" s="1430"/>
      <c r="X74" s="1430"/>
      <c r="Y74" s="1430"/>
      <c r="Z74" s="1430"/>
      <c r="AA74" s="1430"/>
      <c r="AB74" s="1430"/>
      <c r="AC74" s="1430"/>
    </row>
    <row r="75" spans="1:29" s="117" customFormat="1" ht="15.75" thickTop="1">
      <c r="A75" s="580"/>
      <c r="B75" s="539">
        <f>B24</f>
        <v>111</v>
      </c>
      <c r="C75" s="550"/>
      <c r="D75" s="550"/>
      <c r="E75" s="550"/>
      <c r="F75" s="550"/>
      <c r="G75" s="555"/>
      <c r="H75" s="555"/>
      <c r="I75" s="555"/>
      <c r="J75" s="555"/>
      <c r="K75" s="555"/>
      <c r="L75" s="555"/>
      <c r="M75" s="582"/>
      <c r="N75" s="1154"/>
      <c r="O75" s="1154"/>
      <c r="P75" s="1432"/>
      <c r="Q75" s="1426"/>
      <c r="R75" s="1430"/>
      <c r="S75" s="1430"/>
      <c r="T75" s="1430"/>
      <c r="U75" s="1430"/>
      <c r="V75" s="1430"/>
      <c r="W75" s="1430"/>
      <c r="X75" s="1430"/>
      <c r="Y75" s="1430"/>
      <c r="Z75" s="1430"/>
      <c r="AA75" s="1430"/>
      <c r="AB75" s="1430"/>
      <c r="AC75" s="1430"/>
    </row>
    <row r="76" spans="1:29" s="117" customFormat="1" ht="15.75" thickBot="1">
      <c r="A76" s="580"/>
      <c r="B76" s="544"/>
      <c r="C76" s="561"/>
      <c r="D76" s="537"/>
      <c r="E76" s="537"/>
      <c r="F76" s="537"/>
      <c r="G76" s="537"/>
      <c r="H76" s="537"/>
      <c r="I76" s="537"/>
      <c r="J76" s="537"/>
      <c r="K76" s="537"/>
      <c r="L76" s="537"/>
      <c r="M76" s="538"/>
      <c r="N76" s="1156"/>
      <c r="O76" s="1156"/>
      <c r="P76" s="1432"/>
      <c r="Q76" s="1426"/>
      <c r="R76" s="1430"/>
      <c r="S76" s="1430"/>
      <c r="T76" s="1430"/>
      <c r="U76" s="1430"/>
      <c r="V76" s="1430"/>
      <c r="W76" s="1430"/>
      <c r="X76" s="1430"/>
      <c r="Y76" s="1430"/>
      <c r="Z76" s="1430"/>
      <c r="AA76" s="1430"/>
      <c r="AB76" s="1430"/>
      <c r="AC76" s="1430"/>
    </row>
    <row r="77" spans="1:29" s="472" customFormat="1" ht="15.75" thickTop="1">
      <c r="A77" s="554"/>
      <c r="B77" s="539">
        <f>B25</f>
        <v>111</v>
      </c>
      <c r="C77" s="555"/>
      <c r="D77" s="555"/>
      <c r="E77" s="555"/>
      <c r="F77" s="555"/>
      <c r="G77" s="555"/>
      <c r="H77" s="556"/>
      <c r="I77" s="556"/>
      <c r="J77" s="556"/>
      <c r="K77" s="556"/>
      <c r="L77" s="557"/>
      <c r="M77" s="558"/>
      <c r="N77" s="1157"/>
      <c r="O77" s="1157"/>
      <c r="P77" s="1433"/>
      <c r="Q77" s="1434"/>
      <c r="R77" s="1435"/>
      <c r="S77" s="1435"/>
      <c r="T77" s="1435"/>
      <c r="U77" s="1435"/>
      <c r="V77" s="1435"/>
      <c r="W77" s="1435"/>
      <c r="X77" s="1435"/>
      <c r="Y77" s="1435"/>
      <c r="Z77" s="1435"/>
      <c r="AA77" s="1435"/>
      <c r="AB77" s="1435"/>
      <c r="AC77" s="1435"/>
    </row>
    <row r="78" spans="1:29" s="472" customFormat="1" ht="15.75" thickBot="1">
      <c r="A78" s="554"/>
      <c r="B78" s="544"/>
      <c r="C78" s="561"/>
      <c r="D78" s="561"/>
      <c r="E78" s="561"/>
      <c r="F78" s="561"/>
      <c r="G78" s="537"/>
      <c r="H78" s="537"/>
      <c r="I78" s="537"/>
      <c r="J78" s="537"/>
      <c r="K78" s="537"/>
      <c r="L78" s="537"/>
      <c r="M78" s="538"/>
      <c r="N78" s="1157"/>
      <c r="O78" s="1157"/>
      <c r="P78" s="1433"/>
      <c r="Q78" s="1434"/>
      <c r="R78" s="1435"/>
      <c r="S78" s="1435"/>
      <c r="T78" s="1435"/>
      <c r="U78" s="1435"/>
      <c r="V78" s="1435"/>
      <c r="W78" s="1435"/>
      <c r="X78" s="1435"/>
      <c r="Y78" s="1435"/>
      <c r="Z78" s="1435"/>
      <c r="AA78" s="1435"/>
      <c r="AB78" s="1435"/>
      <c r="AC78" s="1435"/>
    </row>
    <row r="79" spans="1:29" ht="27.75" thickTop="1">
      <c r="A79" s="528" t="s">
        <v>2559</v>
      </c>
      <c r="B79" s="529" t="s">
        <v>2726</v>
      </c>
      <c r="C79" s="530">
        <f>C26</f>
        <v>0</v>
      </c>
      <c r="D79" s="531"/>
      <c r="E79" s="531"/>
      <c r="F79" s="531"/>
      <c r="G79" s="531"/>
      <c r="H79" s="531"/>
      <c r="I79" s="531"/>
      <c r="J79" s="531"/>
      <c r="K79" s="532"/>
      <c r="L79" s="533"/>
      <c r="M79" s="534"/>
      <c r="N79" s="1155"/>
      <c r="O79" s="1155"/>
      <c r="P79" s="1432"/>
      <c r="Q79" s="1426"/>
      <c r="R79" s="1147"/>
      <c r="S79" s="1147"/>
      <c r="T79" s="1147"/>
      <c r="U79" s="1147"/>
      <c r="V79" s="1147"/>
      <c r="W79" s="1147"/>
      <c r="X79" s="1147"/>
      <c r="Y79" s="1147"/>
      <c r="Z79" s="1147"/>
      <c r="AA79" s="1147"/>
      <c r="AB79" s="1147"/>
      <c r="AC79" s="1147"/>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5"/>
      <c r="B81" s="539" t="s">
        <v>2727</v>
      </c>
      <c r="C81" s="662"/>
      <c r="D81" s="662"/>
      <c r="E81" s="662"/>
      <c r="F81" s="662"/>
      <c r="G81" s="662"/>
      <c r="H81" s="662"/>
      <c r="I81" s="662"/>
      <c r="J81" s="662"/>
      <c r="K81" s="663"/>
      <c r="L81" s="664"/>
      <c r="M81" s="665"/>
      <c r="N81" s="1154"/>
      <c r="O81" s="1154"/>
      <c r="P81" s="1432"/>
      <c r="Q81" s="1426"/>
      <c r="R81" s="1147"/>
      <c r="S81" s="1147"/>
      <c r="T81" s="1147"/>
      <c r="U81" s="1147"/>
      <c r="V81" s="1147"/>
      <c r="W81" s="1147"/>
      <c r="X81" s="1147"/>
      <c r="Y81" s="1147"/>
      <c r="Z81" s="1147"/>
      <c r="AA81" s="1147"/>
      <c r="AB81" s="1147"/>
      <c r="AC81" s="1147"/>
    </row>
    <row r="82" spans="1:29" s="472" customFormat="1" ht="15.75" thickBot="1">
      <c r="A82" s="554"/>
      <c r="B82" s="544"/>
      <c r="C82" s="561"/>
      <c r="D82" s="537"/>
      <c r="E82" s="537"/>
      <c r="F82" s="537"/>
      <c r="G82" s="537"/>
      <c r="H82" s="537"/>
      <c r="I82" s="537"/>
      <c r="J82" s="537"/>
      <c r="K82" s="537"/>
      <c r="L82" s="537"/>
      <c r="M82" s="538"/>
      <c r="N82" s="1156"/>
      <c r="O82" s="1156"/>
      <c r="P82" s="1433"/>
      <c r="Q82" s="1434"/>
      <c r="R82" s="1435"/>
      <c r="S82" s="1435"/>
      <c r="T82" s="1435"/>
      <c r="U82" s="1435"/>
      <c r="V82" s="1435"/>
      <c r="W82" s="1435"/>
      <c r="X82" s="1435"/>
      <c r="Y82" s="1435"/>
      <c r="Z82" s="1435"/>
      <c r="AA82" s="1435"/>
      <c r="AB82" s="1435"/>
      <c r="AC82" s="1435"/>
    </row>
    <row r="83" spans="1:29" ht="15" thickTop="1">
      <c r="A83" s="600"/>
      <c r="B83" s="539" t="s">
        <v>2612</v>
      </c>
      <c r="C83" s="555"/>
      <c r="D83" s="555"/>
      <c r="E83" s="584"/>
      <c r="F83" s="584"/>
      <c r="G83" s="584"/>
      <c r="H83" s="584"/>
      <c r="I83" s="584"/>
      <c r="J83" s="584"/>
      <c r="K83" s="585"/>
      <c r="L83" s="586"/>
      <c r="M83" s="587"/>
      <c r="N83" s="1155"/>
      <c r="O83" s="1155"/>
      <c r="P83" s="1432"/>
      <c r="Q83" s="1426"/>
      <c r="R83" s="1147"/>
      <c r="S83" s="1147"/>
      <c r="T83" s="1147"/>
      <c r="U83" s="1147"/>
      <c r="V83" s="1147"/>
      <c r="W83" s="1147"/>
      <c r="X83" s="1147"/>
      <c r="Y83" s="1147"/>
      <c r="Z83" s="1147"/>
      <c r="AA83" s="1147"/>
      <c r="AB83" s="1147"/>
      <c r="AC83" s="1147"/>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6"/>
      <c r="O84" s="1156"/>
      <c r="P84" s="1432"/>
      <c r="Q84" s="1426"/>
      <c r="R84" s="1147"/>
      <c r="S84" s="1147"/>
      <c r="T84" s="1147"/>
      <c r="U84" s="1147"/>
      <c r="V84" s="1147"/>
      <c r="W84" s="1147"/>
      <c r="X84" s="1147"/>
      <c r="Y84" s="1147"/>
      <c r="Z84" s="1147"/>
      <c r="AA84" s="1147"/>
      <c r="AB84" s="1147"/>
      <c r="AC84" s="1147"/>
    </row>
    <row r="85" spans="1:29" ht="15" thickTop="1">
      <c r="A85" s="600"/>
      <c r="B85" s="539" t="s">
        <v>2728</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5"/>
      <c r="O85" s="1155"/>
      <c r="P85" s="1432"/>
      <c r="Q85" s="1426"/>
      <c r="R85" s="1147"/>
      <c r="S85" s="1147"/>
      <c r="T85" s="1147"/>
      <c r="U85" s="1147"/>
      <c r="V85" s="1147"/>
      <c r="W85" s="1147"/>
      <c r="X85" s="1147"/>
      <c r="Y85" s="1147"/>
      <c r="Z85" s="1147"/>
      <c r="AA85" s="1147"/>
      <c r="AB85" s="1147"/>
      <c r="AC85" s="1147"/>
    </row>
    <row r="86" spans="1:29">
      <c r="A86" s="600"/>
      <c r="B86" s="547"/>
      <c r="C86" s="604">
        <v>0.5</v>
      </c>
      <c r="D86" s="604">
        <v>0.6</v>
      </c>
      <c r="E86" s="604">
        <v>0.7</v>
      </c>
      <c r="F86" s="604">
        <v>0.8</v>
      </c>
      <c r="G86" s="604">
        <v>0.9</v>
      </c>
      <c r="H86" s="604">
        <v>1.0001</v>
      </c>
      <c r="I86" s="624"/>
      <c r="J86" s="624"/>
      <c r="K86" s="625"/>
      <c r="L86" s="626"/>
      <c r="M86" s="627"/>
      <c r="N86" s="1155"/>
      <c r="O86" s="1155"/>
      <c r="P86" s="1432"/>
      <c r="Q86" s="1426"/>
      <c r="R86" s="1147"/>
      <c r="S86" s="1147"/>
      <c r="T86" s="1147"/>
      <c r="U86" s="1147"/>
      <c r="V86" s="1147"/>
      <c r="W86" s="1147"/>
      <c r="X86" s="1147"/>
      <c r="Y86" s="1147"/>
      <c r="Z86" s="1147"/>
      <c r="AA86" s="1147"/>
      <c r="AB86" s="1147"/>
      <c r="AC86" s="1147"/>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6"/>
      <c r="O87" s="1156"/>
      <c r="P87" s="1432"/>
      <c r="Q87" s="1426"/>
      <c r="R87" s="1147"/>
      <c r="S87" s="1147"/>
      <c r="T87" s="1147"/>
      <c r="U87" s="1147"/>
      <c r="V87" s="1147"/>
      <c r="W87" s="1147"/>
      <c r="X87" s="1147"/>
      <c r="Y87" s="1147"/>
      <c r="Z87" s="1147"/>
      <c r="AA87" s="1147"/>
      <c r="AB87" s="1147"/>
      <c r="AC87" s="1147"/>
    </row>
    <row r="88" spans="1:29" ht="15" thickTop="1">
      <c r="A88" s="600"/>
      <c r="B88" s="547" t="s">
        <v>2729</v>
      </c>
      <c r="C88" s="531"/>
      <c r="D88" s="531"/>
      <c r="E88" s="531"/>
      <c r="F88" s="531"/>
      <c r="G88" s="531"/>
      <c r="H88" s="531"/>
      <c r="I88" s="531"/>
      <c r="J88" s="531"/>
      <c r="K88" s="532"/>
      <c r="L88" s="533"/>
      <c r="M88" s="534"/>
      <c r="N88" s="1155"/>
      <c r="O88" s="1155"/>
      <c r="P88" s="1432"/>
      <c r="Q88" s="1426"/>
      <c r="R88" s="1147"/>
      <c r="S88" s="1147"/>
      <c r="T88" s="1147"/>
      <c r="U88" s="1147"/>
      <c r="V88" s="1147"/>
      <c r="W88" s="1147"/>
      <c r="X88" s="1147"/>
      <c r="Y88" s="1147"/>
      <c r="Z88" s="1147"/>
      <c r="AA88" s="1147"/>
      <c r="AB88" s="1147"/>
      <c r="AC88" s="1147"/>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6"/>
      <c r="O89" s="1156"/>
      <c r="P89" s="1432"/>
      <c r="Q89" s="1426"/>
      <c r="R89" s="1147"/>
      <c r="S89" s="1147"/>
      <c r="T89" s="1147"/>
      <c r="U89" s="1147"/>
      <c r="V89" s="1147"/>
      <c r="W89" s="1147"/>
      <c r="X89" s="1147"/>
      <c r="Y89" s="1147"/>
      <c r="Z89" s="1147"/>
      <c r="AA89" s="1147"/>
      <c r="AB89" s="1147"/>
      <c r="AC89" s="1147"/>
    </row>
    <row r="90" spans="1:29" s="472" customFormat="1" ht="15" thickTop="1">
      <c r="A90" s="594"/>
      <c r="B90" s="539" t="s">
        <v>2730</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7"/>
      <c r="O90" s="1157"/>
      <c r="P90" s="1433"/>
      <c r="Q90" s="1434"/>
      <c r="R90" s="1435"/>
      <c r="S90" s="1435"/>
      <c r="T90" s="1435"/>
      <c r="U90" s="1435"/>
      <c r="V90" s="1435"/>
      <c r="W90" s="1435"/>
      <c r="X90" s="1435"/>
      <c r="Y90" s="1435"/>
      <c r="Z90" s="1435"/>
      <c r="AA90" s="1435"/>
      <c r="AB90" s="1435"/>
      <c r="AC90" s="1435"/>
    </row>
    <row r="91" spans="1:29" s="472" customFormat="1">
      <c r="A91" s="594"/>
      <c r="B91" s="547"/>
      <c r="C91" s="596"/>
      <c r="D91" s="596"/>
      <c r="E91" s="596"/>
      <c r="F91" s="596"/>
      <c r="G91" s="596"/>
      <c r="H91" s="596"/>
      <c r="I91" s="596"/>
      <c r="J91" s="597"/>
      <c r="K91" s="597"/>
      <c r="L91" s="598"/>
      <c r="M91" s="599"/>
      <c r="N91" s="1157"/>
      <c r="O91" s="1157"/>
      <c r="P91" s="1433"/>
      <c r="Q91" s="1434"/>
      <c r="R91" s="1435"/>
      <c r="S91" s="1435"/>
      <c r="T91" s="1435"/>
      <c r="U91" s="1435"/>
      <c r="V91" s="1435"/>
      <c r="W91" s="1435"/>
      <c r="X91" s="1435"/>
      <c r="Y91" s="1435"/>
      <c r="Z91" s="1435"/>
      <c r="AA91" s="1435"/>
      <c r="AB91" s="1435"/>
      <c r="AC91" s="1435"/>
    </row>
    <row r="92" spans="1:29" s="472" customFormat="1" ht="15.75" thickBot="1">
      <c r="A92" s="554"/>
      <c r="B92" s="544"/>
      <c r="C92" s="561"/>
      <c r="D92" s="537"/>
      <c r="E92" s="537"/>
      <c r="F92" s="537"/>
      <c r="G92" s="537"/>
      <c r="H92" s="537"/>
      <c r="I92" s="537"/>
      <c r="J92" s="537"/>
      <c r="K92" s="537"/>
      <c r="L92" s="537"/>
      <c r="M92" s="538"/>
      <c r="N92" s="1157"/>
      <c r="O92" s="1157"/>
      <c r="P92" s="1433"/>
      <c r="Q92" s="1434"/>
      <c r="R92" s="1435"/>
      <c r="S92" s="1435"/>
      <c r="T92" s="1435"/>
      <c r="U92" s="1435"/>
      <c r="V92" s="1435"/>
      <c r="W92" s="1435"/>
      <c r="X92" s="1435"/>
      <c r="Y92" s="1435"/>
      <c r="Z92" s="1435"/>
      <c r="AA92" s="1435"/>
      <c r="AB92" s="1435"/>
      <c r="AC92" s="1435"/>
    </row>
    <row r="93" spans="1:29" ht="15" thickTop="1">
      <c r="A93" s="600"/>
      <c r="B93" s="539" t="s">
        <v>2731</v>
      </c>
      <c r="C93" s="555"/>
      <c r="D93" s="555"/>
      <c r="E93" s="584"/>
      <c r="F93" s="584"/>
      <c r="G93" s="584"/>
      <c r="H93" s="584"/>
      <c r="I93" s="584"/>
      <c r="J93" s="584"/>
      <c r="K93" s="585"/>
      <c r="L93" s="586"/>
      <c r="M93" s="587"/>
      <c r="N93" s="1155"/>
      <c r="O93" s="1155"/>
      <c r="P93" s="1432"/>
      <c r="Q93" s="1426"/>
      <c r="R93" s="1147"/>
      <c r="S93" s="1147"/>
      <c r="T93" s="1147"/>
      <c r="U93" s="1147"/>
      <c r="V93" s="1147"/>
      <c r="W93" s="1147"/>
      <c r="X93" s="1147"/>
      <c r="Y93" s="1147"/>
      <c r="Z93" s="1147"/>
      <c r="AA93" s="1147"/>
      <c r="AB93" s="1147"/>
      <c r="AC93" s="1147"/>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6"/>
      <c r="O94" s="1156"/>
      <c r="P94" s="1432"/>
      <c r="Q94" s="1426"/>
      <c r="R94" s="1147"/>
      <c r="S94" s="1147"/>
      <c r="T94" s="1147"/>
      <c r="U94" s="1147"/>
      <c r="V94" s="1147"/>
      <c r="W94" s="1147"/>
      <c r="X94" s="1147"/>
      <c r="Y94" s="1147"/>
      <c r="Z94" s="1147"/>
      <c r="AA94" s="1147"/>
      <c r="AB94" s="1147"/>
      <c r="AC94" s="1147"/>
    </row>
    <row r="95" spans="1:29" ht="15" thickTop="1">
      <c r="A95" s="600"/>
      <c r="B95" s="539" t="s">
        <v>2732</v>
      </c>
      <c r="C95" s="531"/>
      <c r="D95" s="531"/>
      <c r="E95" s="531"/>
      <c r="F95" s="531"/>
      <c r="G95" s="531"/>
      <c r="H95" s="531"/>
      <c r="I95" s="531"/>
      <c r="J95" s="531"/>
      <c r="K95" s="532"/>
      <c r="L95" s="533"/>
      <c r="M95" s="534"/>
      <c r="N95" s="1155"/>
      <c r="O95" s="1155"/>
      <c r="P95" s="1432"/>
      <c r="Q95" s="1426"/>
      <c r="R95" s="1147"/>
      <c r="S95" s="1147"/>
      <c r="T95" s="1147"/>
      <c r="U95" s="1147"/>
      <c r="V95" s="1147"/>
      <c r="W95" s="1147"/>
      <c r="X95" s="1147"/>
      <c r="Y95" s="1147"/>
      <c r="Z95" s="1147"/>
      <c r="AA95" s="1147"/>
      <c r="AB95" s="1147"/>
      <c r="AC95" s="1147"/>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6"/>
      <c r="O96" s="1156"/>
      <c r="P96" s="1432"/>
      <c r="Q96" s="1426"/>
      <c r="R96" s="1147"/>
      <c r="S96" s="1147"/>
      <c r="T96" s="1147"/>
      <c r="U96" s="1147"/>
      <c r="V96" s="1147"/>
      <c r="W96" s="1147"/>
      <c r="X96" s="1147"/>
      <c r="Y96" s="1147"/>
      <c r="Z96" s="1147"/>
      <c r="AA96" s="1147"/>
      <c r="AB96" s="1147"/>
      <c r="AC96" s="1147"/>
    </row>
    <row r="97" spans="1:29" ht="15" thickTop="1">
      <c r="A97" s="600"/>
      <c r="B97" s="637">
        <f>B34</f>
        <v>111</v>
      </c>
      <c r="C97" s="550"/>
      <c r="D97" s="550"/>
      <c r="E97" s="550"/>
      <c r="F97" s="550"/>
      <c r="G97" s="555"/>
      <c r="H97" s="556"/>
      <c r="I97" s="556"/>
      <c r="J97" s="556"/>
      <c r="K97" s="556"/>
      <c r="L97" s="557"/>
      <c r="M97" s="558"/>
      <c r="N97" s="1156"/>
      <c r="O97" s="1156"/>
      <c r="P97" s="1439"/>
      <c r="Q97" s="1440"/>
      <c r="R97" s="1147"/>
      <c r="S97" s="1147"/>
      <c r="T97" s="1147"/>
      <c r="U97" s="1147"/>
      <c r="V97" s="1147"/>
      <c r="W97" s="1147"/>
      <c r="X97" s="1147"/>
      <c r="Y97" s="1147"/>
      <c r="Z97" s="1147"/>
      <c r="AA97" s="1147"/>
      <c r="AB97" s="1147"/>
      <c r="AC97" s="1147"/>
    </row>
    <row r="98" spans="1:29" ht="15.75" thickBot="1">
      <c r="A98" s="535"/>
      <c r="B98" s="544"/>
      <c r="C98" s="561"/>
      <c r="D98" s="537"/>
      <c r="E98" s="537"/>
      <c r="F98" s="537"/>
      <c r="G98" s="561"/>
      <c r="H98" s="563"/>
      <c r="I98" s="563"/>
      <c r="J98" s="563"/>
      <c r="K98" s="563"/>
      <c r="L98" s="563"/>
      <c r="M98" s="564"/>
      <c r="N98" s="1156"/>
      <c r="O98" s="1156"/>
      <c r="P98" s="1432"/>
      <c r="Q98" s="1426"/>
      <c r="R98" s="1147"/>
      <c r="S98" s="1147"/>
      <c r="T98" s="1147"/>
      <c r="U98" s="1147"/>
      <c r="V98" s="1147"/>
      <c r="W98" s="1147"/>
      <c r="X98" s="1147"/>
      <c r="Y98" s="1147"/>
      <c r="Z98" s="1147"/>
      <c r="AA98" s="1147"/>
      <c r="AB98" s="1147"/>
      <c r="AC98" s="1147"/>
    </row>
    <row r="99" spans="1:29" s="472" customFormat="1" ht="15" thickTop="1">
      <c r="A99" s="594"/>
      <c r="B99" s="539">
        <f>B35</f>
        <v>111</v>
      </c>
      <c r="C99" s="550"/>
      <c r="D99" s="550"/>
      <c r="E99" s="550"/>
      <c r="F99" s="550"/>
      <c r="G99" s="555"/>
      <c r="H99" s="556"/>
      <c r="I99" s="556"/>
      <c r="J99" s="556"/>
      <c r="K99" s="556"/>
      <c r="L99" s="557"/>
      <c r="M99" s="558"/>
      <c r="N99" s="1157"/>
      <c r="O99" s="1157"/>
      <c r="P99" s="1433"/>
      <c r="Q99" s="1434"/>
      <c r="R99" s="1435"/>
      <c r="S99" s="1435"/>
      <c r="T99" s="1435"/>
      <c r="U99" s="1435"/>
      <c r="V99" s="1435"/>
      <c r="W99" s="1435"/>
      <c r="X99" s="1435"/>
      <c r="Y99" s="1435"/>
      <c r="Z99" s="1435"/>
      <c r="AA99" s="1435"/>
      <c r="AB99" s="1435"/>
      <c r="AC99" s="1435"/>
    </row>
    <row r="100" spans="1:29" s="472" customFormat="1" ht="15.75" thickBot="1">
      <c r="A100" s="554"/>
      <c r="B100" s="536"/>
      <c r="C100" s="561"/>
      <c r="D100" s="537"/>
      <c r="E100" s="537"/>
      <c r="F100" s="537"/>
      <c r="G100" s="561"/>
      <c r="H100" s="563"/>
      <c r="I100" s="563"/>
      <c r="J100" s="563"/>
      <c r="K100" s="563"/>
      <c r="L100" s="563"/>
      <c r="M100" s="564"/>
      <c r="N100" s="1157"/>
      <c r="O100" s="1157"/>
      <c r="P100" s="1433"/>
      <c r="Q100" s="1434"/>
      <c r="R100" s="1435"/>
      <c r="S100" s="1435"/>
      <c r="T100" s="1435"/>
      <c r="U100" s="1435"/>
      <c r="V100" s="1435"/>
      <c r="W100" s="1435"/>
      <c r="X100" s="1435"/>
      <c r="Y100" s="1435"/>
      <c r="Z100" s="1435"/>
      <c r="AA100" s="1435"/>
      <c r="AB100" s="1435"/>
      <c r="AC100" s="1435"/>
    </row>
    <row r="101" spans="1:29" ht="15" thickTop="1">
      <c r="A101" s="600"/>
      <c r="B101" s="539">
        <f>B36</f>
        <v>111</v>
      </c>
      <c r="C101" s="555"/>
      <c r="D101" s="555"/>
      <c r="E101" s="555"/>
      <c r="F101" s="555"/>
      <c r="G101" s="555"/>
      <c r="H101" s="556"/>
      <c r="I101" s="556"/>
      <c r="J101" s="556"/>
      <c r="K101" s="556"/>
      <c r="L101" s="557"/>
      <c r="M101" s="558"/>
      <c r="N101" s="1155"/>
      <c r="O101" s="1155"/>
      <c r="P101" s="1432"/>
      <c r="Q101" s="1426"/>
      <c r="R101" s="1147"/>
      <c r="S101" s="1147"/>
      <c r="T101" s="1147"/>
      <c r="U101" s="1147"/>
      <c r="V101" s="1147"/>
      <c r="W101" s="1147"/>
      <c r="X101" s="1147"/>
      <c r="Y101" s="1147"/>
      <c r="Z101" s="1147"/>
      <c r="AA101" s="1147"/>
      <c r="AB101" s="1147"/>
      <c r="AC101" s="1147"/>
    </row>
    <row r="102" spans="1:29" ht="15.75" thickBot="1">
      <c r="A102" s="535"/>
      <c r="B102" s="544"/>
      <c r="C102" s="561"/>
      <c r="D102" s="561"/>
      <c r="E102" s="561"/>
      <c r="F102" s="561"/>
      <c r="G102" s="561"/>
      <c r="H102" s="563"/>
      <c r="I102" s="563"/>
      <c r="J102" s="563"/>
      <c r="K102" s="563"/>
      <c r="L102" s="563"/>
      <c r="M102" s="564"/>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2703</v>
      </c>
      <c r="B1" s="1623"/>
      <c r="C1" s="1624" t="s">
        <v>2526</v>
      </c>
      <c r="D1" s="1625"/>
      <c r="E1" s="1634"/>
      <c r="F1" s="2589"/>
      <c r="G1" s="1635" t="s">
        <v>2639</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2323</v>
      </c>
      <c r="B2" s="1421" t="e">
        <f ca="1">IF(C2="——",ROUND(C37*D3/10000,0),ROUND(C37*D3/10000,0)-D2)</f>
        <v>#DIV/0!</v>
      </c>
      <c r="C2" s="2591"/>
      <c r="D2" s="1127" t="e">
        <f ca="1">SUMIF(INDIRECT("'"&amp;F2&amp;"'"&amp;"!A:A"),"承租人权益价值",INDIRECT("'"&amp;F2&amp;"'"&amp;"!c:c"))</f>
        <v>#REF!</v>
      </c>
      <c r="E2" s="2592" t="s">
        <v>2324</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2325</v>
      </c>
      <c r="B3" s="610" t="e">
        <f ca="1">IF(C2="——",C37,ROUND(B2*10000/D3,0))</f>
        <v>#DIV/0!</v>
      </c>
      <c r="C3" s="401" t="s">
        <v>2640</v>
      </c>
      <c r="D3" s="400">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2641</v>
      </c>
      <c r="B4" s="403"/>
      <c r="C4" s="3157" t="s">
        <v>2642</v>
      </c>
      <c r="D4" s="3158"/>
      <c r="E4" s="3159" t="s">
        <v>2643</v>
      </c>
      <c r="F4" s="3160"/>
      <c r="G4" s="3157" t="s">
        <v>2644</v>
      </c>
      <c r="H4" s="3158"/>
      <c r="I4" s="3157" t="s">
        <v>2645</v>
      </c>
      <c r="J4" s="3158"/>
      <c r="K4" s="611" t="s">
        <v>2646</v>
      </c>
      <c r="L4" s="1133"/>
      <c r="M4" s="1134"/>
      <c r="N4" s="1134"/>
      <c r="O4" s="1134"/>
      <c r="P4" s="3227" t="s">
        <v>2647</v>
      </c>
      <c r="Q4" s="3228"/>
      <c r="R4" s="3219" t="s">
        <v>2643</v>
      </c>
      <c r="S4" s="3220"/>
      <c r="T4" s="3219" t="s">
        <v>2644</v>
      </c>
      <c r="U4" s="3220"/>
      <c r="V4" s="3170" t="s">
        <v>2645</v>
      </c>
      <c r="W4" s="3170"/>
      <c r="X4" s="1817"/>
      <c r="Y4" s="3219" t="s">
        <v>2647</v>
      </c>
      <c r="Z4" s="3220"/>
      <c r="AA4" s="3218" t="s">
        <v>2643</v>
      </c>
      <c r="AB4" s="3141" t="s">
        <v>2644</v>
      </c>
      <c r="AC4" s="3218" t="s">
        <v>2645</v>
      </c>
    </row>
    <row r="5" spans="1:29" ht="15">
      <c r="A5" s="405"/>
      <c r="B5" s="406"/>
      <c r="C5" s="3222" t="s">
        <v>2538</v>
      </c>
      <c r="D5" s="3223"/>
      <c r="E5" s="3221" t="s">
        <v>2539</v>
      </c>
      <c r="F5" s="3150"/>
      <c r="G5" s="3222" t="s">
        <v>2540</v>
      </c>
      <c r="H5" s="3223"/>
      <c r="I5" s="3222" t="s">
        <v>2541</v>
      </c>
      <c r="J5" s="3223"/>
      <c r="K5" s="611"/>
      <c r="L5" s="1133"/>
      <c r="M5" s="1134"/>
      <c r="N5" s="1134"/>
      <c r="O5" s="1134"/>
      <c r="P5" s="3229"/>
      <c r="Q5" s="3164"/>
      <c r="R5" s="3147"/>
      <c r="S5" s="3148"/>
      <c r="T5" s="3147"/>
      <c r="U5" s="3148"/>
      <c r="V5" s="3170"/>
      <c r="W5" s="3170"/>
      <c r="X5" s="1817"/>
      <c r="Y5" s="3147"/>
      <c r="Z5" s="3148"/>
      <c r="AA5" s="3141"/>
      <c r="AB5" s="3141"/>
      <c r="AC5" s="3141"/>
    </row>
    <row r="6" spans="1:29" ht="15.75" thickBot="1">
      <c r="A6" s="407"/>
      <c r="B6" s="408"/>
      <c r="C6" s="3224" t="s">
        <v>2542</v>
      </c>
      <c r="D6" s="3225"/>
      <c r="E6" s="3226" t="s">
        <v>2542</v>
      </c>
      <c r="F6" s="3152"/>
      <c r="G6" s="3224" t="s">
        <v>2542</v>
      </c>
      <c r="H6" s="3225"/>
      <c r="I6" s="3224" t="s">
        <v>2542</v>
      </c>
      <c r="J6" s="3225"/>
      <c r="K6" s="611" t="s">
        <v>2543</v>
      </c>
      <c r="L6" s="1133"/>
      <c r="M6" s="1134"/>
      <c r="N6" s="1134"/>
      <c r="O6" s="1134"/>
      <c r="P6" s="3230"/>
      <c r="Q6" s="3166"/>
      <c r="R6" s="3147"/>
      <c r="S6" s="3148"/>
      <c r="T6" s="3167"/>
      <c r="U6" s="3168"/>
      <c r="V6" s="3170"/>
      <c r="W6" s="3170"/>
      <c r="X6" s="1817"/>
      <c r="Y6" s="3167"/>
      <c r="Z6" s="3168"/>
      <c r="AA6" s="3142"/>
      <c r="AB6" s="3142"/>
      <c r="AC6" s="3142"/>
    </row>
    <row r="7" spans="1:29" s="117" customFormat="1" ht="15.75" thickBot="1">
      <c r="A7" s="409" t="s">
        <v>2544</v>
      </c>
      <c r="B7" s="410"/>
      <c r="C7" s="411">
        <f>'数据-取费表'!B2</f>
        <v>43040</v>
      </c>
      <c r="D7" s="412">
        <v>100</v>
      </c>
      <c r="E7" s="413"/>
      <c r="F7" s="414">
        <f>SUMIF(46:46,YEAR(E7)&amp;"-"&amp;MONTH(E7),47:47)</f>
        <v>0</v>
      </c>
      <c r="G7" s="2701"/>
      <c r="H7" s="412">
        <f>SUMIF(46:46,YEAR(G7)&amp;"-"&amp;MONTH(G7),47:47)</f>
        <v>0</v>
      </c>
      <c r="I7" s="413"/>
      <c r="J7" s="412">
        <f>SUMIF(46:46,YEAR(I7)&amp;"-"&amp;MONTH(I7),47:47)</f>
        <v>0</v>
      </c>
      <c r="K7" s="612"/>
      <c r="L7" s="1135"/>
      <c r="M7" s="1136"/>
      <c r="N7" s="1136"/>
      <c r="O7" s="1136"/>
      <c r="P7" s="3143" t="s">
        <v>2545</v>
      </c>
      <c r="Q7" s="3172"/>
      <c r="R7" s="770" t="s">
        <v>17</v>
      </c>
      <c r="S7" s="771">
        <f t="shared" ref="S7:S14" si="0">F7</f>
        <v>0</v>
      </c>
      <c r="T7" s="770" t="s">
        <v>17</v>
      </c>
      <c r="U7" s="771">
        <f t="shared" ref="U7:U14" si="1">H7</f>
        <v>0</v>
      </c>
      <c r="V7" s="770" t="s">
        <v>17</v>
      </c>
      <c r="W7" s="771">
        <f t="shared" ref="W7:W14" si="2">J7</f>
        <v>0</v>
      </c>
      <c r="X7" s="772"/>
      <c r="Y7" s="3143" t="s">
        <v>2545</v>
      </c>
      <c r="Z7" s="3144"/>
      <c r="AA7" s="773" t="e">
        <f>D7/F7</f>
        <v>#DIV/0!</v>
      </c>
      <c r="AB7" s="773" t="e">
        <f>D7/H7</f>
        <v>#DIV/0!</v>
      </c>
      <c r="AC7" s="773" t="e">
        <f>D7/J7</f>
        <v>#DIV/0!</v>
      </c>
    </row>
    <row r="8" spans="1:29" s="117" customFormat="1" ht="15.75" thickBot="1">
      <c r="A8" s="409" t="s">
        <v>2546</v>
      </c>
      <c r="B8" s="410"/>
      <c r="C8" s="415" t="s">
        <v>2648</v>
      </c>
      <c r="D8" s="412">
        <v>100</v>
      </c>
      <c r="E8" s="415"/>
      <c r="F8" s="414">
        <f>SUMIF(49:49,E8,50:50)-SUMIF(49:49,C8,50:50)+100</f>
        <v>0</v>
      </c>
      <c r="G8" s="415"/>
      <c r="H8" s="412">
        <f>SUMIF(49:49,G8,50:50)-SUMIF(49:49,C8,50:50)+100</f>
        <v>0</v>
      </c>
      <c r="I8" s="415"/>
      <c r="J8" s="412">
        <f>SUMIF(49:49,I8,50:50)-SUMIF(49:49,C8,50:50)+100</f>
        <v>0</v>
      </c>
      <c r="K8" s="612"/>
      <c r="L8" s="1135"/>
      <c r="M8" s="1136"/>
      <c r="N8" s="1136"/>
      <c r="O8" s="1136"/>
      <c r="P8" s="3143" t="s">
        <v>2548</v>
      </c>
      <c r="Q8" s="3144"/>
      <c r="R8" s="770" t="s">
        <v>17</v>
      </c>
      <c r="S8" s="771">
        <f t="shared" si="0"/>
        <v>0</v>
      </c>
      <c r="T8" s="770" t="s">
        <v>17</v>
      </c>
      <c r="U8" s="771">
        <f t="shared" si="1"/>
        <v>0</v>
      </c>
      <c r="V8" s="770" t="s">
        <v>17</v>
      </c>
      <c r="W8" s="771">
        <f t="shared" si="2"/>
        <v>0</v>
      </c>
      <c r="X8" s="772"/>
      <c r="Y8" s="3143" t="s">
        <v>2548</v>
      </c>
      <c r="Z8" s="3144"/>
      <c r="AA8" s="773" t="e">
        <f t="shared" ref="AA8:AA34" si="3">D8/F8</f>
        <v>#DIV/0!</v>
      </c>
      <c r="AB8" s="773" t="e">
        <f t="shared" ref="AB8:AB34" si="4">D8/H8</f>
        <v>#DIV/0!</v>
      </c>
      <c r="AC8" s="773" t="e">
        <f t="shared" ref="AC8:AC34" si="5">D8/J8</f>
        <v>#DIV/0!</v>
      </c>
    </row>
    <row r="9" spans="1:29" s="117" customFormat="1">
      <c r="A9" s="416" t="s">
        <v>2549</v>
      </c>
      <c r="B9" s="71" t="s">
        <v>2550</v>
      </c>
      <c r="C9" s="417"/>
      <c r="D9" s="135">
        <v>100</v>
      </c>
      <c r="E9" s="420"/>
      <c r="F9" s="419">
        <f>SUMIF(51:51,E9,52:52)-SUMIF(51:51,C9,52:52)+100</f>
        <v>100</v>
      </c>
      <c r="G9" s="420"/>
      <c r="H9" s="135">
        <f>SUMIF(51:51,G9,52:52)-SUMIF(51:51,C9,52:52)+100</f>
        <v>100</v>
      </c>
      <c r="I9" s="420"/>
      <c r="J9" s="135">
        <f>SUMIF(51:51,I9,52:52)-SUMIF(51:51,C9,52:52)+100</f>
        <v>100</v>
      </c>
      <c r="K9" s="612"/>
      <c r="L9" s="1135"/>
      <c r="M9" s="1136"/>
      <c r="N9" s="1136"/>
      <c r="O9" s="1137"/>
      <c r="P9" s="3182" t="s">
        <v>2551</v>
      </c>
      <c r="Q9" s="1799" t="str">
        <f t="shared" ref="Q9:Q14" si="6">B9</f>
        <v>用途</v>
      </c>
      <c r="R9" s="770" t="s">
        <v>17</v>
      </c>
      <c r="S9" s="771">
        <f t="shared" si="0"/>
        <v>100</v>
      </c>
      <c r="T9" s="770" t="s">
        <v>17</v>
      </c>
      <c r="U9" s="771">
        <f t="shared" si="1"/>
        <v>100</v>
      </c>
      <c r="V9" s="770" t="s">
        <v>17</v>
      </c>
      <c r="W9" s="771">
        <f t="shared" si="2"/>
        <v>100</v>
      </c>
      <c r="X9" s="772"/>
      <c r="Y9" s="3017" t="s">
        <v>2552</v>
      </c>
      <c r="Z9" s="55" t="str">
        <f t="shared" ref="Z9:Z14" si="7">Q9</f>
        <v>用途</v>
      </c>
      <c r="AA9" s="773">
        <f t="shared" si="3"/>
        <v>1</v>
      </c>
      <c r="AB9" s="773">
        <f t="shared" si="4"/>
        <v>1</v>
      </c>
      <c r="AC9" s="773">
        <f t="shared" si="5"/>
        <v>1</v>
      </c>
    </row>
    <row r="10" spans="1:29" s="428" customFormat="1" ht="27">
      <c r="A10" s="422"/>
      <c r="B10" s="423" t="s">
        <v>2553</v>
      </c>
      <c r="C10" s="424"/>
      <c r="D10" s="136">
        <v>100</v>
      </c>
      <c r="E10" s="424"/>
      <c r="F10" s="426">
        <f>SUMIF(53:53,E10,54:54)-SUMIF(53:53,C10,54:54)+100</f>
        <v>100</v>
      </c>
      <c r="G10" s="424"/>
      <c r="H10" s="136">
        <f>SUMIF(53:53,G10,54:54)-SUMIF(53:53,C10,54:54)+100</f>
        <v>100</v>
      </c>
      <c r="I10" s="424"/>
      <c r="J10" s="136">
        <f>SUMIF(53:53,I10,54:54)-SUMIF(53:53,C10,54:54)+100</f>
        <v>100</v>
      </c>
      <c r="K10" s="613"/>
      <c r="L10" s="1138"/>
      <c r="M10" s="1139"/>
      <c r="N10" s="1139"/>
      <c r="O10" s="1140"/>
      <c r="P10" s="3182"/>
      <c r="Q10" s="1799"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9"/>
      <c r="B11" s="2605">
        <v>111</v>
      </c>
      <c r="C11" s="433"/>
      <c r="D11" s="136">
        <v>100</v>
      </c>
      <c r="E11" s="470"/>
      <c r="F11" s="426">
        <f>SUMIF(55:55,E11,56:56)-SUMIF(55:55,C11,56:56)+100</f>
        <v>100</v>
      </c>
      <c r="G11" s="470"/>
      <c r="H11" s="136">
        <f>SUMIF(55:55,G11,56:56)-SUMIF(55:55,C11,56:56)+100</f>
        <v>100</v>
      </c>
      <c r="I11" s="470"/>
      <c r="J11" s="136">
        <f>SUMIF(55:55,I11,56:56)-SUMIF(55:55,C11,56:56)+100</f>
        <v>100</v>
      </c>
      <c r="K11" s="614"/>
      <c r="L11" s="1141"/>
      <c r="M11" s="1134"/>
      <c r="N11" s="1134"/>
      <c r="O11" s="1142"/>
      <c r="P11" s="3182"/>
      <c r="Q11" s="1799">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2"/>
      <c r="B12" s="2605">
        <v>111</v>
      </c>
      <c r="C12" s="433"/>
      <c r="D12" s="434">
        <v>100</v>
      </c>
      <c r="E12" s="470"/>
      <c r="F12" s="426">
        <f>SUMIF(57:57,E12,58:58)-SUMIF(57:57,C12,58:58)+100</f>
        <v>100</v>
      </c>
      <c r="G12" s="470"/>
      <c r="H12" s="136">
        <f>SUMIF(57:57,G12,58:58)-SUMIF(57:57,C12,58:58)+100</f>
        <v>100</v>
      </c>
      <c r="I12" s="470"/>
      <c r="J12" s="136">
        <f>SUMIF(57:57,I12,58:58)-SUMIF(57:57,C12,58:58)+100</f>
        <v>100</v>
      </c>
      <c r="K12" s="614"/>
      <c r="L12" s="1135"/>
      <c r="M12" s="1136"/>
      <c r="N12" s="1136"/>
      <c r="O12" s="1137"/>
      <c r="P12" s="3182"/>
      <c r="Q12" s="1799">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9"/>
      <c r="B13" s="2605">
        <v>111</v>
      </c>
      <c r="C13" s="435"/>
      <c r="D13" s="436">
        <v>100</v>
      </c>
      <c r="E13" s="470"/>
      <c r="F13" s="426">
        <f>SUMIF(59:59,E13,60:60)-SUMIF(59:59,C13,60:60)+100</f>
        <v>100</v>
      </c>
      <c r="G13" s="2702"/>
      <c r="H13" s="439">
        <f>SUMIF(59:59,G13,60:60)-SUMIF(59:59,C13,60:60)+100</f>
        <v>100</v>
      </c>
      <c r="I13" s="470"/>
      <c r="J13" s="436">
        <f>SUMIF(59:59,I13,60:60)-SUMIF(59:59,C13,60:60)+100</f>
        <v>100</v>
      </c>
      <c r="K13" s="614"/>
      <c r="L13" s="1143"/>
      <c r="M13" s="1134"/>
      <c r="N13" s="1134"/>
      <c r="O13" s="1142"/>
      <c r="P13" s="3182"/>
      <c r="Q13" s="1799">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6.75">
      <c r="A14" s="441" t="s">
        <v>2555</v>
      </c>
      <c r="B14" s="69" t="s">
        <v>2705</v>
      </c>
      <c r="C14" s="2698" t="str">
        <f>IF(B1="工业",估价对象房地状况!G4,估价对象房地状况!C6)</f>
        <v>估价对象紧邻白家疃路，周边路网密集程度一般，行车出入便捷度一般。周边2公里范围内有522路、651路等公交，公共交通便捷度一般。综合评价交通便捷度一般。</v>
      </c>
      <c r="D14" s="442">
        <v>100</v>
      </c>
      <c r="E14" s="443"/>
      <c r="F14" s="444">
        <f>SUMIF(61:61,E15,62:62)-SUMIF(61:61,C15,62:62)+100</f>
        <v>100</v>
      </c>
      <c r="G14" s="445"/>
      <c r="H14" s="442">
        <f>SUMIF(61:61,G15,62:62)-SUMIF(61:61,C15,62:62)+100</f>
        <v>100</v>
      </c>
      <c r="I14" s="443"/>
      <c r="J14" s="442">
        <f>SUMIF(61:61,I15,62:62)-SUMIF(61:61,C15,62:62)+100</f>
        <v>100</v>
      </c>
      <c r="K14" s="615"/>
      <c r="L14" s="1143"/>
      <c r="M14" s="1134"/>
      <c r="N14" s="1134"/>
      <c r="O14" s="1142"/>
      <c r="P14" s="3175" t="s">
        <v>2556</v>
      </c>
      <c r="Q14" s="1814" t="str">
        <f t="shared" si="6"/>
        <v>交通便捷度</v>
      </c>
      <c r="R14" s="774" t="s">
        <v>17</v>
      </c>
      <c r="S14" s="775">
        <f t="shared" si="0"/>
        <v>100</v>
      </c>
      <c r="T14" s="774" t="s">
        <v>17</v>
      </c>
      <c r="U14" s="775">
        <f t="shared" si="1"/>
        <v>100</v>
      </c>
      <c r="V14" s="774" t="s">
        <v>17</v>
      </c>
      <c r="W14" s="775">
        <f t="shared" si="2"/>
        <v>100</v>
      </c>
      <c r="X14" s="1817"/>
      <c r="Y14" s="3175" t="s">
        <v>2556</v>
      </c>
      <c r="Z14" s="1818" t="str">
        <f t="shared" si="7"/>
        <v>交通便捷度</v>
      </c>
      <c r="AA14" s="1815">
        <f t="shared" si="3"/>
        <v>1</v>
      </c>
      <c r="AB14" s="1815">
        <f t="shared" si="4"/>
        <v>1</v>
      </c>
      <c r="AC14" s="1815">
        <f t="shared" si="5"/>
        <v>1</v>
      </c>
    </row>
    <row r="15" spans="1:29" ht="15">
      <c r="A15" s="429"/>
      <c r="B15" s="447"/>
      <c r="C15" s="448"/>
      <c r="D15" s="449"/>
      <c r="E15" s="448"/>
      <c r="F15" s="450"/>
      <c r="G15" s="448"/>
      <c r="H15" s="451"/>
      <c r="I15" s="448"/>
      <c r="J15" s="449"/>
      <c r="K15" s="616"/>
      <c r="L15" s="1143"/>
      <c r="M15" s="1134"/>
      <c r="N15" s="1134"/>
      <c r="O15" s="1142"/>
      <c r="P15" s="3176"/>
      <c r="Q15" s="1814"/>
      <c r="R15" s="774"/>
      <c r="S15" s="775"/>
      <c r="T15" s="774"/>
      <c r="U15" s="775"/>
      <c r="V15" s="774"/>
      <c r="W15" s="775"/>
      <c r="X15" s="1817"/>
      <c r="Y15" s="3176"/>
      <c r="Z15" s="1818"/>
      <c r="AA15" s="1815">
        <v>1</v>
      </c>
      <c r="AB15" s="1815">
        <v>1</v>
      </c>
      <c r="AC15" s="1815">
        <v>1</v>
      </c>
    </row>
    <row r="16" spans="1:29" ht="185.25">
      <c r="A16" s="429"/>
      <c r="B16" s="452" t="s">
        <v>2684</v>
      </c>
      <c r="C16" s="2612" t="str">
        <f>IF(B1="工业",估价对象房地状况!G5,估价对象房地状况!C7)</f>
        <v>周边2公里内的公共服务配套设施较为齐备，有购物场所（华联超市）、医院（北京中医药大学附属医院）、银行（民生银行）、学校（翠微小学）、餐饮（嘉和一品）等公共服务配套设施。</v>
      </c>
      <c r="D16" s="456">
        <v>100</v>
      </c>
      <c r="E16" s="458"/>
      <c r="F16" s="459">
        <f>SUMIF(63:63,E17,64:64)-SUMIF(63:63,C17,64:64)+100</f>
        <v>100</v>
      </c>
      <c r="G16" s="460"/>
      <c r="H16" s="456">
        <f>SUMIF(63:63,G17,64:64)-SUMIF(63:63,C17,64:64)+100</f>
        <v>100</v>
      </c>
      <c r="I16" s="458"/>
      <c r="J16" s="456">
        <f>SUMIF(63:63,I17,64:64)-SUMIF(63:63,C17,64:64)+100</f>
        <v>100</v>
      </c>
      <c r="K16" s="615"/>
      <c r="L16" s="1143"/>
      <c r="M16" s="1134"/>
      <c r="N16" s="1134"/>
      <c r="O16" s="1142"/>
      <c r="P16" s="3176"/>
      <c r="Q16" s="1814" t="str">
        <f>B16</f>
        <v>公共配套设施</v>
      </c>
      <c r="R16" s="774" t="s">
        <v>17</v>
      </c>
      <c r="S16" s="775">
        <f>F16</f>
        <v>100</v>
      </c>
      <c r="T16" s="774" t="s">
        <v>17</v>
      </c>
      <c r="U16" s="775">
        <f>H16</f>
        <v>100</v>
      </c>
      <c r="V16" s="774" t="s">
        <v>17</v>
      </c>
      <c r="W16" s="775">
        <f>J16</f>
        <v>100</v>
      </c>
      <c r="X16" s="1817"/>
      <c r="Y16" s="3176"/>
      <c r="Z16" s="1818" t="str">
        <f>Q16</f>
        <v>公共配套设施</v>
      </c>
      <c r="AA16" s="1815">
        <f t="shared" si="3"/>
        <v>1</v>
      </c>
      <c r="AB16" s="1815">
        <f t="shared" si="4"/>
        <v>1</v>
      </c>
      <c r="AC16" s="1815">
        <f t="shared" si="5"/>
        <v>1</v>
      </c>
    </row>
    <row r="17" spans="1:29" ht="15">
      <c r="A17" s="429"/>
      <c r="B17" s="457"/>
      <c r="C17" s="2613"/>
      <c r="D17" s="449"/>
      <c r="E17" s="448"/>
      <c r="F17" s="450"/>
      <c r="G17" s="448"/>
      <c r="H17" s="449"/>
      <c r="I17" s="448"/>
      <c r="J17" s="449"/>
      <c r="K17" s="616"/>
      <c r="L17" s="1143"/>
      <c r="M17" s="1134"/>
      <c r="N17" s="1134"/>
      <c r="O17" s="1142"/>
      <c r="P17" s="3176"/>
      <c r="Q17" s="1814"/>
      <c r="R17" s="774"/>
      <c r="S17" s="775"/>
      <c r="T17" s="774"/>
      <c r="U17" s="775"/>
      <c r="V17" s="774"/>
      <c r="W17" s="775"/>
      <c r="X17" s="1817"/>
      <c r="Y17" s="3176"/>
      <c r="Z17" s="1818"/>
      <c r="AA17" s="1815">
        <v>1</v>
      </c>
      <c r="AB17" s="1815">
        <v>1</v>
      </c>
      <c r="AC17" s="1815">
        <v>1</v>
      </c>
    </row>
    <row r="18" spans="1:29" ht="15">
      <c r="A18" s="429"/>
      <c r="B18" s="1387" t="s">
        <v>2685</v>
      </c>
      <c r="C18" s="2612" t="str">
        <f>IF(B1="工业",估价对象房地状况!G6,估价对象房地状况!C8)</f>
        <v>七通</v>
      </c>
      <c r="D18" s="456">
        <v>100</v>
      </c>
      <c r="E18" s="453"/>
      <c r="F18" s="459">
        <f>SUMIF(65:65,E19,66:66)-SUMIF(65:65,C19,66:66)+100</f>
        <v>100</v>
      </c>
      <c r="G18" s="455"/>
      <c r="H18" s="456">
        <f>SUMIF(65:65,G19,66:66)-SUMIF(65:65,C19,66:66)+100</f>
        <v>100</v>
      </c>
      <c r="I18" s="458"/>
      <c r="J18" s="456">
        <f>SUMIF(65:65,I19,66:66)-SUMIF(65:65,C19,66:66)+100</f>
        <v>100</v>
      </c>
      <c r="K18" s="615"/>
      <c r="L18" s="1143"/>
      <c r="M18" s="1134"/>
      <c r="N18" s="1134"/>
      <c r="O18" s="1142"/>
      <c r="P18" s="3176"/>
      <c r="Q18" s="1814" t="str">
        <f>B18</f>
        <v>基础设施水平</v>
      </c>
      <c r="R18" s="774" t="s">
        <v>17</v>
      </c>
      <c r="S18" s="775">
        <f>F18</f>
        <v>100</v>
      </c>
      <c r="T18" s="774" t="s">
        <v>17</v>
      </c>
      <c r="U18" s="775">
        <f>H18</f>
        <v>100</v>
      </c>
      <c r="V18" s="774" t="s">
        <v>17</v>
      </c>
      <c r="W18" s="775">
        <f>J18</f>
        <v>100</v>
      </c>
      <c r="X18" s="1817"/>
      <c r="Y18" s="3176"/>
      <c r="Z18" s="1818" t="str">
        <f>Q18</f>
        <v>基础设施水平</v>
      </c>
      <c r="AA18" s="1815">
        <f t="shared" ref="AA18" si="8">D18/F18</f>
        <v>1</v>
      </c>
      <c r="AB18" s="1815">
        <f t="shared" ref="AB18" si="9">D18/H18</f>
        <v>1</v>
      </c>
      <c r="AC18" s="1815">
        <f t="shared" ref="AC18" si="10">D18/J18</f>
        <v>1</v>
      </c>
    </row>
    <row r="19" spans="1:29" ht="15">
      <c r="A19" s="429"/>
      <c r="B19" s="1387"/>
      <c r="C19" s="2613"/>
      <c r="D19" s="451"/>
      <c r="E19" s="2613"/>
      <c r="F19" s="454"/>
      <c r="G19" s="2613"/>
      <c r="H19" s="449"/>
      <c r="I19" s="448"/>
      <c r="J19" s="449"/>
      <c r="K19" s="1386"/>
      <c r="L19" s="1143"/>
      <c r="M19" s="1134"/>
      <c r="N19" s="1134"/>
      <c r="O19" s="1142"/>
      <c r="P19" s="3176"/>
      <c r="Q19" s="1814"/>
      <c r="R19" s="774"/>
      <c r="S19" s="775"/>
      <c r="T19" s="774"/>
      <c r="U19" s="775"/>
      <c r="V19" s="774"/>
      <c r="W19" s="775"/>
      <c r="X19" s="1817"/>
      <c r="Y19" s="3176"/>
      <c r="Z19" s="1818"/>
      <c r="AA19" s="1815">
        <v>1</v>
      </c>
      <c r="AB19" s="1815">
        <v>1</v>
      </c>
      <c r="AC19" s="1815">
        <v>1</v>
      </c>
    </row>
    <row r="20" spans="1:29" ht="142.5">
      <c r="A20" s="429"/>
      <c r="B20" s="452" t="s">
        <v>2706</v>
      </c>
      <c r="C20" s="2612" t="str">
        <f>IF(B1="工业",估价对象房地状况!G7,估价对象房地状况!C9)</f>
        <v>估价对象周边约2公里范围有温泉公园，自然环境一般；周边约2公里范围内有北京行政学院等人文设施，人文环境一般；综合评价环境状况一般。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3"/>
      <c r="M20" s="1134"/>
      <c r="N20" s="1134"/>
      <c r="O20" s="1142"/>
      <c r="P20" s="3176"/>
      <c r="Q20" s="1814" t="str">
        <f>B20</f>
        <v>自然及人文环境</v>
      </c>
      <c r="R20" s="774" t="s">
        <v>17</v>
      </c>
      <c r="S20" s="775">
        <f>F20</f>
        <v>100</v>
      </c>
      <c r="T20" s="774" t="s">
        <v>17</v>
      </c>
      <c r="U20" s="775">
        <f>H20</f>
        <v>100</v>
      </c>
      <c r="V20" s="774" t="s">
        <v>17</v>
      </c>
      <c r="W20" s="775">
        <f>J20</f>
        <v>100</v>
      </c>
      <c r="X20" s="1817"/>
      <c r="Y20" s="3176"/>
      <c r="Z20" s="1818" t="str">
        <f>Q20</f>
        <v>自然及人文环境</v>
      </c>
      <c r="AA20" s="1815">
        <f t="shared" si="3"/>
        <v>1</v>
      </c>
      <c r="AB20" s="1815">
        <f t="shared" si="4"/>
        <v>1</v>
      </c>
      <c r="AC20" s="1815">
        <f t="shared" si="5"/>
        <v>1</v>
      </c>
    </row>
    <row r="21" spans="1:29" ht="15">
      <c r="A21" s="429"/>
      <c r="B21" s="457"/>
      <c r="C21" s="448"/>
      <c r="D21" s="449"/>
      <c r="E21" s="448"/>
      <c r="F21" s="450"/>
      <c r="G21" s="448"/>
      <c r="H21" s="449"/>
      <c r="I21" s="448"/>
      <c r="J21" s="449"/>
      <c r="K21" s="616"/>
      <c r="L21" s="1143"/>
      <c r="M21" s="1134"/>
      <c r="N21" s="1134"/>
      <c r="O21" s="1142"/>
      <c r="P21" s="3176"/>
      <c r="Q21" s="1814"/>
      <c r="R21" s="774"/>
      <c r="S21" s="775"/>
      <c r="T21" s="774"/>
      <c r="U21" s="775"/>
      <c r="V21" s="774"/>
      <c r="W21" s="775"/>
      <c r="X21" s="1817"/>
      <c r="Y21" s="3176"/>
      <c r="Z21" s="1818"/>
      <c r="AA21" s="1815">
        <v>1</v>
      </c>
      <c r="AB21" s="1815">
        <v>1</v>
      </c>
      <c r="AC21" s="1815">
        <v>1</v>
      </c>
    </row>
    <row r="22" spans="1:29" ht="15">
      <c r="A22" s="429"/>
      <c r="B22" s="452" t="s">
        <v>2707</v>
      </c>
      <c r="C22" s="617"/>
      <c r="D22" s="451">
        <v>100</v>
      </c>
      <c r="E22" s="617"/>
      <c r="F22" s="462">
        <f>SUMIF(69:69,E22,70:70)-SUMIF(69:69,C22,70:70)+100</f>
        <v>100</v>
      </c>
      <c r="G22" s="617"/>
      <c r="H22" s="436">
        <f>SUMIF(69:69,G22,70:70)-SUMIF(69:69,C22,70:70)+100</f>
        <v>100</v>
      </c>
      <c r="I22" s="617"/>
      <c r="J22" s="436">
        <f>SUMIF(69:69,I22,70:70)-SUMIF(69:69,C22,70:70)+100</f>
        <v>100</v>
      </c>
      <c r="K22" s="613"/>
      <c r="L22" s="1143"/>
      <c r="M22" s="1134"/>
      <c r="N22" s="1134"/>
      <c r="O22" s="1142"/>
      <c r="P22" s="3176"/>
      <c r="Q22" s="1814" t="str">
        <f>B22</f>
        <v>楼层</v>
      </c>
      <c r="R22" s="774" t="s">
        <v>17</v>
      </c>
      <c r="S22" s="775">
        <f>F22</f>
        <v>100</v>
      </c>
      <c r="T22" s="774" t="s">
        <v>17</v>
      </c>
      <c r="U22" s="775">
        <f>H22</f>
        <v>100</v>
      </c>
      <c r="V22" s="774" t="s">
        <v>17</v>
      </c>
      <c r="W22" s="775">
        <f>J22</f>
        <v>100</v>
      </c>
      <c r="X22" s="1817"/>
      <c r="Y22" s="3176"/>
      <c r="Z22" s="1818" t="str">
        <f>Q22</f>
        <v>楼层</v>
      </c>
      <c r="AA22" s="1815">
        <f t="shared" si="3"/>
        <v>1</v>
      </c>
      <c r="AB22" s="1815">
        <f t="shared" si="4"/>
        <v>1</v>
      </c>
      <c r="AC22" s="1815">
        <f t="shared" si="5"/>
        <v>1</v>
      </c>
    </row>
    <row r="23" spans="1:29" ht="15">
      <c r="A23" s="405"/>
      <c r="B23" s="2605">
        <v>111</v>
      </c>
      <c r="C23" s="433"/>
      <c r="D23" s="436">
        <v>100</v>
      </c>
      <c r="E23" s="435"/>
      <c r="F23" s="462">
        <f>SUMIF(71:71,E23,72:72)-SUMIF(71:71,C23,72:72)+100</f>
        <v>100</v>
      </c>
      <c r="G23" s="435"/>
      <c r="H23" s="436">
        <f>SUMIF(71:71,G23,72:72)-SUMIF(71:71,C23,72:72)+100</f>
        <v>100</v>
      </c>
      <c r="I23" s="435"/>
      <c r="J23" s="436">
        <f>SUMIF(71:71,I23,72:72)-SUMIF(71:71,C23,72:72)+100</f>
        <v>100</v>
      </c>
      <c r="K23" s="614"/>
      <c r="L23" s="1143"/>
      <c r="M23" s="1134"/>
      <c r="N23" s="1134"/>
      <c r="O23" s="1142"/>
      <c r="P23" s="3176"/>
      <c r="Q23" s="1814">
        <f>B23</f>
        <v>111</v>
      </c>
      <c r="R23" s="774" t="s">
        <v>17</v>
      </c>
      <c r="S23" s="775">
        <f>F23</f>
        <v>100</v>
      </c>
      <c r="T23" s="774" t="s">
        <v>17</v>
      </c>
      <c r="U23" s="775">
        <f>H23</f>
        <v>100</v>
      </c>
      <c r="V23" s="774" t="s">
        <v>17</v>
      </c>
      <c r="W23" s="775">
        <f>J23</f>
        <v>100</v>
      </c>
      <c r="X23" s="1817"/>
      <c r="Y23" s="3176"/>
      <c r="Z23" s="1818">
        <f>Q23</f>
        <v>111</v>
      </c>
      <c r="AA23" s="1815">
        <f t="shared" si="3"/>
        <v>1</v>
      </c>
      <c r="AB23" s="1815">
        <f t="shared" si="4"/>
        <v>1</v>
      </c>
      <c r="AC23" s="1815">
        <f t="shared" si="5"/>
        <v>1</v>
      </c>
    </row>
    <row r="24" spans="1:29" ht="15">
      <c r="A24" s="429"/>
      <c r="B24" s="2605">
        <v>111</v>
      </c>
      <c r="C24" s="433"/>
      <c r="D24" s="436">
        <v>100</v>
      </c>
      <c r="E24" s="435"/>
      <c r="F24" s="462">
        <f>SUMIF(73:73,E24,74:74)-SUMIF(73:73,C24,74:74)+100</f>
        <v>100</v>
      </c>
      <c r="G24" s="435"/>
      <c r="H24" s="436">
        <f>SUMIF(73:73,G24,74:74)-SUMIF(73:73,C24,74:74)+100</f>
        <v>100</v>
      </c>
      <c r="I24" s="435"/>
      <c r="J24" s="436">
        <f>SUMIF(73:73,I24,74:74)-SUMIF(73:73,C24,74:74)+100</f>
        <v>100</v>
      </c>
      <c r="K24" s="614"/>
      <c r="L24" s="1143"/>
      <c r="M24" s="1134"/>
      <c r="N24" s="1134"/>
      <c r="O24" s="1142"/>
      <c r="P24" s="3176"/>
      <c r="Q24" s="1814">
        <f t="shared" ref="Q24:Q34" si="11">B24</f>
        <v>111</v>
      </c>
      <c r="R24" s="774" t="s">
        <v>17</v>
      </c>
      <c r="S24" s="775">
        <f>F24</f>
        <v>100</v>
      </c>
      <c r="T24" s="774" t="s">
        <v>17</v>
      </c>
      <c r="U24" s="775">
        <f>H24</f>
        <v>100</v>
      </c>
      <c r="V24" s="774" t="s">
        <v>17</v>
      </c>
      <c r="W24" s="775">
        <f>J24</f>
        <v>100</v>
      </c>
      <c r="X24" s="1817"/>
      <c r="Y24" s="3176"/>
      <c r="Z24" s="1818">
        <f>Q24</f>
        <v>111</v>
      </c>
      <c r="AA24" s="1815">
        <f t="shared" si="3"/>
        <v>1</v>
      </c>
      <c r="AB24" s="1815">
        <f t="shared" si="4"/>
        <v>1</v>
      </c>
      <c r="AC24" s="1815">
        <f t="shared" si="5"/>
        <v>1</v>
      </c>
    </row>
    <row r="25" spans="1:29" s="117" customFormat="1" ht="15.75" thickBot="1">
      <c r="A25" s="432"/>
      <c r="B25" s="2605">
        <v>111</v>
      </c>
      <c r="C25" s="2703"/>
      <c r="D25" s="666">
        <v>100</v>
      </c>
      <c r="E25" s="2703"/>
      <c r="F25" s="667">
        <f>SUMIF(75:75,E25,76:76)-SUMIF(75:75,C25,76:76)+100</f>
        <v>100</v>
      </c>
      <c r="G25" s="2703"/>
      <c r="H25" s="666">
        <f>SUMIF(75:75,G25,76:76)-SUMIF(75:75,C25,76:76)+100</f>
        <v>100</v>
      </c>
      <c r="I25" s="2703"/>
      <c r="J25" s="666">
        <f>SUMIF(75:75,I25,76:76)-SUMIF(75:75,C25,76:76)+100</f>
        <v>100</v>
      </c>
      <c r="K25" s="614"/>
      <c r="L25" s="1135"/>
      <c r="M25" s="1136"/>
      <c r="N25" s="1136"/>
      <c r="O25" s="1137"/>
      <c r="P25" s="3176"/>
      <c r="Q25" s="1799">
        <f t="shared" si="11"/>
        <v>111</v>
      </c>
      <c r="R25" s="770" t="s">
        <v>17</v>
      </c>
      <c r="S25" s="771">
        <f>F25</f>
        <v>100</v>
      </c>
      <c r="T25" s="770" t="s">
        <v>17</v>
      </c>
      <c r="U25" s="771">
        <f>H25</f>
        <v>100</v>
      </c>
      <c r="V25" s="770" t="s">
        <v>17</v>
      </c>
      <c r="W25" s="771">
        <f>J25</f>
        <v>100</v>
      </c>
      <c r="X25" s="772"/>
      <c r="Y25" s="3176"/>
      <c r="Z25" s="55">
        <f>Q25</f>
        <v>111</v>
      </c>
      <c r="AA25" s="1815">
        <f>D25/F25</f>
        <v>1</v>
      </c>
      <c r="AB25" s="1815">
        <f>D25/H25</f>
        <v>1</v>
      </c>
      <c r="AC25" s="1815">
        <f>D25/J25</f>
        <v>1</v>
      </c>
    </row>
    <row r="26" spans="1:29" ht="15">
      <c r="A26" s="467" t="s">
        <v>2559</v>
      </c>
      <c r="B26" s="71" t="s">
        <v>2710</v>
      </c>
      <c r="C26" s="2684"/>
      <c r="D26" s="468">
        <v>100</v>
      </c>
      <c r="E26" s="2684"/>
      <c r="F26" s="668">
        <f>SUMIF(77:77,E26,78:78)-SUMIF(77:77,C26,78:78)+100</f>
        <v>100</v>
      </c>
      <c r="G26" s="2684"/>
      <c r="H26" s="468">
        <f>SUMIF(77:77,G26,78:78)-SUMIF(77:77,C26,78:78)+100</f>
        <v>100</v>
      </c>
      <c r="I26" s="2684"/>
      <c r="J26" s="468">
        <f>SUMIF(77:77,I26,78:78)-SUMIF(77:77,C26,78:78)+100</f>
        <v>100</v>
      </c>
      <c r="K26" s="613"/>
      <c r="L26" s="1143"/>
      <c r="M26" s="1134"/>
      <c r="N26" s="1134"/>
      <c r="O26" s="1142"/>
      <c r="P26" s="3234" t="s">
        <v>2561</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80" t="s">
        <v>2561</v>
      </c>
      <c r="Z26" s="1818" t="str">
        <f t="shared" ref="Z26:Z34" si="15">Q26</f>
        <v>公共部分装修</v>
      </c>
      <c r="AA26" s="1815">
        <f t="shared" si="3"/>
        <v>1</v>
      </c>
      <c r="AB26" s="1815">
        <f t="shared" si="4"/>
        <v>1</v>
      </c>
      <c r="AC26" s="1815">
        <f t="shared" si="5"/>
        <v>1</v>
      </c>
    </row>
    <row r="27" spans="1:29" s="472" customFormat="1" ht="15">
      <c r="A27" s="469"/>
      <c r="B27" s="423" t="s">
        <v>2711</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1"/>
      <c r="M27" s="1144"/>
      <c r="N27" s="1144"/>
      <c r="O27" s="1145"/>
      <c r="P27" s="3180"/>
      <c r="Q27" s="776" t="str">
        <f t="shared" si="11"/>
        <v>成新率</v>
      </c>
      <c r="R27" s="777" t="s">
        <v>17</v>
      </c>
      <c r="S27" s="778" t="e">
        <f t="shared" si="12"/>
        <v>#N/A</v>
      </c>
      <c r="T27" s="777" t="s">
        <v>17</v>
      </c>
      <c r="U27" s="778" t="e">
        <f t="shared" si="13"/>
        <v>#N/A</v>
      </c>
      <c r="V27" s="777" t="s">
        <v>17</v>
      </c>
      <c r="W27" s="778" t="e">
        <f t="shared" si="14"/>
        <v>#N/A</v>
      </c>
      <c r="X27" s="779"/>
      <c r="Y27" s="3180"/>
      <c r="Z27" s="780" t="str">
        <f t="shared" si="15"/>
        <v>成新率</v>
      </c>
      <c r="AA27" s="1815" t="e">
        <f t="shared" si="3"/>
        <v>#N/A</v>
      </c>
      <c r="AB27" s="1815" t="e">
        <f t="shared" si="4"/>
        <v>#N/A</v>
      </c>
      <c r="AC27" s="1815" t="e">
        <f t="shared" si="5"/>
        <v>#N/A</v>
      </c>
    </row>
    <row r="28" spans="1:29" ht="15">
      <c r="A28" s="473"/>
      <c r="B28" s="423" t="s">
        <v>2712</v>
      </c>
      <c r="C28" s="461"/>
      <c r="D28" s="436">
        <v>100</v>
      </c>
      <c r="E28" s="461"/>
      <c r="F28" s="462">
        <f>SUMIF(82:82,E28,83:83)-SUMIF(82:82,C28,83:83)+100</f>
        <v>100</v>
      </c>
      <c r="G28" s="461"/>
      <c r="H28" s="436">
        <f>SUMIF(82:82,G28,83:83)-SUMIF(82:82,C28,83:83)+100</f>
        <v>100</v>
      </c>
      <c r="I28" s="461"/>
      <c r="J28" s="436">
        <f>SUMIF(82:82,I28,83:83)-SUMIF(82:82,C28,83:83)+100</f>
        <v>100</v>
      </c>
      <c r="K28" s="613"/>
      <c r="L28" s="1143"/>
      <c r="M28" s="1134"/>
      <c r="N28" s="1134"/>
      <c r="O28" s="1142"/>
      <c r="P28" s="3180"/>
      <c r="Q28" s="1814" t="str">
        <f t="shared" si="11"/>
        <v>物业等级</v>
      </c>
      <c r="R28" s="774" t="s">
        <v>17</v>
      </c>
      <c r="S28" s="775">
        <f t="shared" si="12"/>
        <v>100</v>
      </c>
      <c r="T28" s="774" t="s">
        <v>17</v>
      </c>
      <c r="U28" s="775">
        <f t="shared" si="13"/>
        <v>100</v>
      </c>
      <c r="V28" s="774" t="s">
        <v>17</v>
      </c>
      <c r="W28" s="775">
        <f t="shared" si="14"/>
        <v>100</v>
      </c>
      <c r="X28" s="1817"/>
      <c r="Y28" s="3180"/>
      <c r="Z28" s="1818" t="str">
        <f t="shared" si="15"/>
        <v>物业等级</v>
      </c>
      <c r="AA28" s="1815">
        <f t="shared" si="3"/>
        <v>1</v>
      </c>
      <c r="AB28" s="1815">
        <f t="shared" si="4"/>
        <v>1</v>
      </c>
      <c r="AC28" s="1815">
        <f t="shared" si="5"/>
        <v>1</v>
      </c>
    </row>
    <row r="29" spans="1:29" ht="15">
      <c r="A29" s="473"/>
      <c r="B29" s="423" t="s">
        <v>2733</v>
      </c>
      <c r="C29" s="658"/>
      <c r="D29" s="436">
        <v>100</v>
      </c>
      <c r="E29" s="658"/>
      <c r="F29" s="462">
        <f>SUMIF(84:84,E29,85:85)-SUMIF(84:84,C29,85:85)+100</f>
        <v>100</v>
      </c>
      <c r="G29" s="658"/>
      <c r="H29" s="436">
        <f>SUMIF(84:84,G29,85:85)-SUMIF(84:84,C29,85:85)+100</f>
        <v>100</v>
      </c>
      <c r="I29" s="658"/>
      <c r="J29" s="436">
        <f>SUMIF(84:84,I29,85:85)-SUMIF(84:84,C29,85:85)+100</f>
        <v>100</v>
      </c>
      <c r="K29" s="613"/>
      <c r="L29" s="1143"/>
      <c r="M29" s="1134"/>
      <c r="N29" s="1134"/>
      <c r="O29" s="1142"/>
      <c r="P29" s="3180"/>
      <c r="Q29" s="1814" t="str">
        <f t="shared" si="11"/>
        <v>有无电梯</v>
      </c>
      <c r="R29" s="774" t="s">
        <v>17</v>
      </c>
      <c r="S29" s="775">
        <f t="shared" si="12"/>
        <v>100</v>
      </c>
      <c r="T29" s="774" t="s">
        <v>17</v>
      </c>
      <c r="U29" s="775">
        <f t="shared" si="13"/>
        <v>100</v>
      </c>
      <c r="V29" s="774" t="s">
        <v>17</v>
      </c>
      <c r="W29" s="775">
        <f t="shared" si="14"/>
        <v>100</v>
      </c>
      <c r="X29" s="1817"/>
      <c r="Y29" s="3180"/>
      <c r="Z29" s="1818" t="str">
        <f t="shared" si="15"/>
        <v>有无电梯</v>
      </c>
      <c r="AA29" s="1815">
        <f t="shared" si="3"/>
        <v>1</v>
      </c>
      <c r="AB29" s="1815">
        <f t="shared" si="4"/>
        <v>1</v>
      </c>
      <c r="AC29" s="1815">
        <f t="shared" si="5"/>
        <v>1</v>
      </c>
    </row>
    <row r="30" spans="1:29" ht="15">
      <c r="A30" s="473"/>
      <c r="B30" s="423" t="s">
        <v>2734</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3"/>
      <c r="M30" s="1134"/>
      <c r="N30" s="1134"/>
      <c r="O30" s="1142"/>
      <c r="P30" s="3180"/>
      <c r="Q30" s="1814" t="str">
        <f t="shared" si="11"/>
        <v>建筑面积</v>
      </c>
      <c r="R30" s="774" t="s">
        <v>17</v>
      </c>
      <c r="S30" s="775" t="e">
        <f t="shared" si="12"/>
        <v>#N/A</v>
      </c>
      <c r="T30" s="774" t="s">
        <v>17</v>
      </c>
      <c r="U30" s="775" t="e">
        <f t="shared" si="13"/>
        <v>#N/A</v>
      </c>
      <c r="V30" s="774" t="s">
        <v>17</v>
      </c>
      <c r="W30" s="775" t="e">
        <f t="shared" si="14"/>
        <v>#N/A</v>
      </c>
      <c r="X30" s="1817"/>
      <c r="Y30" s="3180"/>
      <c r="Z30" s="1818" t="str">
        <f t="shared" si="15"/>
        <v>建筑面积</v>
      </c>
      <c r="AA30" s="1815" t="e">
        <f t="shared" si="3"/>
        <v>#N/A</v>
      </c>
      <c r="AB30" s="1815" t="e">
        <f t="shared" si="4"/>
        <v>#N/A</v>
      </c>
      <c r="AC30" s="1815" t="e">
        <f t="shared" si="5"/>
        <v>#N/A</v>
      </c>
    </row>
    <row r="31" spans="1:29" s="117" customFormat="1" ht="15">
      <c r="A31" s="474"/>
      <c r="B31" s="423" t="s">
        <v>2735</v>
      </c>
      <c r="C31" s="658"/>
      <c r="D31" s="136">
        <v>100</v>
      </c>
      <c r="E31" s="658"/>
      <c r="F31" s="462">
        <f>SUMIF(89:89,E31,90:90)-SUMIF(89:89,C31,90:90)+100</f>
        <v>100</v>
      </c>
      <c r="G31" s="658"/>
      <c r="H31" s="436">
        <f>SUMIF(89:89,G31,90:90)-SUMIF(89:89,C31,90:90)+100</f>
        <v>100</v>
      </c>
      <c r="I31" s="658"/>
      <c r="J31" s="436">
        <f>SUMIF(89:89,I31,90:90)-SUMIF(89:89,C31,90:90)+100</f>
        <v>100</v>
      </c>
      <c r="K31" s="613"/>
      <c r="L31" s="1135"/>
      <c r="M31" s="1136"/>
      <c r="N31" s="1136"/>
      <c r="O31" s="1137"/>
      <c r="P31" s="3180"/>
      <c r="Q31" s="1799" t="str">
        <f t="shared" si="11"/>
        <v>是否封闭</v>
      </c>
      <c r="R31" s="770" t="s">
        <v>17</v>
      </c>
      <c r="S31" s="771">
        <f t="shared" si="12"/>
        <v>100</v>
      </c>
      <c r="T31" s="770" t="s">
        <v>17</v>
      </c>
      <c r="U31" s="771">
        <f t="shared" si="13"/>
        <v>100</v>
      </c>
      <c r="V31" s="770" t="s">
        <v>17</v>
      </c>
      <c r="W31" s="771">
        <f t="shared" si="14"/>
        <v>100</v>
      </c>
      <c r="X31" s="772"/>
      <c r="Y31" s="3180"/>
      <c r="Z31" s="55" t="str">
        <f t="shared" si="15"/>
        <v>是否封闭</v>
      </c>
      <c r="AA31" s="773">
        <f t="shared" si="3"/>
        <v>1</v>
      </c>
      <c r="AB31" s="773">
        <f t="shared" si="4"/>
        <v>1</v>
      </c>
      <c r="AC31" s="773">
        <f t="shared" si="5"/>
        <v>1</v>
      </c>
    </row>
    <row r="32" spans="1:29" ht="15">
      <c r="A32" s="473"/>
      <c r="B32" s="2605">
        <v>111</v>
      </c>
      <c r="C32" s="433"/>
      <c r="D32" s="436">
        <v>100</v>
      </c>
      <c r="E32" s="470"/>
      <c r="F32" s="462">
        <f>SUMIF(91:91,E32,92:92)-SUMIF(91:91,C32,92:92)+100</f>
        <v>100</v>
      </c>
      <c r="G32" s="470"/>
      <c r="H32" s="436">
        <f>SUMIF(91:91,G32,92:92)-SUMIF(91:91,C32,92:92)+100</f>
        <v>100</v>
      </c>
      <c r="I32" s="470"/>
      <c r="J32" s="436">
        <f>SUMIF(91:91,I32,92:92)-SUMIF(91:91,C32,92:92)+100</f>
        <v>100</v>
      </c>
      <c r="K32" s="614"/>
      <c r="L32" s="1143"/>
      <c r="M32" s="1134"/>
      <c r="N32" s="1134"/>
      <c r="O32" s="1142"/>
      <c r="P32" s="3180" t="s">
        <v>2561</v>
      </c>
      <c r="Q32" s="1814">
        <f t="shared" si="11"/>
        <v>111</v>
      </c>
      <c r="R32" s="774" t="s">
        <v>17</v>
      </c>
      <c r="S32" s="775">
        <f t="shared" si="12"/>
        <v>100</v>
      </c>
      <c r="T32" s="774" t="s">
        <v>17</v>
      </c>
      <c r="U32" s="775">
        <f t="shared" si="13"/>
        <v>100</v>
      </c>
      <c r="V32" s="774" t="s">
        <v>17</v>
      </c>
      <c r="W32" s="775">
        <f t="shared" si="14"/>
        <v>100</v>
      </c>
      <c r="X32" s="1817"/>
      <c r="Y32" s="3180" t="s">
        <v>2561</v>
      </c>
      <c r="Z32" s="1818">
        <f t="shared" si="15"/>
        <v>111</v>
      </c>
      <c r="AA32" s="1815">
        <f t="shared" si="3"/>
        <v>1</v>
      </c>
      <c r="AB32" s="1815">
        <f t="shared" si="4"/>
        <v>1</v>
      </c>
      <c r="AC32" s="1815">
        <f t="shared" si="5"/>
        <v>1</v>
      </c>
    </row>
    <row r="33" spans="1:29" ht="15">
      <c r="A33" s="473"/>
      <c r="B33" s="2605">
        <v>111</v>
      </c>
      <c r="C33" s="433"/>
      <c r="D33" s="436">
        <v>100</v>
      </c>
      <c r="E33" s="470"/>
      <c r="F33" s="462">
        <f>SUMIF(93:93,E33,94:94)-SUMIF(93:93,C33,94:94)+100</f>
        <v>100</v>
      </c>
      <c r="G33" s="470"/>
      <c r="H33" s="436">
        <f>SUMIF(93:93,G33,94:94)-SUMIF(93:93,C33,94:94)+100</f>
        <v>100</v>
      </c>
      <c r="I33" s="470"/>
      <c r="J33" s="436">
        <f>SUMIF(93:93,I33,94:94)-SUMIF(93:93,C33,94:94)+100</f>
        <v>100</v>
      </c>
      <c r="K33" s="614"/>
      <c r="L33" s="1143"/>
      <c r="M33" s="1134"/>
      <c r="N33" s="1134"/>
      <c r="O33" s="1142"/>
      <c r="P33" s="3180"/>
      <c r="Q33" s="1814">
        <f t="shared" si="11"/>
        <v>111</v>
      </c>
      <c r="R33" s="774" t="s">
        <v>17</v>
      </c>
      <c r="S33" s="775">
        <f t="shared" si="12"/>
        <v>100</v>
      </c>
      <c r="T33" s="774" t="s">
        <v>17</v>
      </c>
      <c r="U33" s="775">
        <f t="shared" si="13"/>
        <v>100</v>
      </c>
      <c r="V33" s="774" t="s">
        <v>17</v>
      </c>
      <c r="W33" s="775">
        <f t="shared" si="14"/>
        <v>100</v>
      </c>
      <c r="X33" s="1817"/>
      <c r="Y33" s="3180"/>
      <c r="Z33" s="1818">
        <f t="shared" si="15"/>
        <v>111</v>
      </c>
      <c r="AA33" s="1815">
        <f t="shared" si="3"/>
        <v>1</v>
      </c>
      <c r="AB33" s="1815">
        <f t="shared" si="4"/>
        <v>1</v>
      </c>
      <c r="AC33" s="1815">
        <f t="shared" si="5"/>
        <v>1</v>
      </c>
    </row>
    <row r="34" spans="1:29" ht="15.75" thickBot="1">
      <c r="A34" s="479"/>
      <c r="B34" s="2607">
        <v>111</v>
      </c>
      <c r="C34" s="438"/>
      <c r="D34" s="439">
        <v>100</v>
      </c>
      <c r="E34" s="2702"/>
      <c r="F34" s="440">
        <f>SUMIF(95:95,E34,96:96)-SUMIF(95:95,C34,96:96)+100</f>
        <v>100</v>
      </c>
      <c r="G34" s="2702"/>
      <c r="H34" s="439">
        <f>SUMIF(95:95,G34,96:96)-SUMIF(95:95,C34,96:96)+100</f>
        <v>100</v>
      </c>
      <c r="I34" s="2702"/>
      <c r="J34" s="439">
        <f>SUMIF(95:95,I34,96:96)-SUMIF(95:95,C34,96:96)+100</f>
        <v>100</v>
      </c>
      <c r="K34" s="614"/>
      <c r="L34" s="1143"/>
      <c r="M34" s="1134"/>
      <c r="N34" s="1134"/>
      <c r="O34" s="1142"/>
      <c r="P34" s="3180"/>
      <c r="Q34" s="1814">
        <f t="shared" si="11"/>
        <v>111</v>
      </c>
      <c r="R34" s="774" t="s">
        <v>17</v>
      </c>
      <c r="S34" s="775">
        <f t="shared" si="12"/>
        <v>100</v>
      </c>
      <c r="T34" s="774" t="s">
        <v>17</v>
      </c>
      <c r="U34" s="775">
        <f t="shared" si="13"/>
        <v>100</v>
      </c>
      <c r="V34" s="774" t="s">
        <v>17</v>
      </c>
      <c r="W34" s="775">
        <f t="shared" si="14"/>
        <v>100</v>
      </c>
      <c r="X34" s="1817"/>
      <c r="Y34" s="3180"/>
      <c r="Z34" s="1818">
        <f t="shared" si="15"/>
        <v>111</v>
      </c>
      <c r="AA34" s="1815">
        <f t="shared" si="3"/>
        <v>1</v>
      </c>
      <c r="AB34" s="1815">
        <f t="shared" si="4"/>
        <v>1</v>
      </c>
      <c r="AC34" s="1815">
        <f t="shared" si="5"/>
        <v>1</v>
      </c>
    </row>
    <row r="35" spans="1:29" ht="15">
      <c r="A35" s="480" t="s">
        <v>2573</v>
      </c>
      <c r="B35" s="481"/>
      <c r="C35" s="1410" t="s">
        <v>1</v>
      </c>
      <c r="D35" s="1411"/>
      <c r="E35" s="1412"/>
      <c r="F35" s="1413"/>
      <c r="G35" s="1414"/>
      <c r="H35" s="1415"/>
      <c r="I35" s="1412"/>
      <c r="J35" s="1415"/>
      <c r="K35" s="783"/>
      <c r="L35" s="1146"/>
      <c r="M35" s="1147"/>
      <c r="N35" s="1134"/>
      <c r="O35" s="1147"/>
      <c r="P35" s="3182" t="str">
        <f>A35</f>
        <v>成交单价（元/平方米）</v>
      </c>
      <c r="Q35" s="3182"/>
      <c r="R35" s="3183">
        <f>E35</f>
        <v>0</v>
      </c>
      <c r="S35" s="3183"/>
      <c r="T35" s="3183">
        <f>G35</f>
        <v>0</v>
      </c>
      <c r="U35" s="3183"/>
      <c r="V35" s="3183">
        <f>I35</f>
        <v>0</v>
      </c>
      <c r="W35" s="3183"/>
      <c r="X35" s="759"/>
      <c r="Y35" s="781"/>
      <c r="Z35" s="759"/>
      <c r="AA35" s="759"/>
      <c r="AB35" s="759"/>
      <c r="AC35" s="759"/>
    </row>
    <row r="36" spans="1:29" ht="15.75" thickBot="1">
      <c r="A36" s="487" t="s">
        <v>2665</v>
      </c>
      <c r="B36" s="488"/>
      <c r="C36" s="1416" t="e">
        <f>R37</f>
        <v>#DIV/0!</v>
      </c>
      <c r="D36" s="1417"/>
      <c r="E36" s="1418" t="e">
        <f>R36</f>
        <v>#DIV/0!</v>
      </c>
      <c r="F36" s="1418"/>
      <c r="G36" s="1416" t="e">
        <f>T36</f>
        <v>#DIV/0!</v>
      </c>
      <c r="H36" s="1417"/>
      <c r="I36" s="1418" t="e">
        <f>V36</f>
        <v>#DIV/0!</v>
      </c>
      <c r="J36" s="1417"/>
      <c r="K36" s="784"/>
      <c r="L36" s="1146"/>
      <c r="M36" s="1147"/>
      <c r="N36" s="1134"/>
      <c r="O36" s="1147"/>
      <c r="P36" s="3182" t="str">
        <f>A36</f>
        <v>比较价值（元/平方米）</v>
      </c>
      <c r="Q36" s="3182"/>
      <c r="R36" s="3183" t="e">
        <f>IF(F1="售价",ROUND(PRODUCT(R35,AA7:AA34),0),ROUND(PRODUCT(R35,AA7:AA34),1))</f>
        <v>#DIV/0!</v>
      </c>
      <c r="S36" s="3183"/>
      <c r="T36" s="3183" t="e">
        <f>IF(F1="售价",ROUND(PRODUCT(T35,AB7:AB34),0),ROUND(PRODUCT(T35,AB7:AB34),1))</f>
        <v>#DIV/0!</v>
      </c>
      <c r="U36" s="3183"/>
      <c r="V36" s="3183" t="e">
        <f>IF(F1="售价",ROUND(PRODUCT(V35,AC7:AC34),0),ROUND(PRODUCT(V35,AC7:AC34),1))</f>
        <v>#DIV/0!</v>
      </c>
      <c r="W36" s="3183"/>
      <c r="X36" s="759"/>
      <c r="Y36" s="759"/>
      <c r="Z36" s="759"/>
      <c r="AA36" s="759"/>
      <c r="AB36" s="759"/>
      <c r="AC36" s="759"/>
    </row>
    <row r="37" spans="1:29" ht="15.75" thickBot="1">
      <c r="A37" s="493" t="s">
        <v>2666</v>
      </c>
      <c r="B37" s="494"/>
      <c r="C37" s="1420" t="e">
        <f>R37</f>
        <v>#DIV/0!</v>
      </c>
      <c r="D37" s="1420"/>
      <c r="E37" s="1420"/>
      <c r="F37" s="1420"/>
      <c r="G37" s="1420"/>
      <c r="H37" s="1420"/>
      <c r="I37" s="1420"/>
      <c r="J37" s="1420"/>
      <c r="K37" s="785"/>
      <c r="L37" s="1146"/>
      <c r="M37" s="1147"/>
      <c r="N37" s="1147"/>
      <c r="O37" s="1147"/>
      <c r="P37" s="3231" t="str">
        <f>A37</f>
        <v>估价对象XX用房的比较价值（楼面单价，元/平方米）</v>
      </c>
      <c r="Q37" s="3232"/>
      <c r="R37" s="3233" t="e">
        <f>IF(F1="售价",ROUND(AVERAGE(R36:V36),0),ROUND(AVERAGE(R36:V36),1))</f>
        <v>#DIV/0!</v>
      </c>
      <c r="S37" s="3233"/>
      <c r="T37" s="3233"/>
      <c r="U37" s="3233"/>
      <c r="V37" s="3233"/>
      <c r="W37" s="323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8" t="s">
        <v>2667</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8"/>
      <c r="L40" s="1109"/>
      <c r="M40" s="1147"/>
      <c r="N40" s="1147"/>
      <c r="O40" s="1147"/>
    </row>
    <row r="41" spans="1:29" ht="13.5" customHeight="1">
      <c r="A41" s="1147"/>
      <c r="B41" s="1147"/>
      <c r="C41" s="498" t="s">
        <v>2668</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8"/>
      <c r="L41" s="1109"/>
      <c r="M41" s="1147"/>
      <c r="N41" s="1147"/>
      <c r="O41" s="1147"/>
    </row>
    <row r="42" spans="1:29" s="503" customFormat="1" ht="13.5" customHeight="1">
      <c r="A42" s="1148"/>
      <c r="B42" s="1148"/>
      <c r="C42" s="498" t="s">
        <v>2669</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1"/>
      <c r="L42" s="1152"/>
      <c r="M42" s="1148"/>
      <c r="N42" s="1148"/>
      <c r="O42" s="1148"/>
    </row>
    <row r="43" spans="1:29" s="503"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2670</v>
      </c>
      <c r="B45" s="759"/>
      <c r="C45" s="764"/>
      <c r="D45" s="764"/>
      <c r="E45" s="764"/>
      <c r="F45" s="765"/>
      <c r="G45" s="765"/>
      <c r="H45" s="764"/>
      <c r="I45" s="764"/>
      <c r="J45" s="764"/>
      <c r="K45" s="766"/>
      <c r="L45" s="767"/>
      <c r="M45" s="764"/>
      <c r="N45" s="764"/>
      <c r="O45" s="764"/>
      <c r="P45" s="504"/>
      <c r="Q45" s="505"/>
    </row>
    <row r="46" spans="1:29" s="509" customFormat="1" ht="15">
      <c r="A46" s="506" t="s">
        <v>2544</v>
      </c>
      <c r="B46" s="507"/>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8"/>
    </row>
    <row r="47" spans="1:29" s="117" customFormat="1" ht="15">
      <c r="A47" s="510"/>
      <c r="B47" s="511"/>
      <c r="C47" s="1577">
        <v>100</v>
      </c>
      <c r="D47" s="513"/>
      <c r="E47" s="513"/>
      <c r="F47" s="513"/>
      <c r="G47" s="513"/>
      <c r="H47" s="513"/>
      <c r="I47" s="513"/>
      <c r="J47" s="513"/>
      <c r="K47" s="513"/>
      <c r="L47" s="513"/>
      <c r="M47" s="514"/>
      <c r="N47" s="513"/>
      <c r="O47" s="515"/>
      <c r="P47" s="505"/>
    </row>
    <row r="48" spans="1:29" s="117" customFormat="1" ht="15.75" thickBot="1">
      <c r="A48" s="516" t="s">
        <v>2581</v>
      </c>
      <c r="B48" s="517"/>
      <c r="C48" s="518"/>
      <c r="D48" s="519"/>
      <c r="E48" s="519"/>
      <c r="F48" s="519"/>
      <c r="G48" s="519"/>
      <c r="H48" s="519"/>
      <c r="I48" s="519"/>
      <c r="J48" s="519"/>
      <c r="K48" s="519"/>
      <c r="L48" s="519"/>
      <c r="M48" s="520"/>
      <c r="N48" s="519"/>
      <c r="O48" s="521"/>
      <c r="P48" s="505"/>
      <c r="Q48" s="505"/>
    </row>
    <row r="49" spans="1:17" s="117" customFormat="1" ht="15">
      <c r="A49" s="522" t="s">
        <v>2546</v>
      </c>
      <c r="B49" s="511"/>
      <c r="C49" s="523" t="s">
        <v>2648</v>
      </c>
      <c r="D49" s="524"/>
      <c r="E49" s="524"/>
      <c r="F49" s="524"/>
      <c r="G49" s="524"/>
      <c r="H49" s="524"/>
      <c r="I49" s="524"/>
      <c r="J49" s="524"/>
      <c r="K49" s="524"/>
      <c r="L49" s="525"/>
      <c r="M49" s="526"/>
      <c r="N49" s="1154"/>
      <c r="O49" s="1154"/>
      <c r="P49" s="527"/>
      <c r="Q49" s="505"/>
    </row>
    <row r="50" spans="1:17" s="117" customFormat="1" ht="15.75" thickBot="1">
      <c r="A50" s="522"/>
      <c r="B50" s="511"/>
      <c r="C50" s="640">
        <v>100</v>
      </c>
      <c r="D50" s="513"/>
      <c r="E50" s="513"/>
      <c r="F50" s="513"/>
      <c r="G50" s="513"/>
      <c r="H50" s="513"/>
      <c r="I50" s="513"/>
      <c r="J50" s="513"/>
      <c r="K50" s="513"/>
      <c r="L50" s="513"/>
      <c r="M50" s="515"/>
      <c r="N50" s="1154"/>
      <c r="O50" s="1154"/>
      <c r="P50" s="505"/>
      <c r="Q50" s="505"/>
    </row>
    <row r="51" spans="1:17">
      <c r="A51" s="528" t="s">
        <v>2584</v>
      </c>
      <c r="B51" s="529" t="s">
        <v>2550</v>
      </c>
      <c r="C51" s="530">
        <f>C9</f>
        <v>0</v>
      </c>
      <c r="D51" s="531"/>
      <c r="E51" s="531"/>
      <c r="F51" s="531"/>
      <c r="G51" s="531"/>
      <c r="H51" s="531"/>
      <c r="I51" s="531"/>
      <c r="J51" s="531"/>
      <c r="K51" s="532"/>
      <c r="L51" s="533"/>
      <c r="M51" s="534"/>
      <c r="N51" s="1155"/>
      <c r="O51" s="1155"/>
      <c r="P51" s="45"/>
      <c r="Q51" s="505"/>
    </row>
    <row r="52" spans="1:17" ht="15.75" thickBot="1">
      <c r="A52" s="535"/>
      <c r="B52" s="536"/>
      <c r="C52" s="537">
        <v>100</v>
      </c>
      <c r="D52" s="537"/>
      <c r="E52" s="537"/>
      <c r="F52" s="537"/>
      <c r="G52" s="537"/>
      <c r="H52" s="537"/>
      <c r="I52" s="537"/>
      <c r="J52" s="537"/>
      <c r="K52" s="537"/>
      <c r="L52" s="537"/>
      <c r="M52" s="538"/>
      <c r="N52" s="1156"/>
      <c r="O52" s="1156"/>
      <c r="P52" s="45"/>
      <c r="Q52" s="505"/>
    </row>
    <row r="53" spans="1:17" ht="27.75" thickTop="1">
      <c r="A53" s="535"/>
      <c r="B53" s="539" t="s">
        <v>2553</v>
      </c>
      <c r="C53" s="540" t="s">
        <v>2585</v>
      </c>
      <c r="D53" s="540" t="s">
        <v>2586</v>
      </c>
      <c r="E53" s="540" t="s">
        <v>2587</v>
      </c>
      <c r="F53" s="540" t="s">
        <v>2588</v>
      </c>
      <c r="G53" s="540" t="s">
        <v>2589</v>
      </c>
      <c r="H53" s="540" t="s">
        <v>2590</v>
      </c>
      <c r="I53" s="540" t="s">
        <v>2591</v>
      </c>
      <c r="J53" s="540"/>
      <c r="K53" s="541"/>
      <c r="L53" s="542"/>
      <c r="M53" s="543"/>
      <c r="N53" s="1155"/>
      <c r="O53" s="1155"/>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6"/>
      <c r="O54" s="1156"/>
      <c r="P54" s="45"/>
      <c r="Q54" s="505"/>
    </row>
    <row r="55" spans="1:17" ht="15.75" thickTop="1">
      <c r="A55" s="535"/>
      <c r="B55" s="661">
        <f>B11</f>
        <v>111</v>
      </c>
      <c r="C55" s="550"/>
      <c r="D55" s="550"/>
      <c r="E55" s="550"/>
      <c r="F55" s="550"/>
      <c r="G55" s="550"/>
      <c r="H55" s="550"/>
      <c r="I55" s="550"/>
      <c r="J55" s="550"/>
      <c r="K55" s="551"/>
      <c r="L55" s="552"/>
      <c r="M55" s="553"/>
      <c r="N55" s="1155"/>
      <c r="O55" s="1155"/>
      <c r="P55" s="45"/>
      <c r="Q55" s="505"/>
    </row>
    <row r="56" spans="1:17" ht="15.75" thickBot="1">
      <c r="A56" s="535"/>
      <c r="B56" s="536"/>
      <c r="C56" s="561"/>
      <c r="D56" s="537"/>
      <c r="E56" s="537"/>
      <c r="F56" s="537"/>
      <c r="G56" s="537"/>
      <c r="H56" s="537"/>
      <c r="I56" s="537"/>
      <c r="J56" s="537"/>
      <c r="K56" s="537"/>
      <c r="L56" s="537"/>
      <c r="M56" s="538"/>
      <c r="N56" s="1156"/>
      <c r="O56" s="1156"/>
      <c r="P56" s="45"/>
      <c r="Q56" s="505"/>
    </row>
    <row r="57" spans="1:17" s="472" customFormat="1" ht="15.75" thickTop="1">
      <c r="A57" s="554"/>
      <c r="B57" s="539">
        <f>B12</f>
        <v>111</v>
      </c>
      <c r="C57" s="550"/>
      <c r="D57" s="550"/>
      <c r="E57" s="550"/>
      <c r="F57" s="550"/>
      <c r="G57" s="555"/>
      <c r="H57" s="556"/>
      <c r="I57" s="556"/>
      <c r="J57" s="556"/>
      <c r="K57" s="556"/>
      <c r="L57" s="557"/>
      <c r="M57" s="558"/>
      <c r="N57" s="1157"/>
      <c r="O57" s="1157"/>
      <c r="P57" s="559"/>
      <c r="Q57" s="560"/>
    </row>
    <row r="58" spans="1:17" s="472" customFormat="1" ht="15.75" thickBot="1">
      <c r="A58" s="554"/>
      <c r="B58" s="544"/>
      <c r="C58" s="561"/>
      <c r="D58" s="537"/>
      <c r="E58" s="537"/>
      <c r="F58" s="537"/>
      <c r="G58" s="537"/>
      <c r="H58" s="537"/>
      <c r="I58" s="537"/>
      <c r="J58" s="537"/>
      <c r="K58" s="537"/>
      <c r="L58" s="537"/>
      <c r="M58" s="538"/>
      <c r="N58" s="1156"/>
      <c r="O58" s="1156"/>
      <c r="P58" s="559"/>
      <c r="Q58" s="560"/>
    </row>
    <row r="59" spans="1:17" s="472" customFormat="1" ht="15.75" thickTop="1">
      <c r="A59" s="554"/>
      <c r="B59" s="539">
        <f>B13</f>
        <v>111</v>
      </c>
      <c r="C59" s="550"/>
      <c r="D59" s="550"/>
      <c r="E59" s="550"/>
      <c r="F59" s="550"/>
      <c r="G59" s="555"/>
      <c r="H59" s="556"/>
      <c r="I59" s="556"/>
      <c r="J59" s="556"/>
      <c r="K59" s="556"/>
      <c r="L59" s="557"/>
      <c r="M59" s="558"/>
      <c r="N59" s="1157"/>
      <c r="O59" s="1157"/>
      <c r="P59" s="471"/>
      <c r="Q59" s="562"/>
    </row>
    <row r="60" spans="1:17" s="472" customFormat="1" ht="15.75" thickBot="1">
      <c r="A60" s="554"/>
      <c r="B60" s="544"/>
      <c r="C60" s="561"/>
      <c r="D60" s="561"/>
      <c r="E60" s="561"/>
      <c r="F60" s="561"/>
      <c r="G60" s="561"/>
      <c r="H60" s="563"/>
      <c r="I60" s="563"/>
      <c r="J60" s="563"/>
      <c r="K60" s="563"/>
      <c r="L60" s="563"/>
      <c r="M60" s="564"/>
      <c r="N60" s="1157"/>
      <c r="O60" s="1157"/>
      <c r="P60" s="559"/>
      <c r="Q60" s="560"/>
    </row>
    <row r="61" spans="1:17" ht="15" thickTop="1">
      <c r="A61" s="528" t="s">
        <v>2555</v>
      </c>
      <c r="B61" s="529" t="s">
        <v>2598</v>
      </c>
      <c r="C61" s="574" t="s">
        <v>2593</v>
      </c>
      <c r="D61" s="574" t="s">
        <v>2594</v>
      </c>
      <c r="E61" s="574" t="s">
        <v>2595</v>
      </c>
      <c r="F61" s="574" t="s">
        <v>2596</v>
      </c>
      <c r="G61" s="574" t="s">
        <v>2597</v>
      </c>
      <c r="H61" s="530"/>
      <c r="I61" s="530"/>
      <c r="J61" s="530"/>
      <c r="K61" s="575"/>
      <c r="L61" s="576"/>
      <c r="M61" s="577"/>
      <c r="N61" s="1155"/>
      <c r="O61" s="1155"/>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6"/>
      <c r="O62" s="1156"/>
      <c r="P62" s="45"/>
      <c r="Q62" s="505"/>
    </row>
    <row r="63" spans="1:17" ht="27.75" thickTop="1">
      <c r="A63" s="535"/>
      <c r="B63" s="539" t="s">
        <v>2736</v>
      </c>
      <c r="C63" s="579" t="s">
        <v>2593</v>
      </c>
      <c r="D63" s="579" t="s">
        <v>2594</v>
      </c>
      <c r="E63" s="579" t="s">
        <v>2595</v>
      </c>
      <c r="F63" s="579" t="s">
        <v>2596</v>
      </c>
      <c r="G63" s="579" t="s">
        <v>2597</v>
      </c>
      <c r="H63" s="540"/>
      <c r="I63" s="540"/>
      <c r="J63" s="540"/>
      <c r="K63" s="541"/>
      <c r="L63" s="542"/>
      <c r="M63" s="543"/>
      <c r="N63" s="1155"/>
      <c r="O63" s="1155"/>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6"/>
      <c r="O64" s="1156"/>
      <c r="P64" s="45"/>
      <c r="Q64" s="505"/>
    </row>
    <row r="65" spans="1:17" ht="15.75" thickTop="1">
      <c r="A65" s="535"/>
      <c r="B65" s="547" t="s">
        <v>2685</v>
      </c>
      <c r="C65" s="661" t="s">
        <v>2671</v>
      </c>
      <c r="D65" s="661" t="s">
        <v>2672</v>
      </c>
      <c r="E65" s="661" t="s">
        <v>2673</v>
      </c>
      <c r="F65" s="661" t="s">
        <v>2674</v>
      </c>
      <c r="G65" s="661" t="s">
        <v>2675</v>
      </c>
      <c r="H65" s="540"/>
      <c r="I65" s="540"/>
      <c r="J65" s="540"/>
      <c r="K65" s="540"/>
      <c r="L65" s="540"/>
      <c r="M65" s="1385"/>
      <c r="N65" s="1156"/>
      <c r="O65" s="1156"/>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6"/>
      <c r="O66" s="1156"/>
      <c r="P66" s="45"/>
      <c r="Q66" s="505"/>
    </row>
    <row r="67" spans="1:17" ht="15.75" thickTop="1">
      <c r="A67" s="535"/>
      <c r="B67" s="539" t="s">
        <v>2605</v>
      </c>
      <c r="C67" s="579" t="s">
        <v>2593</v>
      </c>
      <c r="D67" s="579" t="s">
        <v>2594</v>
      </c>
      <c r="E67" s="579" t="s">
        <v>2595</v>
      </c>
      <c r="F67" s="579" t="s">
        <v>2596</v>
      </c>
      <c r="G67" s="579" t="s">
        <v>2597</v>
      </c>
      <c r="H67" s="540"/>
      <c r="I67" s="540"/>
      <c r="J67" s="540"/>
      <c r="K67" s="541"/>
      <c r="L67" s="542"/>
      <c r="M67" s="543"/>
      <c r="N67" s="1155"/>
      <c r="O67" s="1155"/>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6"/>
      <c r="O68" s="1156"/>
      <c r="P68" s="45"/>
      <c r="Q68" s="505"/>
    </row>
    <row r="69" spans="1:17" ht="15.75" thickTop="1">
      <c r="A69" s="535"/>
      <c r="B69" s="539" t="s">
        <v>2725</v>
      </c>
      <c r="C69" s="555"/>
      <c r="D69" s="555"/>
      <c r="E69" s="555"/>
      <c r="F69" s="555"/>
      <c r="G69" s="555"/>
      <c r="H69" s="584"/>
      <c r="I69" s="584"/>
      <c r="J69" s="584"/>
      <c r="K69" s="585"/>
      <c r="L69" s="586"/>
      <c r="M69" s="587"/>
      <c r="N69" s="1155"/>
      <c r="O69" s="1155"/>
      <c r="P69" s="45"/>
      <c r="Q69" s="505"/>
    </row>
    <row r="70" spans="1:17" ht="15.75" thickBot="1">
      <c r="A70" s="535"/>
      <c r="B70" s="544"/>
      <c r="C70" s="545">
        <v>100</v>
      </c>
      <c r="D70" s="545">
        <f>C70-$K22</f>
        <v>100</v>
      </c>
      <c r="E70" s="545"/>
      <c r="F70" s="545"/>
      <c r="G70" s="545"/>
      <c r="H70" s="545"/>
      <c r="I70" s="545"/>
      <c r="J70" s="545"/>
      <c r="K70" s="545"/>
      <c r="L70" s="545"/>
      <c r="M70" s="546"/>
      <c r="N70" s="1156"/>
      <c r="O70" s="1156"/>
      <c r="P70" s="45"/>
      <c r="Q70" s="505"/>
    </row>
    <row r="71" spans="1:17" s="117" customFormat="1" ht="15.75" thickTop="1">
      <c r="A71" s="580"/>
      <c r="B71" s="539">
        <f>B23</f>
        <v>111</v>
      </c>
      <c r="C71" s="550"/>
      <c r="D71" s="550"/>
      <c r="E71" s="550"/>
      <c r="F71" s="550"/>
      <c r="G71" s="555"/>
      <c r="H71" s="555"/>
      <c r="I71" s="555"/>
      <c r="J71" s="555"/>
      <c r="K71" s="555"/>
      <c r="L71" s="581"/>
      <c r="M71" s="582"/>
      <c r="N71" s="1154"/>
      <c r="O71" s="1154"/>
      <c r="P71" s="45"/>
      <c r="Q71" s="505"/>
    </row>
    <row r="72" spans="1:17" s="117" customFormat="1" ht="15.75" thickBot="1">
      <c r="A72" s="580"/>
      <c r="B72" s="544"/>
      <c r="C72" s="561"/>
      <c r="D72" s="537"/>
      <c r="E72" s="537"/>
      <c r="F72" s="537"/>
      <c r="G72" s="537"/>
      <c r="H72" s="537"/>
      <c r="I72" s="537"/>
      <c r="J72" s="537"/>
      <c r="K72" s="537"/>
      <c r="L72" s="537"/>
      <c r="M72" s="538"/>
      <c r="N72" s="1156"/>
      <c r="O72" s="1156"/>
      <c r="P72" s="45"/>
      <c r="Q72" s="505"/>
    </row>
    <row r="73" spans="1:17" s="117" customFormat="1" ht="15.75" thickTop="1">
      <c r="A73" s="580"/>
      <c r="B73" s="539">
        <f>B24</f>
        <v>111</v>
      </c>
      <c r="C73" s="550"/>
      <c r="D73" s="550"/>
      <c r="E73" s="550"/>
      <c r="F73" s="550"/>
      <c r="G73" s="555"/>
      <c r="H73" s="555"/>
      <c r="I73" s="555"/>
      <c r="J73" s="555"/>
      <c r="K73" s="555"/>
      <c r="L73" s="555"/>
      <c r="M73" s="582"/>
      <c r="N73" s="1154"/>
      <c r="O73" s="1154"/>
      <c r="P73" s="45"/>
      <c r="Q73" s="505"/>
    </row>
    <row r="74" spans="1:17" s="117" customFormat="1" ht="15.75" thickBot="1">
      <c r="A74" s="580"/>
      <c r="B74" s="544"/>
      <c r="C74" s="561"/>
      <c r="D74" s="537"/>
      <c r="E74" s="537"/>
      <c r="F74" s="537"/>
      <c r="G74" s="537"/>
      <c r="H74" s="537"/>
      <c r="I74" s="537"/>
      <c r="J74" s="537"/>
      <c r="K74" s="537"/>
      <c r="L74" s="537"/>
      <c r="M74" s="538"/>
      <c r="N74" s="1156"/>
      <c r="O74" s="1156"/>
      <c r="P74" s="45"/>
      <c r="Q74" s="505"/>
    </row>
    <row r="75" spans="1:17" s="472" customFormat="1" ht="15.75" thickTop="1">
      <c r="A75" s="554"/>
      <c r="B75" s="539">
        <f>B25</f>
        <v>111</v>
      </c>
      <c r="C75" s="550"/>
      <c r="D75" s="550"/>
      <c r="E75" s="550"/>
      <c r="F75" s="550"/>
      <c r="G75" s="555"/>
      <c r="H75" s="556"/>
      <c r="I75" s="556"/>
      <c r="J75" s="556"/>
      <c r="K75" s="556"/>
      <c r="L75" s="557"/>
      <c r="M75" s="558"/>
      <c r="N75" s="1157"/>
      <c r="O75" s="1157"/>
      <c r="P75" s="559"/>
      <c r="Q75" s="560"/>
    </row>
    <row r="76" spans="1:17" s="472" customFormat="1" ht="15.75" thickBot="1">
      <c r="A76" s="554"/>
      <c r="B76" s="544"/>
      <c r="C76" s="561"/>
      <c r="D76" s="561"/>
      <c r="E76" s="561"/>
      <c r="F76" s="561"/>
      <c r="G76" s="537"/>
      <c r="H76" s="537"/>
      <c r="I76" s="537"/>
      <c r="J76" s="537"/>
      <c r="K76" s="537"/>
      <c r="L76" s="537"/>
      <c r="M76" s="538"/>
      <c r="N76" s="1157"/>
      <c r="O76" s="1157"/>
      <c r="P76" s="559"/>
      <c r="Q76" s="560"/>
    </row>
    <row r="77" spans="1:17" ht="15" thickTop="1">
      <c r="A77" s="528" t="s">
        <v>2559</v>
      </c>
      <c r="B77" s="529" t="s">
        <v>2612</v>
      </c>
      <c r="C77" s="555"/>
      <c r="D77" s="555"/>
      <c r="E77" s="531"/>
      <c r="F77" s="531"/>
      <c r="G77" s="531"/>
      <c r="H77" s="531"/>
      <c r="I77" s="531"/>
      <c r="J77" s="531"/>
      <c r="K77" s="532"/>
      <c r="L77" s="533"/>
      <c r="M77" s="534"/>
      <c r="N77" s="1155"/>
      <c r="O77" s="1155"/>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6"/>
      <c r="O78" s="1156"/>
      <c r="P78" s="45"/>
      <c r="Q78" s="505"/>
    </row>
    <row r="79" spans="1:17" ht="15.75" thickTop="1">
      <c r="A79" s="535"/>
      <c r="B79" s="539" t="s">
        <v>2728</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4"/>
      <c r="O79" s="1154"/>
      <c r="P79" s="45"/>
      <c r="Q79" s="505"/>
    </row>
    <row r="80" spans="1:17" ht="15">
      <c r="A80" s="535"/>
      <c r="B80" s="547"/>
      <c r="C80" s="604">
        <v>0.5</v>
      </c>
      <c r="D80" s="604">
        <v>0.6</v>
      </c>
      <c r="E80" s="604">
        <v>0.7</v>
      </c>
      <c r="F80" s="604">
        <v>0.8</v>
      </c>
      <c r="G80" s="604">
        <v>0.9</v>
      </c>
      <c r="H80" s="604">
        <v>1.0001</v>
      </c>
      <c r="I80" s="661"/>
      <c r="J80" s="661"/>
      <c r="K80" s="669"/>
      <c r="L80" s="670"/>
      <c r="M80" s="671"/>
      <c r="N80" s="1154"/>
      <c r="O80" s="1154"/>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6"/>
      <c r="O81" s="1156"/>
      <c r="P81" s="559"/>
      <c r="Q81" s="560"/>
    </row>
    <row r="82" spans="1:17" ht="15" thickTop="1">
      <c r="A82" s="600"/>
      <c r="B82" s="547" t="s">
        <v>2729</v>
      </c>
      <c r="C82" s="555"/>
      <c r="D82" s="555"/>
      <c r="E82" s="584"/>
      <c r="F82" s="584"/>
      <c r="G82" s="584"/>
      <c r="H82" s="584"/>
      <c r="I82" s="584"/>
      <c r="J82" s="584"/>
      <c r="K82" s="585"/>
      <c r="L82" s="586"/>
      <c r="M82" s="587"/>
      <c r="N82" s="1155"/>
      <c r="O82" s="1155"/>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6"/>
      <c r="O83" s="1156"/>
      <c r="P83" s="45"/>
      <c r="Q83" s="505"/>
    </row>
    <row r="84" spans="1:17" ht="15" thickTop="1">
      <c r="A84" s="600"/>
      <c r="B84" s="539" t="s">
        <v>2737</v>
      </c>
      <c r="C84" s="555"/>
      <c r="D84" s="555"/>
      <c r="E84" s="555"/>
      <c r="F84" s="555"/>
      <c r="G84" s="555"/>
      <c r="H84" s="555"/>
      <c r="I84" s="584"/>
      <c r="J84" s="584"/>
      <c r="K84" s="585"/>
      <c r="L84" s="586"/>
      <c r="M84" s="587"/>
      <c r="N84" s="1155"/>
      <c r="O84" s="1155"/>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6"/>
      <c r="O85" s="1156"/>
      <c r="P85" s="45"/>
      <c r="Q85" s="505"/>
    </row>
    <row r="86" spans="1:17" ht="15" thickTop="1">
      <c r="A86" s="600"/>
      <c r="B86" s="547" t="s">
        <v>2738</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5"/>
      <c r="O86" s="1155"/>
      <c r="P86" s="45"/>
      <c r="Q86" s="505"/>
    </row>
    <row r="87" spans="1:17">
      <c r="A87" s="600"/>
      <c r="B87" s="547"/>
      <c r="C87" s="596"/>
      <c r="D87" s="596"/>
      <c r="E87" s="596"/>
      <c r="F87" s="596"/>
      <c r="G87" s="596"/>
      <c r="H87" s="596"/>
      <c r="I87" s="596"/>
      <c r="J87" s="597"/>
      <c r="K87" s="597"/>
      <c r="L87" s="598"/>
      <c r="M87" s="599"/>
      <c r="N87" s="1155"/>
      <c r="O87" s="1155"/>
      <c r="P87" s="45"/>
      <c r="Q87" s="505"/>
    </row>
    <row r="88" spans="1:17" ht="15.75" thickBot="1">
      <c r="A88" s="535"/>
      <c r="B88" s="544"/>
      <c r="C88" s="561"/>
      <c r="D88" s="537"/>
      <c r="E88" s="537"/>
      <c r="F88" s="537"/>
      <c r="G88" s="537"/>
      <c r="H88" s="537"/>
      <c r="I88" s="537"/>
      <c r="J88" s="537"/>
      <c r="K88" s="537"/>
      <c r="L88" s="537"/>
      <c r="M88" s="537"/>
      <c r="N88" s="1156"/>
      <c r="O88" s="1156"/>
      <c r="P88" s="45"/>
      <c r="Q88" s="505"/>
    </row>
    <row r="89" spans="1:17" s="472" customFormat="1" ht="15" thickTop="1">
      <c r="A89" s="594"/>
      <c r="B89" s="539" t="s">
        <v>2739</v>
      </c>
      <c r="C89" s="555"/>
      <c r="D89" s="555"/>
      <c r="E89" s="555"/>
      <c r="F89" s="555"/>
      <c r="G89" s="555"/>
      <c r="H89" s="555"/>
      <c r="I89" s="555"/>
      <c r="J89" s="555"/>
      <c r="K89" s="555"/>
      <c r="L89" s="555"/>
      <c r="M89" s="582"/>
      <c r="N89" s="1157"/>
      <c r="O89" s="1157"/>
      <c r="P89" s="559"/>
      <c r="Q89" s="560"/>
    </row>
    <row r="90" spans="1:17" s="472" customFormat="1" ht="15.75" thickBot="1">
      <c r="A90" s="554"/>
      <c r="B90" s="544"/>
      <c r="C90" s="561"/>
      <c r="D90" s="537"/>
      <c r="E90" s="537"/>
      <c r="F90" s="537"/>
      <c r="G90" s="537"/>
      <c r="H90" s="537"/>
      <c r="I90" s="537"/>
      <c r="J90" s="537"/>
      <c r="K90" s="537"/>
      <c r="L90" s="537"/>
      <c r="M90" s="538"/>
      <c r="N90" s="1157"/>
      <c r="O90" s="1157"/>
      <c r="P90" s="559"/>
      <c r="Q90" s="560"/>
    </row>
    <row r="91" spans="1:17" ht="15" thickTop="1">
      <c r="A91" s="600"/>
      <c r="B91" s="539">
        <f>B32</f>
        <v>111</v>
      </c>
      <c r="C91" s="550"/>
      <c r="D91" s="550"/>
      <c r="E91" s="550"/>
      <c r="F91" s="550"/>
      <c r="G91" s="555"/>
      <c r="H91" s="556"/>
      <c r="I91" s="556"/>
      <c r="J91" s="556"/>
      <c r="K91" s="556"/>
      <c r="L91" s="557"/>
      <c r="M91" s="558"/>
      <c r="N91" s="1155"/>
      <c r="O91" s="1155"/>
      <c r="P91" s="45"/>
      <c r="Q91" s="505"/>
    </row>
    <row r="92" spans="1:17" ht="15.75" thickBot="1">
      <c r="A92" s="535"/>
      <c r="B92" s="544"/>
      <c r="C92" s="561"/>
      <c r="D92" s="537"/>
      <c r="E92" s="537"/>
      <c r="F92" s="537"/>
      <c r="G92" s="561"/>
      <c r="H92" s="563"/>
      <c r="I92" s="563"/>
      <c r="J92" s="563"/>
      <c r="K92" s="563"/>
      <c r="L92" s="563"/>
      <c r="M92" s="564"/>
      <c r="N92" s="1156"/>
      <c r="O92" s="1156"/>
      <c r="P92" s="45"/>
      <c r="Q92" s="505"/>
    </row>
    <row r="93" spans="1:17" ht="15" thickTop="1">
      <c r="A93" s="600"/>
      <c r="B93" s="539">
        <f>B33</f>
        <v>111</v>
      </c>
      <c r="C93" s="550"/>
      <c r="D93" s="550"/>
      <c r="E93" s="550"/>
      <c r="F93" s="550"/>
      <c r="G93" s="555"/>
      <c r="H93" s="556"/>
      <c r="I93" s="556"/>
      <c r="J93" s="556"/>
      <c r="K93" s="556"/>
      <c r="L93" s="557"/>
      <c r="M93" s="558"/>
      <c r="N93" s="1155"/>
      <c r="O93" s="1155"/>
      <c r="P93" s="45"/>
      <c r="Q93" s="505"/>
    </row>
    <row r="94" spans="1:17" ht="15.75" thickBot="1">
      <c r="A94" s="535"/>
      <c r="B94" s="544"/>
      <c r="C94" s="561"/>
      <c r="D94" s="537"/>
      <c r="E94" s="537"/>
      <c r="F94" s="537"/>
      <c r="G94" s="561"/>
      <c r="H94" s="563"/>
      <c r="I94" s="563"/>
      <c r="J94" s="563"/>
      <c r="K94" s="563"/>
      <c r="L94" s="563"/>
      <c r="M94" s="564"/>
      <c r="N94" s="1156"/>
      <c r="O94" s="1156"/>
      <c r="P94" s="45"/>
      <c r="Q94" s="505"/>
    </row>
    <row r="95" spans="1:17" ht="15" thickTop="1">
      <c r="A95" s="600"/>
      <c r="B95" s="637">
        <f>B34</f>
        <v>111</v>
      </c>
      <c r="C95" s="550"/>
      <c r="D95" s="550"/>
      <c r="E95" s="550"/>
      <c r="F95" s="550"/>
      <c r="G95" s="555"/>
      <c r="H95" s="556"/>
      <c r="I95" s="556"/>
      <c r="J95" s="556"/>
      <c r="K95" s="556"/>
      <c r="L95" s="557"/>
      <c r="M95" s="558"/>
      <c r="N95" s="1156"/>
      <c r="O95" s="1156"/>
      <c r="P95" s="638"/>
      <c r="Q95" s="639"/>
    </row>
    <row r="96" spans="1:17" ht="15.75" thickBot="1">
      <c r="A96" s="535"/>
      <c r="B96" s="544"/>
      <c r="C96" s="561"/>
      <c r="D96" s="561"/>
      <c r="E96" s="561"/>
      <c r="F96" s="561"/>
      <c r="G96" s="561"/>
      <c r="H96" s="563"/>
      <c r="I96" s="563"/>
      <c r="J96" s="563"/>
      <c r="K96" s="563"/>
      <c r="L96" s="563"/>
      <c r="M96" s="564"/>
      <c r="N96" s="1156"/>
      <c r="O96" s="1156"/>
      <c r="P96" s="45"/>
      <c r="Q96" s="505"/>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2740</v>
      </c>
      <c r="B1" s="396"/>
      <c r="C1" s="397"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8"/>
    </row>
    <row r="2" spans="1:30" s="399" customFormat="1" ht="28.5" customHeight="1">
      <c r="A2" s="246" t="s">
        <v>2323</v>
      </c>
      <c r="B2" s="672"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8"/>
    </row>
    <row r="3" spans="1:30" s="399" customFormat="1" ht="28.5" customHeight="1" thickBot="1">
      <c r="A3" s="248" t="s">
        <v>2325</v>
      </c>
      <c r="B3" s="610" t="e">
        <f>ROUND(IF(D3="",B2*10000/'数据-汇总表'!E3,B2*10000/D3),0)</f>
        <v>#DIV/0!</v>
      </c>
      <c r="C3" s="248" t="s">
        <v>2742</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2" t="s">
        <v>2641</v>
      </c>
      <c r="B4" s="403"/>
      <c r="C4" s="3157" t="s">
        <v>2642</v>
      </c>
      <c r="D4" s="3158"/>
      <c r="E4" s="3159" t="s">
        <v>2643</v>
      </c>
      <c r="F4" s="3160"/>
      <c r="G4" s="3157" t="s">
        <v>2644</v>
      </c>
      <c r="H4" s="3158"/>
      <c r="I4" s="3157" t="s">
        <v>2645</v>
      </c>
      <c r="J4" s="3158"/>
      <c r="K4" s="611" t="s">
        <v>2646</v>
      </c>
      <c r="L4" s="1133"/>
      <c r="M4" s="1134"/>
      <c r="N4" s="1134"/>
      <c r="O4" s="1134"/>
      <c r="P4" s="3227" t="s">
        <v>2647</v>
      </c>
      <c r="Q4" s="3228"/>
      <c r="R4" s="3219" t="s">
        <v>2643</v>
      </c>
      <c r="S4" s="3220"/>
      <c r="T4" s="3219" t="s">
        <v>2644</v>
      </c>
      <c r="U4" s="3220"/>
      <c r="V4" s="3170" t="s">
        <v>2645</v>
      </c>
      <c r="W4" s="3170"/>
      <c r="X4" s="1817"/>
      <c r="Y4" s="3219" t="s">
        <v>2647</v>
      </c>
      <c r="Z4" s="3220"/>
      <c r="AA4" s="3218" t="s">
        <v>2643</v>
      </c>
      <c r="AB4" s="3141" t="s">
        <v>2644</v>
      </c>
      <c r="AC4" s="3218" t="s">
        <v>2645</v>
      </c>
    </row>
    <row r="5" spans="1:30" ht="15">
      <c r="A5" s="405"/>
      <c r="B5" s="406"/>
      <c r="C5" s="3222" t="s">
        <v>2538</v>
      </c>
      <c r="D5" s="3223"/>
      <c r="E5" s="3221" t="s">
        <v>2539</v>
      </c>
      <c r="F5" s="3150"/>
      <c r="G5" s="3222" t="s">
        <v>2540</v>
      </c>
      <c r="H5" s="3223"/>
      <c r="I5" s="3222" t="s">
        <v>2541</v>
      </c>
      <c r="J5" s="3223"/>
      <c r="K5" s="611"/>
      <c r="L5" s="1133"/>
      <c r="M5" s="1134"/>
      <c r="N5" s="1134"/>
      <c r="O5" s="1134"/>
      <c r="P5" s="3229"/>
      <c r="Q5" s="3164"/>
      <c r="R5" s="3147"/>
      <c r="S5" s="3148"/>
      <c r="T5" s="3147"/>
      <c r="U5" s="3148"/>
      <c r="V5" s="3170"/>
      <c r="W5" s="3170"/>
      <c r="X5" s="1817"/>
      <c r="Y5" s="3147"/>
      <c r="Z5" s="3148"/>
      <c r="AA5" s="3141"/>
      <c r="AB5" s="3141"/>
      <c r="AC5" s="3141"/>
    </row>
    <row r="6" spans="1:30" ht="15.75" thickBot="1">
      <c r="A6" s="407"/>
      <c r="B6" s="408"/>
      <c r="C6" s="3224" t="s">
        <v>2542</v>
      </c>
      <c r="D6" s="3225"/>
      <c r="E6" s="3226" t="s">
        <v>2542</v>
      </c>
      <c r="F6" s="3152"/>
      <c r="G6" s="3224" t="s">
        <v>2542</v>
      </c>
      <c r="H6" s="3225"/>
      <c r="I6" s="3224" t="s">
        <v>2542</v>
      </c>
      <c r="J6" s="3225"/>
      <c r="K6" s="611" t="s">
        <v>2543</v>
      </c>
      <c r="L6" s="1133"/>
      <c r="M6" s="1134"/>
      <c r="N6" s="1134"/>
      <c r="O6" s="1134"/>
      <c r="P6" s="3230"/>
      <c r="Q6" s="3166"/>
      <c r="R6" s="3147"/>
      <c r="S6" s="3148"/>
      <c r="T6" s="3167"/>
      <c r="U6" s="3168"/>
      <c r="V6" s="3170"/>
      <c r="W6" s="3170"/>
      <c r="X6" s="1817"/>
      <c r="Y6" s="3167"/>
      <c r="Z6" s="3168"/>
      <c r="AA6" s="3142"/>
      <c r="AB6" s="3142"/>
      <c r="AC6" s="3142"/>
    </row>
    <row r="7" spans="1:30" s="117" customFormat="1" ht="15.75" thickBot="1">
      <c r="A7" s="409" t="s">
        <v>2544</v>
      </c>
      <c r="B7" s="410"/>
      <c r="C7" s="411">
        <f>'数据-取费表'!B2</f>
        <v>43040</v>
      </c>
      <c r="D7" s="412">
        <v>100</v>
      </c>
      <c r="E7" s="413">
        <v>42309</v>
      </c>
      <c r="F7" s="414">
        <f>SUMIF(70:70,YEAR(E7)&amp;"-"&amp;INT((MONTH(E7)+2)/3),71:71)</f>
        <v>0</v>
      </c>
      <c r="G7" s="2701">
        <v>42309</v>
      </c>
      <c r="H7" s="412">
        <f>SUMIF(70:70,YEAR(G7)&amp;"-"&amp;INT((MONTH(G7)+2)/3),71:71)</f>
        <v>0</v>
      </c>
      <c r="I7" s="2701">
        <v>42036</v>
      </c>
      <c r="J7" s="412">
        <f>SUMIF(70:70,YEAR(I7)&amp;"-"&amp;INT((MONTH(I7)+2)/3),71:71)</f>
        <v>0</v>
      </c>
      <c r="K7" s="612"/>
      <c r="L7" s="1135"/>
      <c r="M7" s="1136"/>
      <c r="N7" s="1136"/>
      <c r="O7" s="1136"/>
      <c r="P7" s="3143" t="s">
        <v>2545</v>
      </c>
      <c r="Q7" s="3172"/>
      <c r="R7" s="770" t="s">
        <v>17</v>
      </c>
      <c r="S7" s="771">
        <f t="shared" ref="S7:S15" si="0">F7</f>
        <v>0</v>
      </c>
      <c r="T7" s="770" t="s">
        <v>17</v>
      </c>
      <c r="U7" s="771">
        <f t="shared" ref="U7:U15" si="1">H7</f>
        <v>0</v>
      </c>
      <c r="V7" s="770" t="s">
        <v>17</v>
      </c>
      <c r="W7" s="771">
        <f t="shared" ref="W7:W15" si="2">J7</f>
        <v>0</v>
      </c>
      <c r="X7" s="772"/>
      <c r="Y7" s="3143" t="s">
        <v>2545</v>
      </c>
      <c r="Z7" s="3144"/>
      <c r="AA7" s="773" t="e">
        <f>D7/F7</f>
        <v>#DIV/0!</v>
      </c>
      <c r="AB7" s="773" t="e">
        <f>D7/H7</f>
        <v>#DIV/0!</v>
      </c>
      <c r="AC7" s="773" t="e">
        <f>D7/J7</f>
        <v>#DIV/0!</v>
      </c>
    </row>
    <row r="8" spans="1:30" s="117" customFormat="1" ht="15.75" thickBot="1">
      <c r="A8" s="409" t="s">
        <v>2546</v>
      </c>
      <c r="B8" s="410"/>
      <c r="C8" s="415" t="s">
        <v>2547</v>
      </c>
      <c r="D8" s="412">
        <v>100</v>
      </c>
      <c r="E8" s="415"/>
      <c r="F8" s="414">
        <f>SUMIF(73:73,E8,74:74)-SUMIF(73:73,C8,74:74)+100</f>
        <v>0</v>
      </c>
      <c r="G8" s="415"/>
      <c r="H8" s="412">
        <f>SUMIF(73:73,G8,74:74)-SUMIF(73:73,C8,74:74)+100</f>
        <v>0</v>
      </c>
      <c r="I8" s="415"/>
      <c r="J8" s="412">
        <f>SUMIF(73:73,I8,74:74)-SUMIF(73:73,C8,74:74)+100</f>
        <v>0</v>
      </c>
      <c r="K8" s="612"/>
      <c r="L8" s="1135"/>
      <c r="M8" s="1136"/>
      <c r="N8" s="1136"/>
      <c r="O8" s="1136"/>
      <c r="P8" s="3143" t="s">
        <v>2548</v>
      </c>
      <c r="Q8" s="3144"/>
      <c r="R8" s="770" t="s">
        <v>17</v>
      </c>
      <c r="S8" s="771">
        <f t="shared" si="0"/>
        <v>0</v>
      </c>
      <c r="T8" s="770" t="s">
        <v>17</v>
      </c>
      <c r="U8" s="771">
        <f t="shared" si="1"/>
        <v>0</v>
      </c>
      <c r="V8" s="770" t="s">
        <v>17</v>
      </c>
      <c r="W8" s="771">
        <f t="shared" si="2"/>
        <v>0</v>
      </c>
      <c r="X8" s="772"/>
      <c r="Y8" s="3143" t="s">
        <v>2548</v>
      </c>
      <c r="Z8" s="3144"/>
      <c r="AA8" s="773" t="e">
        <f t="shared" ref="AA8:AA45" si="3">D8/F8</f>
        <v>#DIV/0!</v>
      </c>
      <c r="AB8" s="773" t="e">
        <f t="shared" ref="AB8:AB45" si="4">D8/H8</f>
        <v>#DIV/0!</v>
      </c>
      <c r="AC8" s="773" t="e">
        <f t="shared" ref="AC8:AC45" si="5">D8/J8</f>
        <v>#DIV/0!</v>
      </c>
    </row>
    <row r="9" spans="1:30" s="117" customFormat="1">
      <c r="A9" s="416" t="s">
        <v>2549</v>
      </c>
      <c r="B9" s="71" t="s">
        <v>2550</v>
      </c>
      <c r="C9" s="2704"/>
      <c r="D9" s="135">
        <v>100</v>
      </c>
      <c r="E9" s="2704"/>
      <c r="F9" s="135">
        <f>SUMIF(75:75,E9,76:76)-SUMIF(75:75,C9,76:76)+100</f>
        <v>100</v>
      </c>
      <c r="G9" s="2704"/>
      <c r="H9" s="135">
        <f>SUMIF(75:75,G9,76:76)-SUMIF(75:75,C9,76:76)+100</f>
        <v>100</v>
      </c>
      <c r="I9" s="2704"/>
      <c r="J9" s="135">
        <f>SUMIF(75:75,I9,76:76)-SUMIF(75:75,C9,76:76)+100</f>
        <v>100</v>
      </c>
      <c r="K9" s="612"/>
      <c r="L9" s="1135"/>
      <c r="M9" s="1136"/>
      <c r="N9" s="1136"/>
      <c r="O9" s="1137"/>
      <c r="P9" s="3182" t="s">
        <v>2551</v>
      </c>
      <c r="Q9" s="1799" t="str">
        <f t="shared" ref="Q9:Q15" si="6">B9</f>
        <v>用途</v>
      </c>
      <c r="R9" s="770" t="s">
        <v>17</v>
      </c>
      <c r="S9" s="771">
        <f t="shared" si="0"/>
        <v>100</v>
      </c>
      <c r="T9" s="770" t="s">
        <v>17</v>
      </c>
      <c r="U9" s="771">
        <f t="shared" si="1"/>
        <v>100</v>
      </c>
      <c r="V9" s="770" t="s">
        <v>17</v>
      </c>
      <c r="W9" s="771">
        <f t="shared" si="2"/>
        <v>100</v>
      </c>
      <c r="X9" s="772"/>
      <c r="Y9" s="3017" t="s">
        <v>2552</v>
      </c>
      <c r="Z9" s="55" t="str">
        <f t="shared" ref="Z9:Z15" si="7">Q9</f>
        <v>用途</v>
      </c>
      <c r="AA9" s="773">
        <f t="shared" si="3"/>
        <v>1</v>
      </c>
      <c r="AB9" s="773">
        <f t="shared" si="4"/>
        <v>1</v>
      </c>
      <c r="AC9" s="773">
        <f t="shared" si="5"/>
        <v>1</v>
      </c>
    </row>
    <row r="10" spans="1:30" s="428" customFormat="1" ht="27">
      <c r="A10" s="422"/>
      <c r="B10" s="423" t="s">
        <v>2553</v>
      </c>
      <c r="C10" s="433"/>
      <c r="D10" s="136">
        <v>100</v>
      </c>
      <c r="E10" s="466"/>
      <c r="F10" s="136">
        <f>ROUND(100/'数据-取费表'!G16,0)</f>
        <v>109</v>
      </c>
      <c r="G10" s="464"/>
      <c r="H10" s="136">
        <f>ROUND(100/'数据-取费表'!G16,0)</f>
        <v>109</v>
      </c>
      <c r="I10" s="464"/>
      <c r="J10" s="136">
        <f>ROUND(100/'数据-取费表'!G16,0)</f>
        <v>109</v>
      </c>
      <c r="K10" s="673"/>
      <c r="L10" s="1138"/>
      <c r="M10" s="1139"/>
      <c r="N10" s="1139"/>
      <c r="O10" s="1140"/>
      <c r="P10" s="3182"/>
      <c r="Q10" s="1799" t="str">
        <f t="shared" si="6"/>
        <v>土地使用年限（年）</v>
      </c>
      <c r="R10" s="770" t="s">
        <v>17</v>
      </c>
      <c r="S10" s="771">
        <f t="shared" si="0"/>
        <v>109</v>
      </c>
      <c r="T10" s="770" t="s">
        <v>17</v>
      </c>
      <c r="U10" s="771">
        <f t="shared" si="1"/>
        <v>109</v>
      </c>
      <c r="V10" s="770" t="s">
        <v>17</v>
      </c>
      <c r="W10" s="771">
        <f t="shared" si="2"/>
        <v>109</v>
      </c>
      <c r="X10" s="772"/>
      <c r="Y10" s="3017"/>
      <c r="Z10" s="55" t="str">
        <f t="shared" si="7"/>
        <v>土地使用年限（年）</v>
      </c>
      <c r="AA10" s="773">
        <f t="shared" si="3"/>
        <v>0.91743119266055051</v>
      </c>
      <c r="AB10" s="773">
        <f t="shared" si="4"/>
        <v>0.91743119266055051</v>
      </c>
      <c r="AC10" s="773">
        <f t="shared" si="5"/>
        <v>0.91743119266055051</v>
      </c>
    </row>
    <row r="11" spans="1:30" ht="15">
      <c r="A11" s="429"/>
      <c r="B11" s="423" t="s">
        <v>2554</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1"/>
      <c r="M11" s="1134"/>
      <c r="N11" s="1134"/>
      <c r="O11" s="1142"/>
      <c r="P11" s="3182"/>
      <c r="Q11" s="1799"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30" s="117" customFormat="1" ht="15">
      <c r="A12" s="432"/>
      <c r="B12" s="2605" t="s">
        <v>2743</v>
      </c>
      <c r="C12" s="433"/>
      <c r="D12" s="434">
        <v>100</v>
      </c>
      <c r="E12" s="466"/>
      <c r="F12" s="136">
        <f>SUMIF(82:82,E12,83:83)-SUMIF(82:82,C12,83:83)+100</f>
        <v>100</v>
      </c>
      <c r="G12" s="464"/>
      <c r="H12" s="136">
        <f>SUMIF(82:82,G12,83:83)-SUMIF(82:82,C12,83:83)+100</f>
        <v>100</v>
      </c>
      <c r="I12" s="466"/>
      <c r="J12" s="136">
        <f>SUMIF(82:82,I12,83:83)-SUMIF(82:82,C12,83:83)+100</f>
        <v>100</v>
      </c>
      <c r="K12" s="673"/>
      <c r="L12" s="1135"/>
      <c r="M12" s="1136"/>
      <c r="N12" s="1136"/>
      <c r="O12" s="1137"/>
      <c r="P12" s="3182"/>
      <c r="Q12" s="1799"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c r="A13" s="429"/>
      <c r="B13" s="2605">
        <v>111</v>
      </c>
      <c r="C13" s="435"/>
      <c r="D13" s="436">
        <v>100</v>
      </c>
      <c r="E13" s="550"/>
      <c r="F13" s="136">
        <f>SUMIF(84:84,E13,85:85)-SUMIF(84:84,C13,85:85)+100</f>
        <v>100</v>
      </c>
      <c r="G13" s="675"/>
      <c r="H13" s="436">
        <f>SUMIF(84:84,G13,85:85)-SUMIF(84:84,C13,85:85)+100</f>
        <v>100</v>
      </c>
      <c r="I13" s="675"/>
      <c r="J13" s="436">
        <f>SUMIF(84:84,I13,85:85)-SUMIF(84:84,C13,85:85)+100</f>
        <v>100</v>
      </c>
      <c r="K13" s="673"/>
      <c r="L13" s="1143"/>
      <c r="M13" s="1134"/>
      <c r="N13" s="1134"/>
      <c r="O13" s="1142"/>
      <c r="P13" s="3182"/>
      <c r="Q13" s="1799">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75" thickBot="1">
      <c r="A14" s="437"/>
      <c r="B14" s="2607">
        <v>111</v>
      </c>
      <c r="C14" s="438"/>
      <c r="D14" s="439">
        <v>100</v>
      </c>
      <c r="E14" s="550"/>
      <c r="F14" s="439">
        <f>SUMIF(86:86,E14,87:87)-SUMIF(86:86,C14,87:87)+100</f>
        <v>100</v>
      </c>
      <c r="G14" s="675"/>
      <c r="H14" s="439">
        <f>SUMIF(86:86,G14,87:87)-SUMIF(86:86,C14,87:87)+100</f>
        <v>100</v>
      </c>
      <c r="I14" s="675"/>
      <c r="J14" s="439">
        <f>SUMIF(86:86,I14,87:87)-SUMIF(86:86,C14,87:87)+100</f>
        <v>100</v>
      </c>
      <c r="K14" s="673"/>
      <c r="L14" s="1143"/>
      <c r="M14" s="1134"/>
      <c r="N14" s="1134"/>
      <c r="O14" s="1142"/>
      <c r="P14" s="3182"/>
      <c r="Q14" s="1799">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15">
      <c r="A15" s="441" t="s">
        <v>2555</v>
      </c>
      <c r="B15" s="69" t="s">
        <v>2084</v>
      </c>
      <c r="C15" s="2608">
        <f>估价对象房地状况!C15</f>
        <v>0</v>
      </c>
      <c r="D15" s="442">
        <v>100</v>
      </c>
      <c r="E15" s="443"/>
      <c r="F15" s="442">
        <f>SUMIF(88:88,E16,89:89)-SUMIF(88:88,C16,89:89)+100</f>
        <v>100</v>
      </c>
      <c r="G15" s="443"/>
      <c r="H15" s="442">
        <f>SUMIF(88:88,G16,89:89)-SUMIF(88:88,C16,89:89)+100</f>
        <v>100</v>
      </c>
      <c r="I15" s="445"/>
      <c r="J15" s="442">
        <f>SUMIF(88:88,I16,89:89)-SUMIF(88:88,C16,89:89)+100</f>
        <v>100</v>
      </c>
      <c r="K15" s="674"/>
      <c r="L15" s="1143"/>
      <c r="M15" s="1134"/>
      <c r="N15" s="1134"/>
      <c r="O15" s="1142"/>
      <c r="P15" s="3175" t="s">
        <v>2556</v>
      </c>
      <c r="Q15" s="1814" t="str">
        <f t="shared" si="6"/>
        <v>居住社区成熟度</v>
      </c>
      <c r="R15" s="774" t="s">
        <v>17</v>
      </c>
      <c r="S15" s="775">
        <f t="shared" si="0"/>
        <v>100</v>
      </c>
      <c r="T15" s="774" t="s">
        <v>17</v>
      </c>
      <c r="U15" s="775">
        <f t="shared" si="1"/>
        <v>100</v>
      </c>
      <c r="V15" s="774" t="s">
        <v>17</v>
      </c>
      <c r="W15" s="775">
        <f t="shared" si="2"/>
        <v>100</v>
      </c>
      <c r="X15" s="1817"/>
      <c r="Y15" s="3175" t="s">
        <v>2556</v>
      </c>
      <c r="Z15" s="1818" t="str">
        <f t="shared" si="7"/>
        <v>居住社区成熟度</v>
      </c>
      <c r="AA15" s="1815">
        <f t="shared" si="3"/>
        <v>1</v>
      </c>
      <c r="AB15" s="1815">
        <f t="shared" si="4"/>
        <v>1</v>
      </c>
      <c r="AC15" s="1815">
        <f t="shared" si="5"/>
        <v>1</v>
      </c>
    </row>
    <row r="16" spans="1:30" ht="15">
      <c r="A16" s="429"/>
      <c r="B16" s="447"/>
      <c r="C16" s="448"/>
      <c r="D16" s="449"/>
      <c r="E16" s="2610"/>
      <c r="F16" s="449"/>
      <c r="G16" s="2610"/>
      <c r="H16" s="451"/>
      <c r="I16" s="2609"/>
      <c r="J16" s="449"/>
      <c r="K16" s="673"/>
      <c r="L16" s="1143"/>
      <c r="M16" s="1134"/>
      <c r="N16" s="1134"/>
      <c r="O16" s="1142"/>
      <c r="P16" s="3176"/>
      <c r="Q16" s="1814"/>
      <c r="R16" s="774"/>
      <c r="S16" s="775"/>
      <c r="T16" s="774"/>
      <c r="U16" s="775"/>
      <c r="V16" s="774"/>
      <c r="W16" s="775"/>
      <c r="X16" s="1817"/>
      <c r="Y16" s="3176"/>
      <c r="Z16" s="1818"/>
      <c r="AA16" s="1815">
        <v>1</v>
      </c>
      <c r="AB16" s="1815">
        <v>1</v>
      </c>
      <c r="AC16" s="1815">
        <v>1</v>
      </c>
    </row>
    <row r="17" spans="1:29" ht="15">
      <c r="A17" s="429"/>
      <c r="B17" s="452" t="s">
        <v>2649</v>
      </c>
      <c r="C17" s="2669">
        <f>估价对象房地状况!C16</f>
        <v>0</v>
      </c>
      <c r="D17" s="451">
        <v>100</v>
      </c>
      <c r="E17" s="453"/>
      <c r="F17" s="451">
        <f>SUMIF(90:90,E18,91:91)-SUMIF(90:90,C18,91:91)+100</f>
        <v>100</v>
      </c>
      <c r="G17" s="453"/>
      <c r="H17" s="456">
        <f>SUMIF(90:90,G18,91:91)-SUMIF(90:90,C18,91:91)+100</f>
        <v>100</v>
      </c>
      <c r="I17" s="455"/>
      <c r="J17" s="456">
        <f>SUMIF(90:90,I18,91:91)-SUMIF(90:90,C18,91:91)+100</f>
        <v>100</v>
      </c>
      <c r="K17" s="674"/>
      <c r="L17" s="1143"/>
      <c r="M17" s="1134"/>
      <c r="N17" s="1134"/>
      <c r="O17" s="1142"/>
      <c r="P17" s="3176"/>
      <c r="Q17" s="1814" t="str">
        <f>B17</f>
        <v>商业繁华度</v>
      </c>
      <c r="R17" s="774" t="s">
        <v>17</v>
      </c>
      <c r="S17" s="775">
        <f>F17</f>
        <v>100</v>
      </c>
      <c r="T17" s="774" t="s">
        <v>17</v>
      </c>
      <c r="U17" s="775">
        <f>H17</f>
        <v>100</v>
      </c>
      <c r="V17" s="774" t="s">
        <v>17</v>
      </c>
      <c r="W17" s="775">
        <f>J17</f>
        <v>100</v>
      </c>
      <c r="X17" s="1817"/>
      <c r="Y17" s="3176"/>
      <c r="Z17" s="1818" t="str">
        <f>Q17</f>
        <v>商业繁华度</v>
      </c>
      <c r="AA17" s="1815">
        <f t="shared" si="3"/>
        <v>1</v>
      </c>
      <c r="AB17" s="1815">
        <f t="shared" si="4"/>
        <v>1</v>
      </c>
      <c r="AC17" s="1815">
        <f t="shared" si="5"/>
        <v>1</v>
      </c>
    </row>
    <row r="18" spans="1:29" ht="15">
      <c r="A18" s="429"/>
      <c r="B18" s="457"/>
      <c r="C18" s="2613"/>
      <c r="D18" s="451"/>
      <c r="E18" s="2615"/>
      <c r="F18" s="451"/>
      <c r="G18" s="2615"/>
      <c r="H18" s="449"/>
      <c r="I18" s="2614"/>
      <c r="J18" s="449"/>
      <c r="K18" s="673"/>
      <c r="L18" s="1143"/>
      <c r="M18" s="1134"/>
      <c r="N18" s="1134"/>
      <c r="O18" s="1142"/>
      <c r="P18" s="3176"/>
      <c r="Q18" s="1814"/>
      <c r="R18" s="774"/>
      <c r="S18" s="775"/>
      <c r="T18" s="774"/>
      <c r="U18" s="775"/>
      <c r="V18" s="774"/>
      <c r="W18" s="775"/>
      <c r="X18" s="1817"/>
      <c r="Y18" s="3176"/>
      <c r="Z18" s="1818"/>
      <c r="AA18" s="1815">
        <v>1</v>
      </c>
      <c r="AB18" s="1815">
        <v>1</v>
      </c>
      <c r="AC18" s="1815">
        <v>1</v>
      </c>
    </row>
    <row r="19" spans="1:29" ht="85.5">
      <c r="A19" s="429"/>
      <c r="B19" s="452" t="s">
        <v>2683</v>
      </c>
      <c r="C19" s="2669" t="str">
        <f>估价对象房地状况!C17</f>
        <v>估价对象位于海淀区温泉镇，周边办公楼项目较少，入驻率一般，办公集聚程度一般。</v>
      </c>
      <c r="D19" s="456">
        <v>100</v>
      </c>
      <c r="E19" s="458"/>
      <c r="F19" s="456">
        <f>SUMIF(92:92,E20,93:93)-SUMIF(92:92,C20,93:93)+100</f>
        <v>100</v>
      </c>
      <c r="G19" s="458"/>
      <c r="H19" s="451">
        <f>SUMIF(92:92,G20,93:93)-SUMIF(92:92,C20,93:93)+100</f>
        <v>100</v>
      </c>
      <c r="I19" s="460"/>
      <c r="J19" s="451">
        <f>SUMIF(92:92,I20,93:93)-SUMIF(92:92,C20,93:93)+100</f>
        <v>100</v>
      </c>
      <c r="K19" s="674"/>
      <c r="L19" s="1143"/>
      <c r="M19" s="1134"/>
      <c r="N19" s="1134"/>
      <c r="O19" s="1142"/>
      <c r="P19" s="3176"/>
      <c r="Q19" s="1814" t="str">
        <f>B19</f>
        <v>办公集聚程度</v>
      </c>
      <c r="R19" s="774" t="s">
        <v>17</v>
      </c>
      <c r="S19" s="775">
        <f>F19</f>
        <v>100</v>
      </c>
      <c r="T19" s="774" t="s">
        <v>17</v>
      </c>
      <c r="U19" s="775">
        <f>H19</f>
        <v>100</v>
      </c>
      <c r="V19" s="774" t="s">
        <v>17</v>
      </c>
      <c r="W19" s="775">
        <f>J19</f>
        <v>100</v>
      </c>
      <c r="X19" s="1817"/>
      <c r="Y19" s="3176"/>
      <c r="Z19" s="1818" t="str">
        <f>Q19</f>
        <v>办公集聚程度</v>
      </c>
      <c r="AA19" s="1815">
        <f t="shared" si="3"/>
        <v>1</v>
      </c>
      <c r="AB19" s="1815">
        <f t="shared" si="4"/>
        <v>1</v>
      </c>
      <c r="AC19" s="1815">
        <f t="shared" si="5"/>
        <v>1</v>
      </c>
    </row>
    <row r="20" spans="1:29" ht="15">
      <c r="A20" s="429"/>
      <c r="B20" s="457"/>
      <c r="C20" s="448"/>
      <c r="D20" s="449"/>
      <c r="E20" s="2610"/>
      <c r="F20" s="449"/>
      <c r="G20" s="2610"/>
      <c r="H20" s="449"/>
      <c r="I20" s="2609"/>
      <c r="J20" s="449"/>
      <c r="K20" s="673"/>
      <c r="L20" s="1143"/>
      <c r="M20" s="1134"/>
      <c r="N20" s="1134"/>
      <c r="O20" s="1142"/>
      <c r="P20" s="3176"/>
      <c r="Q20" s="1814"/>
      <c r="R20" s="774"/>
      <c r="S20" s="775"/>
      <c r="T20" s="774"/>
      <c r="U20" s="775"/>
      <c r="V20" s="774"/>
      <c r="W20" s="775"/>
      <c r="X20" s="1817"/>
      <c r="Y20" s="3176"/>
      <c r="Z20" s="1818"/>
      <c r="AA20" s="1815">
        <v>1</v>
      </c>
      <c r="AB20" s="1815">
        <v>1</v>
      </c>
      <c r="AC20" s="1815">
        <v>1</v>
      </c>
    </row>
    <row r="21" spans="1:29" ht="156.75">
      <c r="A21" s="429"/>
      <c r="B21" s="452" t="s">
        <v>2705</v>
      </c>
      <c r="C21" s="2612" t="str">
        <f>估价对象房地状况!C18</f>
        <v>估价对象紧邻白家疃路，周边路网密集程度一般，行车出入便捷度一般。周边2公里范围内有522路、651路等公交，公共交通便捷度一般。综合评价交通便捷度一般。</v>
      </c>
      <c r="D21" s="451">
        <v>100</v>
      </c>
      <c r="E21" s="453"/>
      <c r="F21" s="456">
        <f>SUMIF(94:94,E22,95:95)-SUMIF(94:94,C22,95:95)+100</f>
        <v>100</v>
      </c>
      <c r="G21" s="453"/>
      <c r="H21" s="451">
        <f>SUMIF(94:94,G22,95:95)-SUMIF(94:94,C22,95:95)+100</f>
        <v>100</v>
      </c>
      <c r="I21" s="455"/>
      <c r="J21" s="451">
        <f>SUMIF(94:94,I22,95:95)-SUMIF(94:94,C22,95:95)+100</f>
        <v>100</v>
      </c>
      <c r="K21" s="674"/>
      <c r="L21" s="1143"/>
      <c r="M21" s="1134"/>
      <c r="N21" s="1134"/>
      <c r="O21" s="1142"/>
      <c r="P21" s="3176"/>
      <c r="Q21" s="1814" t="str">
        <f>B21</f>
        <v>交通便捷度</v>
      </c>
      <c r="R21" s="774" t="s">
        <v>17</v>
      </c>
      <c r="S21" s="775">
        <f>F21</f>
        <v>100</v>
      </c>
      <c r="T21" s="774" t="s">
        <v>17</v>
      </c>
      <c r="U21" s="775">
        <f>H21</f>
        <v>100</v>
      </c>
      <c r="V21" s="774" t="s">
        <v>17</v>
      </c>
      <c r="W21" s="775">
        <f>J21</f>
        <v>100</v>
      </c>
      <c r="X21" s="1817"/>
      <c r="Y21" s="3176"/>
      <c r="Z21" s="1818" t="str">
        <f>Q21</f>
        <v>交通便捷度</v>
      </c>
      <c r="AA21" s="1815">
        <f t="shared" si="3"/>
        <v>1</v>
      </c>
      <c r="AB21" s="1815">
        <f t="shared" si="4"/>
        <v>1</v>
      </c>
      <c r="AC21" s="1815">
        <f t="shared" si="5"/>
        <v>1</v>
      </c>
    </row>
    <row r="22" spans="1:29" ht="15">
      <c r="A22" s="429"/>
      <c r="B22" s="1387"/>
      <c r="C22" s="448"/>
      <c r="D22" s="451"/>
      <c r="E22" s="2610"/>
      <c r="F22" s="449"/>
      <c r="G22" s="2610"/>
      <c r="H22" s="449"/>
      <c r="I22" s="2609"/>
      <c r="J22" s="449"/>
      <c r="K22" s="673"/>
      <c r="L22" s="1143"/>
      <c r="M22" s="1134"/>
      <c r="N22" s="1134"/>
      <c r="O22" s="1142"/>
      <c r="P22" s="3176"/>
      <c r="Q22" s="1814"/>
      <c r="R22" s="774"/>
      <c r="S22" s="775"/>
      <c r="T22" s="774"/>
      <c r="U22" s="775"/>
      <c r="V22" s="774"/>
      <c r="W22" s="775"/>
      <c r="X22" s="1817"/>
      <c r="Y22" s="3176"/>
      <c r="Z22" s="1818"/>
      <c r="AA22" s="1815">
        <v>1</v>
      </c>
      <c r="AB22" s="1815">
        <v>1</v>
      </c>
      <c r="AC22" s="1815">
        <v>1</v>
      </c>
    </row>
    <row r="23" spans="1:29" ht="15">
      <c r="A23" s="405"/>
      <c r="B23" s="452" t="s">
        <v>2744</v>
      </c>
      <c r="C23" s="1392">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3"/>
      <c r="M23" s="1134"/>
      <c r="N23" s="1134"/>
      <c r="O23" s="1142"/>
      <c r="P23" s="3176"/>
      <c r="Q23" s="1814" t="str">
        <f t="shared" ref="Q23:Q37" si="8">B23</f>
        <v>区域土地利用方向</v>
      </c>
      <c r="R23" s="774" t="s">
        <v>17</v>
      </c>
      <c r="S23" s="775">
        <f>F23</f>
        <v>100</v>
      </c>
      <c r="T23" s="774" t="s">
        <v>17</v>
      </c>
      <c r="U23" s="775">
        <f>H23</f>
        <v>100</v>
      </c>
      <c r="V23" s="774" t="s">
        <v>17</v>
      </c>
      <c r="W23" s="775">
        <f>J23</f>
        <v>100</v>
      </c>
      <c r="X23" s="1817"/>
      <c r="Y23" s="3176"/>
      <c r="Z23" s="1818" t="str">
        <f>Q23</f>
        <v>区域土地利用方向</v>
      </c>
      <c r="AA23" s="1815">
        <f t="shared" si="3"/>
        <v>1</v>
      </c>
      <c r="AB23" s="1815">
        <f t="shared" si="4"/>
        <v>1</v>
      </c>
      <c r="AC23" s="1815">
        <f t="shared" si="5"/>
        <v>1</v>
      </c>
    </row>
    <row r="24" spans="1:29" ht="15">
      <c r="A24" s="405"/>
      <c r="B24" s="457"/>
      <c r="C24" s="617"/>
      <c r="D24" s="449"/>
      <c r="E24" s="2610"/>
      <c r="F24" s="449"/>
      <c r="G24" s="2609"/>
      <c r="H24" s="449"/>
      <c r="I24" s="2609"/>
      <c r="J24" s="449"/>
      <c r="K24" s="812"/>
      <c r="L24" s="1143"/>
      <c r="M24" s="1134"/>
      <c r="N24" s="1134"/>
      <c r="O24" s="1142"/>
      <c r="P24" s="3176"/>
      <c r="Q24" s="1814"/>
      <c r="R24" s="774"/>
      <c r="S24" s="775"/>
      <c r="T24" s="774"/>
      <c r="U24" s="775"/>
      <c r="V24" s="774"/>
      <c r="W24" s="775"/>
      <c r="X24" s="1817"/>
      <c r="Y24" s="3176"/>
      <c r="Z24" s="1818"/>
      <c r="AA24" s="1815"/>
      <c r="AB24" s="1815"/>
      <c r="AC24" s="1815"/>
    </row>
    <row r="25" spans="1:29" ht="142.5">
      <c r="A25" s="405"/>
      <c r="B25" s="1387" t="s">
        <v>2745</v>
      </c>
      <c r="C25" s="2669" t="str">
        <f>估价对象房地状况!C20</f>
        <v>估价对象周边约2公里范围有温泉公园，自然环境一般；周边约2公里范围内有北京行政学院等人文设施，人文环境一般；综合评价环境状况一般。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3"/>
      <c r="M25" s="1134"/>
      <c r="N25" s="1134"/>
      <c r="O25" s="1142"/>
      <c r="P25" s="3176"/>
      <c r="Q25" s="1814" t="str">
        <f t="shared" si="8"/>
        <v>自然及人文环境状况</v>
      </c>
      <c r="R25" s="774" t="s">
        <v>17</v>
      </c>
      <c r="S25" s="775">
        <f>F25</f>
        <v>100</v>
      </c>
      <c r="T25" s="774" t="s">
        <v>17</v>
      </c>
      <c r="U25" s="775">
        <f>H25</f>
        <v>100</v>
      </c>
      <c r="V25" s="774" t="s">
        <v>17</v>
      </c>
      <c r="W25" s="775">
        <f>J25</f>
        <v>100</v>
      </c>
      <c r="X25" s="1817"/>
      <c r="Y25" s="3176"/>
      <c r="Z25" s="1818" t="str">
        <f>Q25</f>
        <v>自然及人文环境状况</v>
      </c>
      <c r="AA25" s="1815">
        <f t="shared" si="3"/>
        <v>1</v>
      </c>
      <c r="AB25" s="1815">
        <f t="shared" si="4"/>
        <v>1</v>
      </c>
      <c r="AC25" s="1815">
        <f t="shared" si="5"/>
        <v>1</v>
      </c>
    </row>
    <row r="26" spans="1:29" ht="15">
      <c r="A26" s="405"/>
      <c r="B26" s="457"/>
      <c r="C26" s="448"/>
      <c r="D26" s="449"/>
      <c r="E26" s="2616"/>
      <c r="F26" s="449"/>
      <c r="G26" s="2616"/>
      <c r="H26" s="449"/>
      <c r="I26" s="448"/>
      <c r="J26" s="449"/>
      <c r="K26" s="673"/>
      <c r="L26" s="1143"/>
      <c r="M26" s="1134"/>
      <c r="N26" s="1134"/>
      <c r="O26" s="1142"/>
      <c r="P26" s="3176"/>
      <c r="Q26" s="1814"/>
      <c r="R26" s="774"/>
      <c r="S26" s="775"/>
      <c r="T26" s="774"/>
      <c r="U26" s="775"/>
      <c r="V26" s="774"/>
      <c r="W26" s="775"/>
      <c r="X26" s="1817"/>
      <c r="Y26" s="3176"/>
      <c r="Z26" s="1818"/>
      <c r="AA26" s="1815">
        <v>1</v>
      </c>
      <c r="AB26" s="1815">
        <v>1</v>
      </c>
      <c r="AC26" s="1815">
        <v>1</v>
      </c>
    </row>
    <row r="27" spans="1:29" s="117" customFormat="1" ht="185.25">
      <c r="A27" s="650"/>
      <c r="B27" s="1387" t="s">
        <v>2650</v>
      </c>
      <c r="C27" s="2612" t="str">
        <f>估价对象房地状况!C21</f>
        <v>周边2公里内的公共服务配套设施较为齐备，有购物场所（华联超市）、医院（北京中医药大学附属医院）、银行（民生银行）、学校（翠微小学）、餐饮（嘉和一品）等公共服务配套设施。</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5"/>
      <c r="M27" s="1136"/>
      <c r="N27" s="1136"/>
      <c r="O27" s="1137"/>
      <c r="P27" s="3176"/>
      <c r="Q27" s="1799" t="str">
        <f t="shared" si="8"/>
        <v>公共配套设施</v>
      </c>
      <c r="R27" s="770" t="s">
        <v>17</v>
      </c>
      <c r="S27" s="771">
        <f>F27</f>
        <v>100</v>
      </c>
      <c r="T27" s="770" t="s">
        <v>17</v>
      </c>
      <c r="U27" s="771">
        <f>H27</f>
        <v>100</v>
      </c>
      <c r="V27" s="770" t="s">
        <v>17</v>
      </c>
      <c r="W27" s="771">
        <f>J27</f>
        <v>100</v>
      </c>
      <c r="X27" s="772"/>
      <c r="Y27" s="3176"/>
      <c r="Z27" s="55" t="str">
        <f>Q27</f>
        <v>公共配套设施</v>
      </c>
      <c r="AA27" s="1815">
        <f>D27/F27</f>
        <v>1</v>
      </c>
      <c r="AB27" s="1815">
        <f>D27/H27</f>
        <v>1</v>
      </c>
      <c r="AC27" s="1815">
        <f>D27/J27</f>
        <v>1</v>
      </c>
    </row>
    <row r="28" spans="1:29" s="117" customFormat="1" ht="15">
      <c r="A28" s="650"/>
      <c r="B28" s="457"/>
      <c r="C28" s="2705"/>
      <c r="D28" s="449"/>
      <c r="E28" s="2616"/>
      <c r="F28" s="449"/>
      <c r="G28" s="2616"/>
      <c r="H28" s="449"/>
      <c r="I28" s="448"/>
      <c r="J28" s="449"/>
      <c r="K28" s="673"/>
      <c r="L28" s="1135"/>
      <c r="M28" s="1136"/>
      <c r="N28" s="1136"/>
      <c r="O28" s="1137"/>
      <c r="P28" s="3176"/>
      <c r="Q28" s="1799"/>
      <c r="R28" s="770"/>
      <c r="S28" s="771"/>
      <c r="T28" s="770"/>
      <c r="U28" s="771"/>
      <c r="V28" s="770"/>
      <c r="W28" s="771"/>
      <c r="X28" s="772"/>
      <c r="Y28" s="3176"/>
      <c r="Z28" s="55"/>
      <c r="AA28" s="1815">
        <v>1</v>
      </c>
      <c r="AB28" s="1815">
        <v>1</v>
      </c>
      <c r="AC28" s="1815">
        <v>1</v>
      </c>
    </row>
    <row r="29" spans="1:29" s="117" customFormat="1" ht="15">
      <c r="A29" s="650"/>
      <c r="B29" s="1387" t="s">
        <v>2651</v>
      </c>
      <c r="C29" s="2612" t="str">
        <f>估价对象房地状况!C22</f>
        <v>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5"/>
      <c r="M29" s="1136"/>
      <c r="N29" s="1136"/>
      <c r="O29" s="1137"/>
      <c r="P29" s="3176"/>
      <c r="Q29" s="1799" t="str">
        <f t="shared" ref="Q29" si="9">B29</f>
        <v>基础设施水平</v>
      </c>
      <c r="R29" s="770" t="s">
        <v>17</v>
      </c>
      <c r="S29" s="771">
        <f>F29</f>
        <v>100</v>
      </c>
      <c r="T29" s="770" t="s">
        <v>17</v>
      </c>
      <c r="U29" s="771">
        <f>H29</f>
        <v>100</v>
      </c>
      <c r="V29" s="770" t="s">
        <v>17</v>
      </c>
      <c r="W29" s="771">
        <f>J29</f>
        <v>100</v>
      </c>
      <c r="X29" s="772"/>
      <c r="Y29" s="3176"/>
      <c r="Z29" s="55" t="str">
        <f>Q29</f>
        <v>基础设施水平</v>
      </c>
      <c r="AA29" s="1815">
        <f>D29/F29</f>
        <v>1</v>
      </c>
      <c r="AB29" s="1815">
        <f>D29/H29</f>
        <v>1</v>
      </c>
      <c r="AC29" s="1815">
        <f>D29/J29</f>
        <v>1</v>
      </c>
    </row>
    <row r="30" spans="1:29" s="117" customFormat="1" ht="15">
      <c r="A30" s="650"/>
      <c r="B30" s="457"/>
      <c r="C30" s="2705"/>
      <c r="D30" s="449"/>
      <c r="E30" s="2706"/>
      <c r="F30" s="449"/>
      <c r="G30" s="2706"/>
      <c r="H30" s="449"/>
      <c r="I30" s="2706"/>
      <c r="J30" s="449"/>
      <c r="K30" s="673"/>
      <c r="L30" s="1135"/>
      <c r="M30" s="1136"/>
      <c r="N30" s="1136"/>
      <c r="O30" s="1137"/>
      <c r="P30" s="3176"/>
      <c r="Q30" s="1799"/>
      <c r="R30" s="770"/>
      <c r="S30" s="771"/>
      <c r="T30" s="770"/>
      <c r="U30" s="771"/>
      <c r="V30" s="770"/>
      <c r="W30" s="771"/>
      <c r="X30" s="772"/>
      <c r="Y30" s="3176"/>
      <c r="Z30" s="55"/>
      <c r="AA30" s="1815">
        <v>1</v>
      </c>
      <c r="AB30" s="1815">
        <v>1</v>
      </c>
      <c r="AC30" s="1815">
        <v>1</v>
      </c>
    </row>
    <row r="31" spans="1:29" ht="15">
      <c r="A31" s="429"/>
      <c r="B31" s="457" t="s">
        <v>2652</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3"/>
      <c r="M31" s="1134"/>
      <c r="N31" s="1134"/>
      <c r="O31" s="1142"/>
      <c r="P31" s="3176"/>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76"/>
      <c r="Z31" s="1818" t="str">
        <f t="shared" ref="Z31:Z45" si="13">Q31</f>
        <v>临街状况</v>
      </c>
      <c r="AA31" s="1815">
        <f t="shared" si="3"/>
        <v>1</v>
      </c>
      <c r="AB31" s="1815">
        <f t="shared" si="4"/>
        <v>1</v>
      </c>
      <c r="AC31" s="1815">
        <f t="shared" si="5"/>
        <v>1</v>
      </c>
    </row>
    <row r="32" spans="1:29" ht="27">
      <c r="A32" s="429"/>
      <c r="B32" s="1387" t="s">
        <v>2687</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3"/>
      <c r="M32" s="1134"/>
      <c r="N32" s="1134"/>
      <c r="O32" s="1142"/>
      <c r="P32" s="3176"/>
      <c r="Q32" s="1814" t="str">
        <f t="shared" si="8"/>
        <v>毗邻道路的类型与等级</v>
      </c>
      <c r="R32" s="774" t="s">
        <v>17</v>
      </c>
      <c r="S32" s="775">
        <f t="shared" si="10"/>
        <v>100</v>
      </c>
      <c r="T32" s="774" t="s">
        <v>17</v>
      </c>
      <c r="U32" s="775">
        <f t="shared" si="11"/>
        <v>100</v>
      </c>
      <c r="V32" s="774" t="s">
        <v>17</v>
      </c>
      <c r="W32" s="775">
        <f t="shared" si="12"/>
        <v>100</v>
      </c>
      <c r="X32" s="1817"/>
      <c r="Y32" s="3176"/>
      <c r="Z32" s="1818" t="str">
        <f t="shared" si="13"/>
        <v>毗邻道路的类型与等级</v>
      </c>
      <c r="AA32" s="1815">
        <f t="shared" si="3"/>
        <v>1</v>
      </c>
      <c r="AB32" s="1815">
        <f t="shared" si="4"/>
        <v>1</v>
      </c>
      <c r="AC32" s="1815">
        <f t="shared" si="5"/>
        <v>1</v>
      </c>
    </row>
    <row r="33" spans="1:29" ht="15">
      <c r="A33" s="429"/>
      <c r="B33" s="457"/>
      <c r="C33" s="448"/>
      <c r="D33" s="449"/>
      <c r="E33" s="2616"/>
      <c r="F33" s="449"/>
      <c r="G33" s="2616"/>
      <c r="H33" s="449"/>
      <c r="I33" s="448"/>
      <c r="J33" s="449"/>
      <c r="K33" s="614"/>
      <c r="L33" s="1143"/>
      <c r="M33" s="1134"/>
      <c r="N33" s="1134"/>
      <c r="O33" s="1142"/>
      <c r="P33" s="3176"/>
      <c r="Q33" s="1814"/>
      <c r="R33" s="774"/>
      <c r="S33" s="775"/>
      <c r="T33" s="774"/>
      <c r="U33" s="775"/>
      <c r="V33" s="774"/>
      <c r="W33" s="775"/>
      <c r="X33" s="1817"/>
      <c r="Y33" s="3176"/>
      <c r="Z33" s="1818"/>
      <c r="AA33" s="1815">
        <v>1</v>
      </c>
      <c r="AB33" s="1815">
        <v>1</v>
      </c>
      <c r="AC33" s="1815">
        <v>1</v>
      </c>
    </row>
    <row r="34" spans="1:29" ht="15">
      <c r="A34" s="429"/>
      <c r="B34" s="423" t="s">
        <v>2746</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3"/>
      <c r="M34" s="1134"/>
      <c r="N34" s="1134"/>
      <c r="O34" s="1142"/>
      <c r="P34" s="3176"/>
      <c r="Q34" s="1814" t="str">
        <f t="shared" si="8"/>
        <v>土地级别</v>
      </c>
      <c r="R34" s="774" t="s">
        <v>17</v>
      </c>
      <c r="S34" s="775">
        <f t="shared" si="10"/>
        <v>100</v>
      </c>
      <c r="T34" s="774" t="s">
        <v>17</v>
      </c>
      <c r="U34" s="775">
        <f t="shared" si="11"/>
        <v>100</v>
      </c>
      <c r="V34" s="774" t="s">
        <v>17</v>
      </c>
      <c r="W34" s="775">
        <f t="shared" si="12"/>
        <v>100</v>
      </c>
      <c r="X34" s="1817"/>
      <c r="Y34" s="3176"/>
      <c r="Z34" s="1818" t="str">
        <f t="shared" si="13"/>
        <v>土地级别</v>
      </c>
      <c r="AA34" s="1815">
        <f t="shared" si="3"/>
        <v>1</v>
      </c>
      <c r="AB34" s="1815">
        <f t="shared" si="4"/>
        <v>1</v>
      </c>
      <c r="AC34" s="1815">
        <f t="shared" si="5"/>
        <v>1</v>
      </c>
    </row>
    <row r="35" spans="1:29" ht="15">
      <c r="A35" s="405"/>
      <c r="B35" s="1389">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3"/>
      <c r="M35" s="1134"/>
      <c r="N35" s="1134"/>
      <c r="O35" s="1142"/>
      <c r="P35" s="3176"/>
      <c r="Q35" s="1814">
        <f t="shared" si="8"/>
        <v>111</v>
      </c>
      <c r="R35" s="774" t="s">
        <v>17</v>
      </c>
      <c r="S35" s="775">
        <f t="shared" si="10"/>
        <v>100</v>
      </c>
      <c r="T35" s="774" t="s">
        <v>17</v>
      </c>
      <c r="U35" s="775">
        <f t="shared" si="11"/>
        <v>100</v>
      </c>
      <c r="V35" s="774" t="s">
        <v>17</v>
      </c>
      <c r="W35" s="775">
        <f t="shared" si="12"/>
        <v>100</v>
      </c>
      <c r="X35" s="1817"/>
      <c r="Y35" s="3176"/>
      <c r="Z35" s="1818">
        <f t="shared" si="13"/>
        <v>111</v>
      </c>
      <c r="AA35" s="1815">
        <f t="shared" si="3"/>
        <v>1</v>
      </c>
      <c r="AB35" s="1815">
        <f t="shared" si="4"/>
        <v>1</v>
      </c>
      <c r="AC35" s="1815">
        <f t="shared" si="5"/>
        <v>1</v>
      </c>
    </row>
    <row r="36" spans="1:29" ht="15">
      <c r="A36" s="676"/>
      <c r="B36" s="1390">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3"/>
      <c r="M36" s="1134"/>
      <c r="N36" s="1134"/>
      <c r="O36" s="1142"/>
      <c r="P36" s="3234" t="s">
        <v>2561</v>
      </c>
      <c r="Q36" s="1814">
        <f t="shared" si="8"/>
        <v>111</v>
      </c>
      <c r="R36" s="774" t="s">
        <v>17</v>
      </c>
      <c r="S36" s="775">
        <f t="shared" si="10"/>
        <v>100</v>
      </c>
      <c r="T36" s="774" t="s">
        <v>17</v>
      </c>
      <c r="U36" s="775">
        <f t="shared" si="11"/>
        <v>100</v>
      </c>
      <c r="V36" s="774" t="s">
        <v>17</v>
      </c>
      <c r="W36" s="775">
        <f t="shared" si="12"/>
        <v>100</v>
      </c>
      <c r="X36" s="1817"/>
      <c r="Y36" s="3180" t="s">
        <v>2561</v>
      </c>
      <c r="Z36" s="1818">
        <f t="shared" si="13"/>
        <v>111</v>
      </c>
      <c r="AA36" s="1815">
        <f t="shared" si="3"/>
        <v>1</v>
      </c>
      <c r="AB36" s="1815">
        <f t="shared" si="4"/>
        <v>1</v>
      </c>
      <c r="AC36" s="1815">
        <f t="shared" si="5"/>
        <v>1</v>
      </c>
    </row>
    <row r="37" spans="1:29" s="472" customFormat="1" ht="15.75" thickBot="1">
      <c r="A37" s="677"/>
      <c r="B37" s="1391">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1"/>
      <c r="M37" s="1144"/>
      <c r="N37" s="1144"/>
      <c r="O37" s="1145"/>
      <c r="P37" s="3180"/>
      <c r="Q37" s="1814">
        <f t="shared" si="8"/>
        <v>111</v>
      </c>
      <c r="R37" s="777" t="s">
        <v>17</v>
      </c>
      <c r="S37" s="778">
        <f t="shared" si="10"/>
        <v>100</v>
      </c>
      <c r="T37" s="777" t="s">
        <v>17</v>
      </c>
      <c r="U37" s="778">
        <f t="shared" si="11"/>
        <v>100</v>
      </c>
      <c r="V37" s="777" t="s">
        <v>17</v>
      </c>
      <c r="W37" s="778">
        <f t="shared" si="12"/>
        <v>100</v>
      </c>
      <c r="X37" s="779"/>
      <c r="Y37" s="3180"/>
      <c r="Z37" s="780">
        <f t="shared" si="13"/>
        <v>111</v>
      </c>
      <c r="AA37" s="1815">
        <f t="shared" si="3"/>
        <v>1</v>
      </c>
      <c r="AB37" s="1815">
        <f t="shared" si="4"/>
        <v>1</v>
      </c>
      <c r="AC37" s="1815">
        <f t="shared" si="5"/>
        <v>1</v>
      </c>
    </row>
    <row r="38" spans="1:29" ht="15">
      <c r="A38" s="473" t="s">
        <v>2559</v>
      </c>
      <c r="B38" s="457" t="s">
        <v>2747</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3"/>
      <c r="M38" s="1134"/>
      <c r="N38" s="1134"/>
      <c r="O38" s="1142"/>
      <c r="P38" s="3180"/>
      <c r="Q38" s="1814" t="str">
        <f>B38</f>
        <v>宗地面积</v>
      </c>
      <c r="R38" s="774" t="s">
        <v>17</v>
      </c>
      <c r="S38" s="775" t="e">
        <f t="shared" si="10"/>
        <v>#N/A</v>
      </c>
      <c r="T38" s="774" t="s">
        <v>17</v>
      </c>
      <c r="U38" s="775" t="e">
        <f t="shared" si="11"/>
        <v>#N/A</v>
      </c>
      <c r="V38" s="774" t="s">
        <v>17</v>
      </c>
      <c r="W38" s="775" t="e">
        <f t="shared" si="12"/>
        <v>#N/A</v>
      </c>
      <c r="X38" s="1817"/>
      <c r="Y38" s="3180"/>
      <c r="Z38" s="1818" t="str">
        <f t="shared" si="13"/>
        <v>宗地面积</v>
      </c>
      <c r="AA38" s="1815" t="e">
        <f t="shared" si="3"/>
        <v>#N/A</v>
      </c>
      <c r="AB38" s="1815" t="e">
        <f t="shared" si="4"/>
        <v>#N/A</v>
      </c>
      <c r="AC38" s="1815" t="e">
        <f t="shared" si="5"/>
        <v>#N/A</v>
      </c>
    </row>
    <row r="39" spans="1:29" ht="15">
      <c r="A39" s="473"/>
      <c r="B39" s="423" t="s">
        <v>2748</v>
      </c>
      <c r="C39" s="2618"/>
      <c r="D39" s="436">
        <v>100</v>
      </c>
      <c r="E39" s="2618"/>
      <c r="F39" s="436">
        <f>SUMIF(119:119,E39,120:120)-SUMIF(119:119,C39,120:120)+100</f>
        <v>100</v>
      </c>
      <c r="G39" s="2618"/>
      <c r="H39" s="436">
        <f>SUMIF(119:119,G39,120:120)-SUMIF(119:119,C39,120:120)+100</f>
        <v>100</v>
      </c>
      <c r="I39" s="2618"/>
      <c r="J39" s="436">
        <f>SUMIF(119:119,I39,120:120)-SUMIF(119:119,C39,120:120)+100</f>
        <v>100</v>
      </c>
      <c r="K39" s="613"/>
      <c r="L39" s="1143"/>
      <c r="M39" s="1134"/>
      <c r="N39" s="1134"/>
      <c r="O39" s="1142"/>
      <c r="P39" s="3180"/>
      <c r="Q39" s="1814" t="str">
        <f t="shared" ref="Q39:Q45" si="14">B39</f>
        <v>宗地形状</v>
      </c>
      <c r="R39" s="774" t="s">
        <v>17</v>
      </c>
      <c r="S39" s="775">
        <f t="shared" si="10"/>
        <v>100</v>
      </c>
      <c r="T39" s="774" t="s">
        <v>17</v>
      </c>
      <c r="U39" s="775">
        <f t="shared" si="11"/>
        <v>100</v>
      </c>
      <c r="V39" s="774" t="s">
        <v>17</v>
      </c>
      <c r="W39" s="775">
        <f t="shared" si="12"/>
        <v>100</v>
      </c>
      <c r="X39" s="1817"/>
      <c r="Y39" s="3180"/>
      <c r="Z39" s="1818" t="str">
        <f t="shared" si="13"/>
        <v>宗地形状</v>
      </c>
      <c r="AA39" s="1815">
        <f t="shared" si="3"/>
        <v>1</v>
      </c>
      <c r="AB39" s="1815">
        <f t="shared" si="4"/>
        <v>1</v>
      </c>
      <c r="AC39" s="1815">
        <f t="shared" si="5"/>
        <v>1</v>
      </c>
    </row>
    <row r="40" spans="1:29" ht="15">
      <c r="A40" s="473"/>
      <c r="B40" s="423" t="s">
        <v>2749</v>
      </c>
      <c r="C40" s="2618"/>
      <c r="D40" s="436">
        <v>100</v>
      </c>
      <c r="E40" s="2618"/>
      <c r="F40" s="436">
        <f>SUMIF(121:121,E40,122:122)-SUMIF(121:121,C40,122:122)+100</f>
        <v>100</v>
      </c>
      <c r="G40" s="2618"/>
      <c r="H40" s="436">
        <f>SUMIF(121:121,G40,122:122)-SUMIF(121:121,C40,122:122)+100</f>
        <v>100</v>
      </c>
      <c r="I40" s="2618"/>
      <c r="J40" s="436">
        <f>SUMIF(121:121,I40,122:122)-SUMIF(121:121,C40,122:122)+100</f>
        <v>100</v>
      </c>
      <c r="K40" s="613"/>
      <c r="L40" s="1143"/>
      <c r="M40" s="1134"/>
      <c r="N40" s="1134"/>
      <c r="O40" s="1142"/>
      <c r="P40" s="3180"/>
      <c r="Q40" s="1814" t="str">
        <f t="shared" si="14"/>
        <v>临街宽度及深度</v>
      </c>
      <c r="R40" s="774" t="s">
        <v>17</v>
      </c>
      <c r="S40" s="775">
        <f t="shared" si="10"/>
        <v>100</v>
      </c>
      <c r="T40" s="774" t="s">
        <v>17</v>
      </c>
      <c r="U40" s="775">
        <f t="shared" si="11"/>
        <v>100</v>
      </c>
      <c r="V40" s="774" t="s">
        <v>17</v>
      </c>
      <c r="W40" s="775">
        <f t="shared" si="12"/>
        <v>100</v>
      </c>
      <c r="X40" s="1817"/>
      <c r="Y40" s="3180"/>
      <c r="Z40" s="1818" t="str">
        <f t="shared" si="13"/>
        <v>临街宽度及深度</v>
      </c>
      <c r="AA40" s="1815">
        <f t="shared" si="3"/>
        <v>1</v>
      </c>
      <c r="AB40" s="1815">
        <f t="shared" si="4"/>
        <v>1</v>
      </c>
      <c r="AC40" s="1815">
        <f t="shared" si="5"/>
        <v>1</v>
      </c>
    </row>
    <row r="41" spans="1:29" s="117" customFormat="1" ht="15">
      <c r="A41" s="474"/>
      <c r="B41" s="423" t="s">
        <v>2750</v>
      </c>
      <c r="C41" s="2707"/>
      <c r="D41" s="136">
        <v>100</v>
      </c>
      <c r="E41" s="2707"/>
      <c r="F41" s="436">
        <f>SUMIF(123:123,E41,124:124)-SUMIF(123:123,C41,124:124)+100</f>
        <v>100</v>
      </c>
      <c r="G41" s="2707"/>
      <c r="H41" s="436">
        <f>SUMIF(123:123,G41,124:124)-SUMIF(123:123,C41,124:124)+100</f>
        <v>100</v>
      </c>
      <c r="I41" s="2707"/>
      <c r="J41" s="436">
        <f>SUMIF(123:123,I41,124:124)-SUMIF(123:123,C41,124:124)+100</f>
        <v>100</v>
      </c>
      <c r="K41" s="613"/>
      <c r="L41" s="1135"/>
      <c r="M41" s="1136"/>
      <c r="N41" s="1136"/>
      <c r="O41" s="1137"/>
      <c r="P41" s="3180"/>
      <c r="Q41" s="1814" t="str">
        <f t="shared" si="14"/>
        <v>宗地开发程度</v>
      </c>
      <c r="R41" s="770" t="s">
        <v>17</v>
      </c>
      <c r="S41" s="771">
        <f t="shared" si="10"/>
        <v>100</v>
      </c>
      <c r="T41" s="770" t="s">
        <v>17</v>
      </c>
      <c r="U41" s="771">
        <f t="shared" si="11"/>
        <v>100</v>
      </c>
      <c r="V41" s="770" t="s">
        <v>17</v>
      </c>
      <c r="W41" s="771">
        <f t="shared" si="12"/>
        <v>100</v>
      </c>
      <c r="X41" s="772"/>
      <c r="Y41" s="3180"/>
      <c r="Z41" s="55" t="str">
        <f t="shared" si="13"/>
        <v>宗地开发程度</v>
      </c>
      <c r="AA41" s="773">
        <f t="shared" si="3"/>
        <v>1</v>
      </c>
      <c r="AB41" s="773">
        <f t="shared" si="4"/>
        <v>1</v>
      </c>
      <c r="AC41" s="773">
        <f t="shared" si="5"/>
        <v>1</v>
      </c>
    </row>
    <row r="42" spans="1:29" ht="15">
      <c r="A42" s="473"/>
      <c r="B42" s="423" t="s">
        <v>2751</v>
      </c>
      <c r="C42" s="2618"/>
      <c r="D42" s="436">
        <v>100</v>
      </c>
      <c r="E42" s="2618"/>
      <c r="F42" s="436">
        <f>SUMIF(125:125,E42,126:126)-SUMIF(125:125,C42,126:126)+100</f>
        <v>100</v>
      </c>
      <c r="G42" s="2618"/>
      <c r="H42" s="436">
        <f>SUMIF(125:125,G42,126:126)-SUMIF(125:125,C42,126:126)+100</f>
        <v>100</v>
      </c>
      <c r="I42" s="2618"/>
      <c r="J42" s="436">
        <f>SUMIF(125:125,I42,126:126)-SUMIF(125:125,C42,126:126)+100</f>
        <v>100</v>
      </c>
      <c r="K42" s="613"/>
      <c r="L42" s="1143"/>
      <c r="M42" s="1134"/>
      <c r="N42" s="1134"/>
      <c r="O42" s="1142"/>
      <c r="P42" s="3180" t="s">
        <v>2561</v>
      </c>
      <c r="Q42" s="1814" t="str">
        <f t="shared" si="14"/>
        <v>工程地质条件</v>
      </c>
      <c r="R42" s="774" t="s">
        <v>17</v>
      </c>
      <c r="S42" s="775">
        <f t="shared" si="10"/>
        <v>100</v>
      </c>
      <c r="T42" s="774" t="s">
        <v>17</v>
      </c>
      <c r="U42" s="775">
        <f t="shared" si="11"/>
        <v>100</v>
      </c>
      <c r="V42" s="774" t="s">
        <v>17</v>
      </c>
      <c r="W42" s="775">
        <f t="shared" si="12"/>
        <v>100</v>
      </c>
      <c r="X42" s="1817"/>
      <c r="Y42" s="3180" t="s">
        <v>2561</v>
      </c>
      <c r="Z42" s="1818" t="str">
        <f t="shared" si="13"/>
        <v>工程地质条件</v>
      </c>
      <c r="AA42" s="1815">
        <f t="shared" si="3"/>
        <v>1</v>
      </c>
      <c r="AB42" s="1815">
        <f t="shared" si="4"/>
        <v>1</v>
      </c>
      <c r="AC42" s="1815">
        <f t="shared" si="5"/>
        <v>1</v>
      </c>
    </row>
    <row r="43" spans="1:29" ht="15">
      <c r="A43" s="473"/>
      <c r="B43" s="1390">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3"/>
      <c r="M43" s="1134"/>
      <c r="N43" s="1134"/>
      <c r="O43" s="1142"/>
      <c r="P43" s="3180"/>
      <c r="Q43" s="1814">
        <f t="shared" si="14"/>
        <v>111</v>
      </c>
      <c r="R43" s="774" t="s">
        <v>17</v>
      </c>
      <c r="S43" s="775">
        <f t="shared" si="10"/>
        <v>100</v>
      </c>
      <c r="T43" s="774" t="s">
        <v>17</v>
      </c>
      <c r="U43" s="775">
        <f t="shared" si="11"/>
        <v>100</v>
      </c>
      <c r="V43" s="774" t="s">
        <v>17</v>
      </c>
      <c r="W43" s="775">
        <f t="shared" si="12"/>
        <v>100</v>
      </c>
      <c r="X43" s="1817"/>
      <c r="Y43" s="3180"/>
      <c r="Z43" s="1818">
        <f t="shared" si="13"/>
        <v>111</v>
      </c>
      <c r="AA43" s="1815">
        <f t="shared" si="3"/>
        <v>1</v>
      </c>
      <c r="AB43" s="1815">
        <f t="shared" si="4"/>
        <v>1</v>
      </c>
      <c r="AC43" s="1815">
        <f t="shared" si="5"/>
        <v>1</v>
      </c>
    </row>
    <row r="44" spans="1:29" ht="15">
      <c r="A44" s="473"/>
      <c r="B44" s="1390">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3"/>
      <c r="M44" s="1134"/>
      <c r="N44" s="1134"/>
      <c r="O44" s="1142"/>
      <c r="P44" s="3180"/>
      <c r="Q44" s="1814">
        <f t="shared" si="14"/>
        <v>111</v>
      </c>
      <c r="R44" s="774" t="s">
        <v>17</v>
      </c>
      <c r="S44" s="775">
        <f t="shared" si="10"/>
        <v>100</v>
      </c>
      <c r="T44" s="774" t="s">
        <v>17</v>
      </c>
      <c r="U44" s="775">
        <f t="shared" si="11"/>
        <v>100</v>
      </c>
      <c r="V44" s="774" t="s">
        <v>17</v>
      </c>
      <c r="W44" s="775">
        <f t="shared" si="12"/>
        <v>100</v>
      </c>
      <c r="X44" s="1817"/>
      <c r="Y44" s="3180"/>
      <c r="Z44" s="1818">
        <f t="shared" si="13"/>
        <v>111</v>
      </c>
      <c r="AA44" s="1815">
        <f t="shared" si="3"/>
        <v>1</v>
      </c>
      <c r="AB44" s="1815">
        <f t="shared" si="4"/>
        <v>1</v>
      </c>
      <c r="AC44" s="1815">
        <f t="shared" si="5"/>
        <v>1</v>
      </c>
    </row>
    <row r="45" spans="1:29" s="472" customFormat="1" ht="15.75" thickBot="1">
      <c r="A45" s="469"/>
      <c r="B45" s="1390">
        <v>111</v>
      </c>
      <c r="C45" s="2708"/>
      <c r="D45" s="681">
        <v>100</v>
      </c>
      <c r="E45" s="675"/>
      <c r="F45" s="439">
        <f>SUMIF(131:131,E45,132:132)-SUMIF(131:131,C45,132:132)+100</f>
        <v>100</v>
      </c>
      <c r="G45" s="675"/>
      <c r="H45" s="439">
        <f>SUMIF(131:131,G45,132:132)-SUMIF(131:131,C45,132:132)+100</f>
        <v>100</v>
      </c>
      <c r="I45" s="675"/>
      <c r="J45" s="439">
        <f>SUMIF(131:131,I45,132:132)-SUMIF(131:131,C45,132:132)+100</f>
        <v>100</v>
      </c>
      <c r="K45" s="682"/>
      <c r="L45" s="1141"/>
      <c r="M45" s="1144"/>
      <c r="N45" s="1144"/>
      <c r="O45" s="1145"/>
      <c r="P45" s="3180"/>
      <c r="Q45" s="1814">
        <f t="shared" si="14"/>
        <v>111</v>
      </c>
      <c r="R45" s="777" t="s">
        <v>17</v>
      </c>
      <c r="S45" s="778">
        <f t="shared" si="10"/>
        <v>100</v>
      </c>
      <c r="T45" s="777" t="s">
        <v>17</v>
      </c>
      <c r="U45" s="778">
        <f t="shared" si="11"/>
        <v>100</v>
      </c>
      <c r="V45" s="777" t="s">
        <v>17</v>
      </c>
      <c r="W45" s="778">
        <f t="shared" si="12"/>
        <v>100</v>
      </c>
      <c r="X45" s="779"/>
      <c r="Y45" s="3180"/>
      <c r="Z45" s="780">
        <f t="shared" si="13"/>
        <v>111</v>
      </c>
      <c r="AA45" s="1815">
        <f t="shared" si="3"/>
        <v>1</v>
      </c>
      <c r="AB45" s="1815">
        <f t="shared" si="4"/>
        <v>1</v>
      </c>
      <c r="AC45" s="1815">
        <f t="shared" si="5"/>
        <v>1</v>
      </c>
    </row>
    <row r="46" spans="1:29" ht="15">
      <c r="A46" s="480" t="s">
        <v>2716</v>
      </c>
      <c r="B46" s="2709" t="s">
        <v>2752</v>
      </c>
      <c r="C46" s="683" t="s">
        <v>1</v>
      </c>
      <c r="D46" s="482"/>
      <c r="E46" s="483"/>
      <c r="F46" s="484"/>
      <c r="G46" s="485"/>
      <c r="H46" s="486"/>
      <c r="I46" s="483"/>
      <c r="J46" s="486"/>
      <c r="K46" s="783"/>
      <c r="L46" s="1146"/>
      <c r="M46" s="1147"/>
      <c r="N46" s="1134"/>
      <c r="O46" s="1147"/>
      <c r="P46" s="3182" t="str">
        <f>A46</f>
        <v>成交单价</v>
      </c>
      <c r="Q46" s="3182"/>
      <c r="R46" s="3170">
        <f>E46</f>
        <v>0</v>
      </c>
      <c r="S46" s="3170"/>
      <c r="T46" s="3170">
        <f>G46</f>
        <v>0</v>
      </c>
      <c r="U46" s="3170"/>
      <c r="V46" s="3170">
        <f>I46</f>
        <v>0</v>
      </c>
      <c r="W46" s="3170"/>
      <c r="X46" s="759"/>
      <c r="Y46" s="781"/>
      <c r="Z46" s="759"/>
      <c r="AA46" s="759"/>
      <c r="AB46" s="759"/>
      <c r="AC46" s="759"/>
    </row>
    <row r="47" spans="1:29" ht="15.75" thickBot="1">
      <c r="A47" s="487" t="s">
        <v>2665</v>
      </c>
      <c r="B47" s="684"/>
      <c r="C47" s="491" t="e">
        <f>R48</f>
        <v>#DIV/0!</v>
      </c>
      <c r="D47" s="490"/>
      <c r="E47" s="491" t="e">
        <f>R47</f>
        <v>#DIV/0!</v>
      </c>
      <c r="F47" s="492"/>
      <c r="G47" s="489" t="e">
        <f>T47</f>
        <v>#DIV/0!</v>
      </c>
      <c r="H47" s="490"/>
      <c r="I47" s="491" t="e">
        <f>V47</f>
        <v>#DIV/0!</v>
      </c>
      <c r="J47" s="490"/>
      <c r="K47" s="784"/>
      <c r="L47" s="1146"/>
      <c r="M47" s="1147"/>
      <c r="N47" s="1147"/>
      <c r="O47" s="1147"/>
      <c r="P47" s="3182" t="str">
        <f>A47</f>
        <v>比较价值（元/平方米）</v>
      </c>
      <c r="Q47" s="3182"/>
      <c r="R47" s="3235" t="e">
        <f>ROUND(PRODUCT(R46,AA7:AA45),0)</f>
        <v>#DIV/0!</v>
      </c>
      <c r="S47" s="3235"/>
      <c r="T47" s="3235" t="e">
        <f>ROUND(PRODUCT(T46,AB7:AB45),0)</f>
        <v>#DIV/0!</v>
      </c>
      <c r="U47" s="3235"/>
      <c r="V47" s="3235" t="e">
        <f>ROUND(PRODUCT(V46,AC7:AC45),0)</f>
        <v>#DIV/0!</v>
      </c>
      <c r="W47" s="3235"/>
      <c r="X47" s="759"/>
      <c r="Y47" s="759"/>
      <c r="Z47" s="759"/>
      <c r="AA47" s="759"/>
      <c r="AB47" s="759"/>
      <c r="AC47" s="759"/>
    </row>
    <row r="48" spans="1:29" ht="15.75" thickBot="1">
      <c r="A48" s="493" t="s">
        <v>2753</v>
      </c>
      <c r="B48" s="494"/>
      <c r="C48" s="495" t="e">
        <f>R48</f>
        <v>#DIV/0!</v>
      </c>
      <c r="D48" s="495"/>
      <c r="E48" s="495"/>
      <c r="F48" s="495"/>
      <c r="G48" s="495"/>
      <c r="H48" s="495"/>
      <c r="I48" s="495"/>
      <c r="J48" s="495"/>
      <c r="K48" s="785"/>
      <c r="L48" s="1146"/>
      <c r="M48" s="1147"/>
      <c r="N48" s="1147"/>
      <c r="O48" s="1147"/>
      <c r="P48" s="3231" t="str">
        <f>A48</f>
        <v>估价对象XX用房的比较价值（楼面单价，元/平方米）</v>
      </c>
      <c r="Q48" s="3232"/>
      <c r="R48" s="3236" t="e">
        <f>ROUND(AVERAGE(R47:V47),0)</f>
        <v>#DIV/0!</v>
      </c>
      <c r="S48" s="3236"/>
      <c r="T48" s="3236"/>
      <c r="U48" s="3236"/>
      <c r="V48" s="3236"/>
      <c r="W48" s="323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8" t="s">
        <v>2667</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8"/>
      <c r="L51" s="1109"/>
      <c r="M51" s="1147"/>
      <c r="N51" s="1147"/>
      <c r="O51" s="1147"/>
    </row>
    <row r="52" spans="1:15" ht="13.5" customHeight="1">
      <c r="A52" s="1147"/>
      <c r="B52" s="1147"/>
      <c r="C52" s="498" t="s">
        <v>2668</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8"/>
      <c r="L52" s="1109"/>
      <c r="M52" s="1147"/>
      <c r="N52" s="1147"/>
      <c r="O52" s="1147"/>
    </row>
    <row r="53" spans="1:15" s="503" customFormat="1" ht="13.5" customHeight="1">
      <c r="A53" s="1148"/>
      <c r="B53" s="1148"/>
      <c r="C53" s="498" t="s">
        <v>2669</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1"/>
      <c r="L53" s="1152"/>
      <c r="M53" s="1148"/>
      <c r="N53" s="1148"/>
      <c r="O53" s="1148"/>
    </row>
    <row r="54" spans="1:15" s="503" customFormat="1" ht="15" thickBot="1">
      <c r="A54" s="1148"/>
      <c r="B54" s="1149"/>
      <c r="C54" s="762"/>
      <c r="D54" s="760"/>
      <c r="E54" s="760"/>
      <c r="F54" s="760"/>
      <c r="G54" s="760"/>
      <c r="H54" s="760"/>
      <c r="I54" s="760"/>
      <c r="J54" s="760"/>
      <c r="K54" s="1151"/>
      <c r="L54" s="1152"/>
      <c r="M54" s="1148"/>
      <c r="N54" s="1148"/>
      <c r="O54" s="1148"/>
    </row>
    <row r="55" spans="1:15" ht="27" customHeight="1">
      <c r="A55" s="685" t="s">
        <v>2754</v>
      </c>
      <c r="B55" s="686" t="s">
        <v>2755</v>
      </c>
      <c r="C55" s="2710" t="s">
        <v>2756</v>
      </c>
      <c r="D55" s="2711" t="s">
        <v>2757</v>
      </c>
      <c r="E55" s="687" t="s">
        <v>2758</v>
      </c>
      <c r="F55" s="1110" t="s">
        <v>2759</v>
      </c>
      <c r="G55" s="3157" t="s">
        <v>2760</v>
      </c>
      <c r="H55" s="3237"/>
      <c r="I55" s="144" t="s">
        <v>2761</v>
      </c>
      <c r="J55" s="2712">
        <f>项目基本情况!F35</f>
        <v>0</v>
      </c>
      <c r="K55" s="2713" t="s">
        <v>2762</v>
      </c>
      <c r="L55" s="1109"/>
      <c r="M55" s="1147"/>
      <c r="N55" s="1147"/>
      <c r="O55" s="1147"/>
    </row>
    <row r="56" spans="1:15" s="693" customFormat="1">
      <c r="A56" s="689" t="s">
        <v>2763</v>
      </c>
      <c r="B56" s="690" t="e">
        <f>C48</f>
        <v>#DIV/0!</v>
      </c>
      <c r="C56" s="691">
        <v>1</v>
      </c>
      <c r="D56" s="1166">
        <v>1</v>
      </c>
      <c r="E56" s="691">
        <f>'数据-汇总表'!E8+'数据-汇总表'!E9</f>
        <v>2300.98</v>
      </c>
      <c r="F56" s="1106" t="e">
        <f t="shared" ref="F56:F65" si="15">ROUND(B56*E56/10000,0)</f>
        <v>#DIV/0!</v>
      </c>
      <c r="G56" s="3153"/>
      <c r="H56" s="3182"/>
      <c r="I56" s="1111">
        <v>1</v>
      </c>
      <c r="J56" s="1114">
        <v>1</v>
      </c>
      <c r="K56" s="1148"/>
      <c r="L56" s="944"/>
      <c r="M56" s="944"/>
      <c r="N56" s="944"/>
      <c r="O56" s="944"/>
    </row>
    <row r="57" spans="1:15" s="693" customFormat="1">
      <c r="A57" s="694" t="s">
        <v>2764</v>
      </c>
      <c r="B57" s="263" t="e">
        <f>ROUND($C$48*C57*D57,0)</f>
        <v>#DIV/0!</v>
      </c>
      <c r="C57" s="201">
        <f t="shared" ref="C57:C65" si="16">IF($C$55="北京市系数",I57,J57)</f>
        <v>0</v>
      </c>
      <c r="D57" s="1167">
        <v>0.25</v>
      </c>
      <c r="E57" s="695"/>
      <c r="F57" s="1106" t="e">
        <f t="shared" si="15"/>
        <v>#DIV/0!</v>
      </c>
      <c r="G57" s="3238" t="s">
        <v>2765</v>
      </c>
      <c r="H57" s="1107">
        <f>项目基本情况!B37</f>
        <v>0</v>
      </c>
      <c r="I57" s="1111">
        <f>SUMIF(修正!A45:A56,H57,修正!B45:B56)</f>
        <v>0</v>
      </c>
      <c r="J57" s="1115"/>
      <c r="K57" s="1147"/>
      <c r="L57" s="944"/>
      <c r="M57" s="944"/>
      <c r="N57" s="944"/>
      <c r="O57" s="944"/>
    </row>
    <row r="58" spans="1:15" s="693" customFormat="1">
      <c r="A58" s="694" t="s">
        <v>2766</v>
      </c>
      <c r="B58" s="263" t="e">
        <f t="shared" ref="B58:B65" si="17">ROUND($C$48*C58*D58,0)</f>
        <v>#DIV/0!</v>
      </c>
      <c r="C58" s="201">
        <f t="shared" si="16"/>
        <v>0</v>
      </c>
      <c r="D58" s="1167">
        <v>0.25</v>
      </c>
      <c r="E58" s="695"/>
      <c r="F58" s="1106" t="e">
        <f t="shared" si="15"/>
        <v>#DIV/0!</v>
      </c>
      <c r="G58" s="3238"/>
      <c r="H58" s="1107">
        <f>项目基本情况!B37</f>
        <v>0</v>
      </c>
      <c r="I58" s="1111">
        <f>SUMIF(修正!A45:A56,H58,修正!C45:C56)</f>
        <v>0</v>
      </c>
      <c r="J58" s="1115"/>
      <c r="K58" s="1148"/>
      <c r="L58" s="944"/>
      <c r="M58" s="944"/>
      <c r="N58" s="944"/>
      <c r="O58" s="944"/>
    </row>
    <row r="59" spans="1:15" s="693" customFormat="1">
      <c r="A59" s="694" t="s">
        <v>2767</v>
      </c>
      <c r="B59" s="263" t="e">
        <f t="shared" si="17"/>
        <v>#DIV/0!</v>
      </c>
      <c r="C59" s="201">
        <f t="shared" si="16"/>
        <v>0</v>
      </c>
      <c r="D59" s="1167">
        <v>0.25</v>
      </c>
      <c r="E59" s="695"/>
      <c r="F59" s="1106" t="e">
        <f t="shared" si="15"/>
        <v>#DIV/0!</v>
      </c>
      <c r="G59" s="3238"/>
      <c r="H59" s="1107">
        <f>项目基本情况!B37</f>
        <v>0</v>
      </c>
      <c r="I59" s="1111">
        <f>SUMIF(修正!A45:A56,H59,修正!D45:D56)</f>
        <v>0</v>
      </c>
      <c r="J59" s="1115"/>
      <c r="K59" s="1147"/>
      <c r="L59" s="944"/>
      <c r="M59" s="944"/>
      <c r="N59" s="944"/>
      <c r="O59" s="944"/>
    </row>
    <row r="60" spans="1:15" s="693" customFormat="1">
      <c r="A60" s="694" t="s">
        <v>2768</v>
      </c>
      <c r="B60" s="263" t="e">
        <f t="shared" si="17"/>
        <v>#DIV/0!</v>
      </c>
      <c r="C60" s="201">
        <f t="shared" si="16"/>
        <v>0</v>
      </c>
      <c r="D60" s="1167">
        <v>0.25</v>
      </c>
      <c r="E60" s="695"/>
      <c r="F60" s="1106" t="e">
        <f t="shared" si="15"/>
        <v>#DIV/0!</v>
      </c>
      <c r="G60" s="3238"/>
      <c r="H60" s="1107">
        <f>项目基本情况!B37</f>
        <v>0</v>
      </c>
      <c r="I60" s="1111">
        <f>SUMIF(修正!A45:A56,H60,修正!E45:E56)</f>
        <v>0</v>
      </c>
      <c r="J60" s="1115"/>
      <c r="K60" s="1148"/>
      <c r="L60" s="944"/>
      <c r="M60" s="944"/>
      <c r="N60" s="944"/>
      <c r="O60" s="944"/>
    </row>
    <row r="61" spans="1:15" s="693" customFormat="1">
      <c r="A61" s="694" t="s">
        <v>2769</v>
      </c>
      <c r="B61" s="263" t="e">
        <f t="shared" si="17"/>
        <v>#DIV/0!</v>
      </c>
      <c r="C61" s="201">
        <f t="shared" si="16"/>
        <v>0</v>
      </c>
      <c r="D61" s="1167">
        <v>0.25</v>
      </c>
      <c r="E61" s="262">
        <f>'数据-汇总表'!E11</f>
        <v>0</v>
      </c>
      <c r="F61" s="1106" t="e">
        <f t="shared" si="15"/>
        <v>#DIV/0!</v>
      </c>
      <c r="G61" s="2714" t="s">
        <v>2770</v>
      </c>
      <c r="H61" s="1107">
        <f>项目基本情况!C37</f>
        <v>0</v>
      </c>
      <c r="I61" s="1111">
        <f>SUMIF(修正!A45:A56,H61,修正!F45:F56)</f>
        <v>0</v>
      </c>
      <c r="J61" s="1115"/>
      <c r="K61" s="1147"/>
      <c r="L61" s="944"/>
      <c r="M61" s="944"/>
      <c r="N61" s="944"/>
      <c r="O61" s="944"/>
    </row>
    <row r="62" spans="1:15" s="693" customFormat="1">
      <c r="A62" s="694" t="s">
        <v>2771</v>
      </c>
      <c r="B62" s="263" t="e">
        <f t="shared" si="17"/>
        <v>#DIV/0!</v>
      </c>
      <c r="C62" s="201">
        <f t="shared" si="16"/>
        <v>0</v>
      </c>
      <c r="D62" s="1167">
        <v>0.25</v>
      </c>
      <c r="E62" s="262">
        <f>'数据-汇总表'!E12</f>
        <v>0</v>
      </c>
      <c r="F62" s="1106" t="e">
        <f t="shared" si="15"/>
        <v>#DIV/0!</v>
      </c>
      <c r="G62" s="1112" t="s">
        <v>2772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3" customFormat="1">
      <c r="A63" s="694" t="s">
        <v>2773</v>
      </c>
      <c r="B63" s="263" t="e">
        <f t="shared" si="17"/>
        <v>#DIV/0!</v>
      </c>
      <c r="C63" s="201">
        <f t="shared" si="16"/>
        <v>0</v>
      </c>
      <c r="D63" s="1167">
        <v>0.25</v>
      </c>
      <c r="E63" s="262">
        <f>'数据-汇总表'!E13</f>
        <v>0</v>
      </c>
      <c r="F63" s="1106" t="e">
        <f t="shared" si="15"/>
        <v>#DIV/0!</v>
      </c>
      <c r="G63" s="1112" t="s">
        <v>2774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3" customFormat="1">
      <c r="A64" s="694" t="s">
        <v>2775</v>
      </c>
      <c r="B64" s="263" t="e">
        <f t="shared" si="17"/>
        <v>#DIV/0!</v>
      </c>
      <c r="C64" s="201">
        <f t="shared" si="16"/>
        <v>0</v>
      </c>
      <c r="D64" s="1167">
        <v>0.25</v>
      </c>
      <c r="E64" s="262">
        <f>'数据-汇总表'!E14</f>
        <v>0</v>
      </c>
      <c r="F64" s="1106" t="e">
        <f t="shared" si="15"/>
        <v>#DIV/0!</v>
      </c>
      <c r="G64" s="2714" t="s">
        <v>2765</v>
      </c>
      <c r="H64" s="1107">
        <f>项目基本情况!B37</f>
        <v>0</v>
      </c>
      <c r="I64" s="1111">
        <f>SUMIF(修正!A45:A56,H64,修正!H45:H56)</f>
        <v>0</v>
      </c>
      <c r="J64" s="1115"/>
      <c r="K64" s="1148"/>
      <c r="L64" s="944"/>
      <c r="M64" s="944"/>
      <c r="N64" s="944"/>
      <c r="O64" s="944"/>
    </row>
    <row r="65" spans="1:17" s="693" customFormat="1" ht="15" thickBot="1">
      <c r="A65" s="694" t="s">
        <v>2776</v>
      </c>
      <c r="B65" s="263" t="e">
        <f t="shared" si="17"/>
        <v>#DIV/0!</v>
      </c>
      <c r="C65" s="201">
        <f t="shared" si="16"/>
        <v>0</v>
      </c>
      <c r="D65" s="1167">
        <v>0.25</v>
      </c>
      <c r="E65" s="262">
        <f>'数据-汇总表'!E15</f>
        <v>0</v>
      </c>
      <c r="F65" s="1106" t="e">
        <f t="shared" si="15"/>
        <v>#DIV/0!</v>
      </c>
      <c r="G65" s="2715" t="s">
        <v>2770</v>
      </c>
      <c r="H65" s="1117">
        <f>项目基本情况!C37</f>
        <v>0</v>
      </c>
      <c r="I65" s="1113">
        <f>SUMIF(修正!A45:A56,H65,修正!H45:H56)</f>
        <v>0</v>
      </c>
      <c r="J65" s="1116"/>
      <c r="K65" s="1147"/>
      <c r="L65" s="944"/>
      <c r="M65" s="944"/>
      <c r="N65" s="944"/>
      <c r="O65" s="944"/>
    </row>
    <row r="66" spans="1:17" s="693" customFormat="1" ht="13.5" thickBot="1">
      <c r="A66" s="696" t="s">
        <v>2777</v>
      </c>
      <c r="B66" s="697" t="s">
        <v>28</v>
      </c>
      <c r="C66" s="697" t="s">
        <v>29</v>
      </c>
      <c r="D66" s="697" t="s">
        <v>1029</v>
      </c>
      <c r="E66" s="697">
        <f>IF(B46="楼面地价",SUM(E56:E65),'数据-汇总表'!D3)</f>
        <v>2300.98</v>
      </c>
      <c r="F66" s="698"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2670</v>
      </c>
      <c r="B69" s="759"/>
      <c r="C69" s="764"/>
      <c r="D69" s="764"/>
      <c r="E69" s="764"/>
      <c r="F69" s="765"/>
      <c r="G69" s="765"/>
      <c r="H69" s="764"/>
      <c r="I69" s="764"/>
      <c r="J69" s="1162"/>
      <c r="K69" s="1163"/>
      <c r="L69" s="1164"/>
      <c r="M69" s="1162"/>
      <c r="N69" s="1162"/>
      <c r="O69" s="1162"/>
      <c r="P69" s="504"/>
      <c r="Q69" s="505"/>
    </row>
    <row r="70" spans="1:17" s="509" customFormat="1" ht="15">
      <c r="A70" s="2716" t="s">
        <v>2778</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8"/>
    </row>
    <row r="71" spans="1:17" s="117" customFormat="1" ht="30" customHeight="1">
      <c r="A71" s="2717" t="s">
        <v>2779</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1"/>
      <c r="N71" s="596"/>
      <c r="O71" s="1572"/>
      <c r="P71" s="505"/>
    </row>
    <row r="72" spans="1:17" s="117" customFormat="1" ht="15.75" thickBot="1">
      <c r="A72" s="516" t="s">
        <v>2581</v>
      </c>
      <c r="B72" s="517"/>
      <c r="C72" s="518"/>
      <c r="D72" s="519"/>
      <c r="E72" s="519"/>
      <c r="F72" s="519"/>
      <c r="G72" s="519"/>
      <c r="H72" s="519"/>
      <c r="I72" s="519"/>
      <c r="J72" s="519"/>
      <c r="K72" s="519"/>
      <c r="L72" s="519"/>
      <c r="M72" s="520"/>
      <c r="N72" s="519"/>
      <c r="O72" s="1165"/>
      <c r="P72" s="505"/>
      <c r="Q72" s="505"/>
    </row>
    <row r="73" spans="1:17" s="117" customFormat="1" ht="15">
      <c r="A73" s="522" t="s">
        <v>2546</v>
      </c>
      <c r="B73" s="511"/>
      <c r="C73" s="523" t="s">
        <v>2648</v>
      </c>
      <c r="D73" s="524"/>
      <c r="E73" s="524"/>
      <c r="F73" s="524"/>
      <c r="G73" s="524"/>
      <c r="H73" s="524"/>
      <c r="I73" s="524"/>
      <c r="J73" s="524"/>
      <c r="K73" s="524"/>
      <c r="L73" s="525"/>
      <c r="M73" s="526"/>
      <c r="N73" s="1154"/>
      <c r="O73" s="1154"/>
      <c r="P73" s="527"/>
      <c r="Q73" s="505"/>
    </row>
    <row r="74" spans="1:17" s="117" customFormat="1" ht="15.75" thickBot="1">
      <c r="A74" s="522"/>
      <c r="B74" s="511"/>
      <c r="C74" s="640">
        <v>100</v>
      </c>
      <c r="D74" s="513"/>
      <c r="E74" s="513"/>
      <c r="F74" s="513"/>
      <c r="G74" s="513"/>
      <c r="H74" s="513"/>
      <c r="I74" s="513"/>
      <c r="J74" s="513"/>
      <c r="K74" s="513"/>
      <c r="L74" s="513"/>
      <c r="M74" s="515"/>
      <c r="N74" s="1154"/>
      <c r="O74" s="1154"/>
      <c r="P74" s="505"/>
      <c r="Q74" s="505"/>
    </row>
    <row r="75" spans="1:17">
      <c r="A75" s="528" t="s">
        <v>2584</v>
      </c>
      <c r="B75" s="529" t="s">
        <v>2550</v>
      </c>
      <c r="C75" s="531"/>
      <c r="D75" s="531"/>
      <c r="E75" s="531"/>
      <c r="F75" s="531"/>
      <c r="G75" s="531"/>
      <c r="H75" s="531"/>
      <c r="I75" s="531"/>
      <c r="J75" s="531"/>
      <c r="K75" s="532"/>
      <c r="L75" s="533"/>
      <c r="M75" s="534"/>
      <c r="N75" s="1155"/>
      <c r="O75" s="1155"/>
      <c r="P75" s="45"/>
      <c r="Q75" s="505"/>
    </row>
    <row r="76" spans="1:17" ht="15.75" thickBot="1">
      <c r="A76" s="535"/>
      <c r="B76" s="536"/>
      <c r="C76" s="537"/>
      <c r="D76" s="537"/>
      <c r="E76" s="537"/>
      <c r="F76" s="537"/>
      <c r="G76" s="537"/>
      <c r="H76" s="537"/>
      <c r="I76" s="537"/>
      <c r="J76" s="537"/>
      <c r="K76" s="537"/>
      <c r="L76" s="537"/>
      <c r="M76" s="538"/>
      <c r="N76" s="1156"/>
      <c r="O76" s="1156"/>
      <c r="P76" s="45"/>
      <c r="Q76" s="505"/>
    </row>
    <row r="77" spans="1:17" ht="27.75" thickTop="1">
      <c r="A77" s="535"/>
      <c r="B77" s="539" t="s">
        <v>2553</v>
      </c>
      <c r="C77" s="540"/>
      <c r="D77" s="540"/>
      <c r="E77" s="540"/>
      <c r="F77" s="540"/>
      <c r="G77" s="540"/>
      <c r="H77" s="540"/>
      <c r="I77" s="540"/>
      <c r="J77" s="540"/>
      <c r="K77" s="541"/>
      <c r="L77" s="542"/>
      <c r="M77" s="543"/>
      <c r="N77" s="1155"/>
      <c r="O77" s="1155"/>
      <c r="P77" s="45"/>
      <c r="Q77" s="505"/>
    </row>
    <row r="78" spans="1:17" ht="15.75" thickBot="1">
      <c r="A78" s="535"/>
      <c r="B78" s="544"/>
      <c r="C78" s="545"/>
      <c r="D78" s="545"/>
      <c r="E78" s="545"/>
      <c r="F78" s="545"/>
      <c r="G78" s="545"/>
      <c r="H78" s="545"/>
      <c r="I78" s="545"/>
      <c r="J78" s="545"/>
      <c r="K78" s="545"/>
      <c r="L78" s="545"/>
      <c r="M78" s="546"/>
      <c r="N78" s="1156"/>
      <c r="O78" s="1156"/>
      <c r="P78" s="45"/>
      <c r="Q78" s="505"/>
    </row>
    <row r="79" spans="1:17" ht="15.75" thickTop="1">
      <c r="A79" s="535"/>
      <c r="B79" s="547" t="s">
        <v>2554</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6"/>
      <c r="O79" s="1156"/>
      <c r="P79" s="45"/>
      <c r="Q79" s="505"/>
    </row>
    <row r="80" spans="1:17" ht="15">
      <c r="A80" s="535"/>
      <c r="B80" s="549"/>
      <c r="C80" s="550"/>
      <c r="D80" s="550"/>
      <c r="E80" s="550"/>
      <c r="F80" s="550"/>
      <c r="G80" s="550"/>
      <c r="H80" s="550"/>
      <c r="I80" s="550"/>
      <c r="J80" s="550"/>
      <c r="K80" s="551"/>
      <c r="L80" s="552"/>
      <c r="M80" s="553"/>
      <c r="N80" s="1155"/>
      <c r="O80" s="1155"/>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6"/>
      <c r="O81" s="1156"/>
      <c r="P81" s="45"/>
      <c r="Q81" s="505"/>
    </row>
    <row r="82" spans="1:17" s="472" customFormat="1" ht="15.75" thickTop="1">
      <c r="A82" s="554"/>
      <c r="B82" s="539" t="str">
        <f>B12</f>
        <v>配建</v>
      </c>
      <c r="C82" s="555"/>
      <c r="D82" s="555"/>
      <c r="E82" s="555"/>
      <c r="F82" s="555"/>
      <c r="G82" s="555"/>
      <c r="H82" s="556"/>
      <c r="I82" s="556"/>
      <c r="J82" s="556"/>
      <c r="K82" s="556"/>
      <c r="L82" s="557"/>
      <c r="M82" s="558"/>
      <c r="N82" s="1157"/>
      <c r="O82" s="1157"/>
      <c r="P82" s="559"/>
      <c r="Q82" s="560"/>
    </row>
    <row r="83" spans="1:17" s="472" customFormat="1" ht="15.75" thickBot="1">
      <c r="A83" s="554"/>
      <c r="B83" s="544"/>
      <c r="C83" s="561"/>
      <c r="D83" s="537"/>
      <c r="E83" s="537"/>
      <c r="F83" s="537"/>
      <c r="G83" s="537"/>
      <c r="H83" s="537"/>
      <c r="I83" s="537"/>
      <c r="J83" s="537"/>
      <c r="K83" s="537"/>
      <c r="L83" s="537"/>
      <c r="M83" s="538"/>
      <c r="N83" s="1156"/>
      <c r="O83" s="1156"/>
      <c r="P83" s="559"/>
      <c r="Q83" s="560"/>
    </row>
    <row r="84" spans="1:17" s="472" customFormat="1" ht="15.75" thickTop="1">
      <c r="A84" s="554"/>
      <c r="B84" s="539">
        <f>B13</f>
        <v>111</v>
      </c>
      <c r="C84" s="555"/>
      <c r="D84" s="555"/>
      <c r="E84" s="555"/>
      <c r="F84" s="555"/>
      <c r="G84" s="555"/>
      <c r="H84" s="556"/>
      <c r="I84" s="556"/>
      <c r="J84" s="556"/>
      <c r="K84" s="556"/>
      <c r="L84" s="557"/>
      <c r="M84" s="558"/>
      <c r="N84" s="1157"/>
      <c r="O84" s="1157"/>
      <c r="P84" s="471"/>
      <c r="Q84" s="562"/>
    </row>
    <row r="85" spans="1:17" s="472" customFormat="1" ht="15.75" thickBot="1">
      <c r="A85" s="554"/>
      <c r="B85" s="544"/>
      <c r="C85" s="561"/>
      <c r="D85" s="561"/>
      <c r="E85" s="561"/>
      <c r="F85" s="561"/>
      <c r="G85" s="561"/>
      <c r="H85" s="563"/>
      <c r="I85" s="563"/>
      <c r="J85" s="563"/>
      <c r="K85" s="563"/>
      <c r="L85" s="563"/>
      <c r="M85" s="564"/>
      <c r="N85" s="1157"/>
      <c r="O85" s="1157"/>
      <c r="P85" s="559"/>
      <c r="Q85" s="560"/>
    </row>
    <row r="86" spans="1:17" s="472" customFormat="1" ht="15.75" thickTop="1">
      <c r="A86" s="554"/>
      <c r="B86" s="547">
        <f>B14</f>
        <v>111</v>
      </c>
      <c r="C86" s="524"/>
      <c r="D86" s="524"/>
      <c r="E86" s="524"/>
      <c r="F86" s="524"/>
      <c r="G86" s="524"/>
      <c r="H86" s="565"/>
      <c r="I86" s="565"/>
      <c r="J86" s="565"/>
      <c r="K86" s="565"/>
      <c r="L86" s="566"/>
      <c r="M86" s="567"/>
      <c r="N86" s="1157"/>
      <c r="O86" s="1157"/>
      <c r="P86" s="568"/>
      <c r="Q86" s="560"/>
    </row>
    <row r="87" spans="1:17" s="472" customFormat="1" ht="15.75" thickBot="1">
      <c r="A87" s="569"/>
      <c r="B87" s="570"/>
      <c r="C87" s="571"/>
      <c r="D87" s="571"/>
      <c r="E87" s="571"/>
      <c r="F87" s="571"/>
      <c r="G87" s="571"/>
      <c r="H87" s="572"/>
      <c r="I87" s="572"/>
      <c r="J87" s="572"/>
      <c r="K87" s="572"/>
      <c r="L87" s="572"/>
      <c r="M87" s="573"/>
      <c r="N87" s="1157"/>
      <c r="O87" s="1157"/>
      <c r="P87" s="559"/>
      <c r="Q87" s="560"/>
    </row>
    <row r="88" spans="1:17">
      <c r="A88" s="528" t="s">
        <v>2555</v>
      </c>
      <c r="B88" s="529" t="s">
        <v>2592</v>
      </c>
      <c r="C88" s="574" t="s">
        <v>2593</v>
      </c>
      <c r="D88" s="574" t="s">
        <v>2594</v>
      </c>
      <c r="E88" s="574" t="s">
        <v>2595</v>
      </c>
      <c r="F88" s="574" t="s">
        <v>2596</v>
      </c>
      <c r="G88" s="574" t="s">
        <v>2597</v>
      </c>
      <c r="H88" s="530"/>
      <c r="I88" s="530"/>
      <c r="J88" s="530"/>
      <c r="K88" s="575"/>
      <c r="L88" s="576"/>
      <c r="M88" s="577"/>
      <c r="N88" s="1155"/>
      <c r="O88" s="1155"/>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6"/>
      <c r="O89" s="1156"/>
      <c r="P89" s="45"/>
      <c r="Q89" s="505"/>
    </row>
    <row r="90" spans="1:17" ht="15.75" thickTop="1">
      <c r="A90" s="535"/>
      <c r="B90" s="539" t="s">
        <v>2780</v>
      </c>
      <c r="C90" s="579" t="s">
        <v>2593</v>
      </c>
      <c r="D90" s="579" t="s">
        <v>2594</v>
      </c>
      <c r="E90" s="579" t="s">
        <v>2595</v>
      </c>
      <c r="F90" s="579" t="s">
        <v>2596</v>
      </c>
      <c r="G90" s="579" t="s">
        <v>2597</v>
      </c>
      <c r="H90" s="540"/>
      <c r="I90" s="540"/>
      <c r="J90" s="540"/>
      <c r="K90" s="541"/>
      <c r="L90" s="542"/>
      <c r="M90" s="543"/>
      <c r="N90" s="1155"/>
      <c r="O90" s="1155"/>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6"/>
      <c r="O91" s="1156"/>
      <c r="P91" s="45"/>
      <c r="Q91" s="505"/>
    </row>
    <row r="92" spans="1:17" ht="15.75" thickTop="1">
      <c r="A92" s="535"/>
      <c r="B92" s="539" t="s">
        <v>2693</v>
      </c>
      <c r="C92" s="579" t="s">
        <v>2593</v>
      </c>
      <c r="D92" s="579" t="s">
        <v>2594</v>
      </c>
      <c r="E92" s="579" t="s">
        <v>2595</v>
      </c>
      <c r="F92" s="579" t="s">
        <v>2596</v>
      </c>
      <c r="G92" s="579" t="s">
        <v>2597</v>
      </c>
      <c r="H92" s="540"/>
      <c r="I92" s="540"/>
      <c r="J92" s="540"/>
      <c r="K92" s="541"/>
      <c r="L92" s="542"/>
      <c r="M92" s="543"/>
      <c r="N92" s="1155"/>
      <c r="O92" s="1155"/>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6"/>
      <c r="O93" s="1156"/>
      <c r="P93" s="45"/>
      <c r="Q93" s="505"/>
    </row>
    <row r="94" spans="1:17" ht="15.75" thickTop="1">
      <c r="A94" s="535"/>
      <c r="B94" s="539" t="s">
        <v>2598</v>
      </c>
      <c r="C94" s="579" t="s">
        <v>2593</v>
      </c>
      <c r="D94" s="579" t="s">
        <v>2594</v>
      </c>
      <c r="E94" s="579" t="s">
        <v>2595</v>
      </c>
      <c r="F94" s="579" t="s">
        <v>2596</v>
      </c>
      <c r="G94" s="579" t="s">
        <v>2597</v>
      </c>
      <c r="H94" s="540"/>
      <c r="I94" s="540"/>
      <c r="J94" s="540"/>
      <c r="K94" s="541"/>
      <c r="L94" s="542"/>
      <c r="M94" s="543"/>
      <c r="N94" s="1155"/>
      <c r="O94" s="1155"/>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6"/>
      <c r="O95" s="1156"/>
      <c r="P95" s="45"/>
      <c r="Q95" s="505"/>
    </row>
    <row r="96" spans="1:17" s="117" customFormat="1" ht="15.75" thickTop="1">
      <c r="A96" s="580"/>
      <c r="B96" s="539" t="s">
        <v>2781</v>
      </c>
      <c r="C96" s="579" t="s">
        <v>2593</v>
      </c>
      <c r="D96" s="579" t="s">
        <v>2594</v>
      </c>
      <c r="E96" s="579" t="s">
        <v>2595</v>
      </c>
      <c r="F96" s="579" t="s">
        <v>2596</v>
      </c>
      <c r="G96" s="579" t="s">
        <v>2597</v>
      </c>
      <c r="H96" s="579"/>
      <c r="I96" s="579"/>
      <c r="J96" s="579"/>
      <c r="K96" s="579"/>
      <c r="L96" s="699"/>
      <c r="M96" s="623"/>
      <c r="N96" s="1154"/>
      <c r="O96" s="1154"/>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6"/>
      <c r="O97" s="1156"/>
      <c r="P97" s="45"/>
      <c r="Q97" s="505"/>
    </row>
    <row r="98" spans="1:17" s="117" customFormat="1" ht="27.75" thickTop="1">
      <c r="A98" s="580"/>
      <c r="B98" s="539" t="s">
        <v>2782</v>
      </c>
      <c r="C98" s="574" t="s">
        <v>2593</v>
      </c>
      <c r="D98" s="574" t="s">
        <v>2594</v>
      </c>
      <c r="E98" s="574" t="s">
        <v>2595</v>
      </c>
      <c r="F98" s="574" t="s">
        <v>2596</v>
      </c>
      <c r="G98" s="574" t="s">
        <v>2597</v>
      </c>
      <c r="H98" s="579"/>
      <c r="I98" s="579"/>
      <c r="J98" s="579"/>
      <c r="K98" s="579"/>
      <c r="L98" s="579"/>
      <c r="M98" s="623"/>
      <c r="N98" s="1154"/>
      <c r="O98" s="1154"/>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6"/>
      <c r="O99" s="1156"/>
      <c r="P99" s="45"/>
      <c r="Q99" s="505"/>
    </row>
    <row r="100" spans="1:17" s="472" customFormat="1" ht="15.75" thickTop="1">
      <c r="A100" s="554"/>
      <c r="B100" s="539" t="s">
        <v>2650</v>
      </c>
      <c r="C100" s="574" t="s">
        <v>2593</v>
      </c>
      <c r="D100" s="574" t="s">
        <v>2594</v>
      </c>
      <c r="E100" s="574" t="s">
        <v>2595</v>
      </c>
      <c r="F100" s="574" t="s">
        <v>2596</v>
      </c>
      <c r="G100" s="574" t="s">
        <v>2597</v>
      </c>
      <c r="H100" s="601"/>
      <c r="I100" s="601"/>
      <c r="J100" s="601"/>
      <c r="K100" s="601"/>
      <c r="L100" s="602"/>
      <c r="M100" s="603"/>
      <c r="N100" s="1157"/>
      <c r="O100" s="1157"/>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7"/>
      <c r="O101" s="1157"/>
      <c r="P101" s="559"/>
      <c r="Q101" s="560"/>
    </row>
    <row r="102" spans="1:17" s="472" customFormat="1" ht="15.75" thickTop="1">
      <c r="A102" s="554"/>
      <c r="B102" s="547" t="s">
        <v>2651</v>
      </c>
      <c r="C102" s="661" t="s">
        <v>2671</v>
      </c>
      <c r="D102" s="661" t="s">
        <v>2672</v>
      </c>
      <c r="E102" s="661" t="s">
        <v>2673</v>
      </c>
      <c r="F102" s="661" t="s">
        <v>2674</v>
      </c>
      <c r="G102" s="661" t="s">
        <v>2675</v>
      </c>
      <c r="H102" s="601"/>
      <c r="I102" s="601"/>
      <c r="J102" s="601"/>
      <c r="K102" s="601"/>
      <c r="L102" s="601"/>
      <c r="M102" s="1388"/>
      <c r="N102" s="1157"/>
      <c r="O102" s="1157"/>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8"/>
      <c r="N103" s="1157"/>
      <c r="O103" s="1157"/>
      <c r="P103" s="559"/>
      <c r="Q103" s="560"/>
    </row>
    <row r="104" spans="1:17" ht="15.75" thickTop="1">
      <c r="A104" s="535"/>
      <c r="B104" s="539" t="str">
        <f>B31</f>
        <v>临街状况</v>
      </c>
      <c r="C104" s="540" t="s">
        <v>2783</v>
      </c>
      <c r="D104" s="540" t="s">
        <v>2784</v>
      </c>
      <c r="E104" s="540" t="s">
        <v>2785</v>
      </c>
      <c r="F104" s="540" t="s">
        <v>2786</v>
      </c>
      <c r="G104" s="540"/>
      <c r="H104" s="540"/>
      <c r="I104" s="540"/>
      <c r="J104" s="540"/>
      <c r="K104" s="541"/>
      <c r="L104" s="542"/>
      <c r="M104" s="543"/>
      <c r="N104" s="1155"/>
      <c r="O104" s="1155"/>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6"/>
      <c r="O105" s="1156"/>
      <c r="P105" s="45"/>
      <c r="Q105" s="505"/>
    </row>
    <row r="106" spans="1:17" ht="27.75" thickTop="1">
      <c r="A106" s="535"/>
      <c r="B106" s="539" t="s">
        <v>2687</v>
      </c>
      <c r="C106" s="555"/>
      <c r="D106" s="555"/>
      <c r="E106" s="555"/>
      <c r="F106" s="555"/>
      <c r="G106" s="555"/>
      <c r="H106" s="584"/>
      <c r="I106" s="584"/>
      <c r="J106" s="584"/>
      <c r="K106" s="585"/>
      <c r="L106" s="586"/>
      <c r="M106" s="587"/>
      <c r="N106" s="1155"/>
      <c r="O106" s="1155"/>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6"/>
      <c r="O107" s="1156"/>
      <c r="P107" s="45"/>
      <c r="Q107" s="505"/>
    </row>
    <row r="108" spans="1:17" ht="15.75" thickTop="1">
      <c r="A108" s="535"/>
      <c r="B108" s="539" t="s">
        <v>2746</v>
      </c>
      <c r="C108" s="584"/>
      <c r="D108" s="584"/>
      <c r="E108" s="584"/>
      <c r="F108" s="584"/>
      <c r="G108" s="584"/>
      <c r="H108" s="584"/>
      <c r="I108" s="584"/>
      <c r="J108" s="584"/>
      <c r="K108" s="585"/>
      <c r="L108" s="586"/>
      <c r="M108" s="587"/>
      <c r="N108" s="1155"/>
      <c r="O108" s="1155"/>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6"/>
      <c r="O109" s="1156"/>
      <c r="P109" s="45"/>
      <c r="Q109" s="505"/>
    </row>
    <row r="110" spans="1:17" ht="15.75" thickTop="1">
      <c r="A110" s="535"/>
      <c r="B110" s="547">
        <f>B35</f>
        <v>111</v>
      </c>
      <c r="C110" s="555"/>
      <c r="D110" s="555"/>
      <c r="E110" s="555"/>
      <c r="F110" s="555"/>
      <c r="G110" s="588"/>
      <c r="H110" s="588"/>
      <c r="I110" s="588"/>
      <c r="J110" s="588"/>
      <c r="K110" s="589"/>
      <c r="L110" s="590"/>
      <c r="M110" s="591"/>
      <c r="N110" s="1155"/>
      <c r="O110" s="1155"/>
      <c r="P110" s="45"/>
      <c r="Q110" s="505"/>
    </row>
    <row r="111" spans="1:17" ht="15.75" thickBot="1">
      <c r="A111" s="535"/>
      <c r="B111" s="570"/>
      <c r="C111" s="561"/>
      <c r="D111" s="561"/>
      <c r="E111" s="561"/>
      <c r="F111" s="561"/>
      <c r="G111" s="592"/>
      <c r="H111" s="592"/>
      <c r="I111" s="592"/>
      <c r="J111" s="592"/>
      <c r="K111" s="592"/>
      <c r="L111" s="592"/>
      <c r="M111" s="593"/>
      <c r="N111" s="1156"/>
      <c r="O111" s="1156"/>
      <c r="P111" s="45"/>
      <c r="Q111" s="505"/>
    </row>
    <row r="112" spans="1:17" ht="15" thickTop="1">
      <c r="A112" s="676"/>
      <c r="B112" s="539">
        <f>B36</f>
        <v>111</v>
      </c>
      <c r="C112" s="524"/>
      <c r="D112" s="524"/>
      <c r="E112" s="524"/>
      <c r="F112" s="524"/>
      <c r="G112" s="584"/>
      <c r="H112" s="584"/>
      <c r="I112" s="584"/>
      <c r="J112" s="584"/>
      <c r="K112" s="585"/>
      <c r="L112" s="586"/>
      <c r="M112" s="587"/>
      <c r="N112" s="1155"/>
      <c r="O112" s="1155"/>
      <c r="P112" s="45"/>
      <c r="Q112" s="505"/>
    </row>
    <row r="113" spans="1:17" ht="15.75" thickBot="1">
      <c r="A113" s="535"/>
      <c r="B113" s="544"/>
      <c r="C113" s="571"/>
      <c r="D113" s="571"/>
      <c r="E113" s="571"/>
      <c r="F113" s="571"/>
      <c r="G113" s="537"/>
      <c r="H113" s="537"/>
      <c r="I113" s="537"/>
      <c r="J113" s="537"/>
      <c r="K113" s="537"/>
      <c r="L113" s="537"/>
      <c r="M113" s="538"/>
      <c r="N113" s="1156"/>
      <c r="O113" s="1156"/>
      <c r="P113" s="45"/>
      <c r="Q113" s="505"/>
    </row>
    <row r="114" spans="1:17" s="472" customFormat="1" ht="15" thickTop="1">
      <c r="A114" s="594"/>
      <c r="B114" s="595">
        <f>B37</f>
        <v>111</v>
      </c>
      <c r="C114" s="596"/>
      <c r="D114" s="596"/>
      <c r="E114" s="596"/>
      <c r="F114" s="596"/>
      <c r="G114" s="596"/>
      <c r="H114" s="596"/>
      <c r="I114" s="596"/>
      <c r="J114" s="597"/>
      <c r="K114" s="597"/>
      <c r="L114" s="598"/>
      <c r="M114" s="599"/>
      <c r="N114" s="1157"/>
      <c r="O114" s="1157"/>
      <c r="P114" s="559"/>
      <c r="Q114" s="560"/>
    </row>
    <row r="115" spans="1:17" s="472" customFormat="1" ht="15.75" thickBot="1">
      <c r="A115" s="554"/>
      <c r="B115" s="547"/>
      <c r="C115" s="513"/>
      <c r="D115" s="678"/>
      <c r="E115" s="678"/>
      <c r="F115" s="678"/>
      <c r="G115" s="678"/>
      <c r="H115" s="678"/>
      <c r="I115" s="678"/>
      <c r="J115" s="678"/>
      <c r="K115" s="678"/>
      <c r="L115" s="678"/>
      <c r="M115" s="700"/>
      <c r="N115" s="1156"/>
      <c r="O115" s="1156"/>
      <c r="P115" s="559"/>
      <c r="Q115" s="560"/>
    </row>
    <row r="116" spans="1:17">
      <c r="A116" s="528" t="s">
        <v>2559</v>
      </c>
      <c r="B116" s="529" t="s">
        <v>2787</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5"/>
      <c r="O116" s="1155"/>
      <c r="P116" s="45"/>
      <c r="Q116" s="505"/>
    </row>
    <row r="117" spans="1:17" ht="15">
      <c r="A117" s="535"/>
      <c r="B117" s="547"/>
      <c r="C117" s="596"/>
      <c r="D117" s="596"/>
      <c r="E117" s="596"/>
      <c r="F117" s="596"/>
      <c r="G117" s="596"/>
      <c r="H117" s="596"/>
      <c r="I117" s="596"/>
      <c r="J117" s="597"/>
      <c r="K117" s="597"/>
      <c r="L117" s="598"/>
      <c r="M117" s="599"/>
      <c r="N117" s="1155"/>
      <c r="O117" s="1155"/>
      <c r="P117" s="45"/>
      <c r="Q117" s="505"/>
    </row>
    <row r="118" spans="1:17" ht="15.75" thickBot="1">
      <c r="A118" s="535"/>
      <c r="B118" s="544"/>
      <c r="C118" s="571"/>
      <c r="D118" s="592"/>
      <c r="E118" s="592"/>
      <c r="F118" s="592"/>
      <c r="G118" s="592"/>
      <c r="H118" s="592"/>
      <c r="I118" s="592"/>
      <c r="J118" s="592"/>
      <c r="K118" s="592"/>
      <c r="L118" s="592"/>
      <c r="M118" s="593"/>
      <c r="N118" s="1156"/>
      <c r="O118" s="1156"/>
      <c r="P118" s="45"/>
      <c r="Q118" s="505"/>
    </row>
    <row r="119" spans="1:17" ht="15" thickTop="1">
      <c r="A119" s="600"/>
      <c r="B119" s="539" t="s">
        <v>2788</v>
      </c>
      <c r="C119" s="584"/>
      <c r="D119" s="584"/>
      <c r="E119" s="584"/>
      <c r="F119" s="584"/>
      <c r="G119" s="584"/>
      <c r="H119" s="584"/>
      <c r="I119" s="584"/>
      <c r="J119" s="584"/>
      <c r="K119" s="585"/>
      <c r="L119" s="586"/>
      <c r="M119" s="587"/>
      <c r="N119" s="1155"/>
      <c r="O119" s="1155"/>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6"/>
      <c r="O120" s="1156"/>
      <c r="P120" s="45"/>
      <c r="Q120" s="505"/>
    </row>
    <row r="121" spans="1:17" ht="15" thickTop="1">
      <c r="A121" s="600"/>
      <c r="B121" s="539" t="s">
        <v>2789</v>
      </c>
      <c r="C121" s="555"/>
      <c r="D121" s="555"/>
      <c r="E121" s="555"/>
      <c r="F121" s="584"/>
      <c r="G121" s="584"/>
      <c r="H121" s="584"/>
      <c r="I121" s="584"/>
      <c r="J121" s="584"/>
      <c r="K121" s="585"/>
      <c r="L121" s="586"/>
      <c r="M121" s="587"/>
      <c r="N121" s="1155"/>
      <c r="O121" s="1155"/>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6"/>
      <c r="O122" s="1156"/>
      <c r="P122" s="45"/>
      <c r="Q122" s="505"/>
    </row>
    <row r="123" spans="1:17" s="472" customFormat="1" ht="15" thickTop="1">
      <c r="A123" s="594"/>
      <c r="B123" s="539" t="s">
        <v>2790</v>
      </c>
      <c r="C123" s="555"/>
      <c r="D123" s="555"/>
      <c r="E123" s="555"/>
      <c r="F123" s="555"/>
      <c r="G123" s="555"/>
      <c r="H123" s="584"/>
      <c r="I123" s="584"/>
      <c r="J123" s="584"/>
      <c r="K123" s="585"/>
      <c r="L123" s="586"/>
      <c r="M123" s="587"/>
      <c r="N123" s="1157"/>
      <c r="O123" s="1157"/>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7"/>
      <c r="O124" s="1157"/>
      <c r="P124" s="559"/>
      <c r="Q124" s="560"/>
    </row>
    <row r="125" spans="1:17" ht="15" thickTop="1">
      <c r="A125" s="600"/>
      <c r="B125" s="539" t="s">
        <v>2791</v>
      </c>
      <c r="C125" s="555"/>
      <c r="D125" s="555"/>
      <c r="E125" s="584"/>
      <c r="F125" s="584"/>
      <c r="G125" s="584"/>
      <c r="H125" s="584"/>
      <c r="I125" s="584"/>
      <c r="J125" s="584"/>
      <c r="K125" s="585"/>
      <c r="L125" s="586"/>
      <c r="M125" s="587"/>
      <c r="N125" s="1155"/>
      <c r="O125" s="1155"/>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6"/>
      <c r="O126" s="1156"/>
      <c r="P126" s="45"/>
      <c r="Q126" s="505"/>
    </row>
    <row r="127" spans="1:17" ht="15" thickTop="1">
      <c r="A127" s="600"/>
      <c r="B127" s="539">
        <f>B43</f>
        <v>111</v>
      </c>
      <c r="C127" s="555"/>
      <c r="D127" s="555"/>
      <c r="E127" s="555"/>
      <c r="F127" s="555"/>
      <c r="G127" s="555"/>
      <c r="H127" s="584"/>
      <c r="I127" s="584"/>
      <c r="J127" s="584"/>
      <c r="K127" s="585"/>
      <c r="L127" s="586"/>
      <c r="M127" s="587"/>
      <c r="N127" s="1155"/>
      <c r="O127" s="1155"/>
      <c r="P127" s="45"/>
      <c r="Q127" s="505"/>
    </row>
    <row r="128" spans="1:17" ht="15.75" thickBot="1">
      <c r="A128" s="535"/>
      <c r="B128" s="544"/>
      <c r="C128" s="561"/>
      <c r="D128" s="561"/>
      <c r="E128" s="561"/>
      <c r="F128" s="561"/>
      <c r="G128" s="537"/>
      <c r="H128" s="537"/>
      <c r="I128" s="537"/>
      <c r="J128" s="537"/>
      <c r="K128" s="537"/>
      <c r="L128" s="537"/>
      <c r="M128" s="538"/>
      <c r="N128" s="1156"/>
      <c r="O128" s="1156"/>
      <c r="P128" s="45"/>
      <c r="Q128" s="505"/>
    </row>
    <row r="129" spans="1:17" ht="15" thickTop="1">
      <c r="A129" s="600"/>
      <c r="B129" s="539">
        <f>B44</f>
        <v>111</v>
      </c>
      <c r="C129" s="524"/>
      <c r="D129" s="524"/>
      <c r="E129" s="524"/>
      <c r="F129" s="524"/>
      <c r="G129" s="584"/>
      <c r="H129" s="584"/>
      <c r="I129" s="584"/>
      <c r="J129" s="584"/>
      <c r="K129" s="585"/>
      <c r="L129" s="586"/>
      <c r="M129" s="587"/>
      <c r="N129" s="1155"/>
      <c r="O129" s="1155"/>
      <c r="P129" s="45"/>
      <c r="Q129" s="505"/>
    </row>
    <row r="130" spans="1:17" ht="15.75" thickBot="1">
      <c r="A130" s="535"/>
      <c r="B130" s="544"/>
      <c r="C130" s="571"/>
      <c r="D130" s="571"/>
      <c r="E130" s="571"/>
      <c r="F130" s="571"/>
      <c r="G130" s="537"/>
      <c r="H130" s="537"/>
      <c r="I130" s="537"/>
      <c r="J130" s="537"/>
      <c r="K130" s="537"/>
      <c r="L130" s="537"/>
      <c r="M130" s="538"/>
      <c r="N130" s="1156"/>
      <c r="O130" s="1156"/>
      <c r="P130" s="45"/>
      <c r="Q130" s="505"/>
    </row>
    <row r="131" spans="1:17" s="472" customFormat="1" ht="15" thickTop="1">
      <c r="A131" s="594"/>
      <c r="B131" s="539">
        <f>B45</f>
        <v>111</v>
      </c>
      <c r="C131" s="524"/>
      <c r="D131" s="524"/>
      <c r="E131" s="524"/>
      <c r="F131" s="524"/>
      <c r="G131" s="556"/>
      <c r="H131" s="556"/>
      <c r="I131" s="556"/>
      <c r="J131" s="556"/>
      <c r="K131" s="556"/>
      <c r="L131" s="557"/>
      <c r="M131" s="558"/>
      <c r="N131" s="1157"/>
      <c r="O131" s="1157"/>
      <c r="P131" s="559"/>
      <c r="Q131" s="560"/>
    </row>
    <row r="132" spans="1:17" s="472" customFormat="1" ht="15.75" thickBot="1">
      <c r="A132" s="569"/>
      <c r="B132" s="701"/>
      <c r="C132" s="571"/>
      <c r="D132" s="571"/>
      <c r="E132" s="571"/>
      <c r="F132" s="571"/>
      <c r="G132" s="592"/>
      <c r="H132" s="592"/>
      <c r="I132" s="592"/>
      <c r="J132" s="592"/>
      <c r="K132" s="592"/>
      <c r="L132" s="592"/>
      <c r="M132" s="593"/>
      <c r="N132" s="1157"/>
      <c r="O132" s="1157"/>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2740</v>
      </c>
      <c r="B1" s="396"/>
      <c r="C1" s="397"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9" customFormat="1" ht="28.5" customHeight="1">
      <c r="A2" s="246" t="s">
        <v>2323</v>
      </c>
      <c r="B2" s="672"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2325</v>
      </c>
      <c r="B3" s="610" t="e">
        <f>ROUND(IF(D3="",B2*10000/'数据-汇总表'!E3,B2*10000/D3),0)</f>
        <v>#DIV/0!</v>
      </c>
      <c r="C3" s="248" t="s">
        <v>2742</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2641</v>
      </c>
      <c r="B4" s="403"/>
      <c r="C4" s="3157" t="s">
        <v>2642</v>
      </c>
      <c r="D4" s="3158"/>
      <c r="E4" s="3159" t="s">
        <v>2643</v>
      </c>
      <c r="F4" s="3160"/>
      <c r="G4" s="3157" t="s">
        <v>2644</v>
      </c>
      <c r="H4" s="3158"/>
      <c r="I4" s="3157" t="s">
        <v>2645</v>
      </c>
      <c r="J4" s="3158"/>
      <c r="K4" s="611" t="s">
        <v>2646</v>
      </c>
      <c r="L4" s="1133"/>
      <c r="M4" s="1134"/>
      <c r="N4" s="1134"/>
      <c r="O4" s="1134"/>
      <c r="P4" s="3227" t="s">
        <v>2647</v>
      </c>
      <c r="Q4" s="3228"/>
      <c r="R4" s="3219" t="s">
        <v>2643</v>
      </c>
      <c r="S4" s="3220"/>
      <c r="T4" s="3219" t="s">
        <v>2644</v>
      </c>
      <c r="U4" s="3220"/>
      <c r="V4" s="3170" t="s">
        <v>2645</v>
      </c>
      <c r="W4" s="3170"/>
      <c r="X4" s="1817"/>
      <c r="Y4" s="3219" t="s">
        <v>2647</v>
      </c>
      <c r="Z4" s="3220"/>
      <c r="AA4" s="3218" t="s">
        <v>2643</v>
      </c>
      <c r="AB4" s="3141" t="s">
        <v>2644</v>
      </c>
      <c r="AC4" s="3218" t="s">
        <v>2645</v>
      </c>
    </row>
    <row r="5" spans="1:29" ht="15">
      <c r="A5" s="405"/>
      <c r="B5" s="406"/>
      <c r="C5" s="3222" t="s">
        <v>2538</v>
      </c>
      <c r="D5" s="3223"/>
      <c r="E5" s="3221" t="s">
        <v>2539</v>
      </c>
      <c r="F5" s="3150"/>
      <c r="G5" s="3222" t="s">
        <v>2540</v>
      </c>
      <c r="H5" s="3223"/>
      <c r="I5" s="3222" t="s">
        <v>2541</v>
      </c>
      <c r="J5" s="3223"/>
      <c r="K5" s="611"/>
      <c r="L5" s="1133"/>
      <c r="M5" s="1134"/>
      <c r="N5" s="1134"/>
      <c r="O5" s="1134"/>
      <c r="P5" s="3229"/>
      <c r="Q5" s="3164"/>
      <c r="R5" s="3147"/>
      <c r="S5" s="3148"/>
      <c r="T5" s="3147"/>
      <c r="U5" s="3148"/>
      <c r="V5" s="3170"/>
      <c r="W5" s="3170"/>
      <c r="X5" s="1817"/>
      <c r="Y5" s="3147"/>
      <c r="Z5" s="3148"/>
      <c r="AA5" s="3141"/>
      <c r="AB5" s="3141"/>
      <c r="AC5" s="3141"/>
    </row>
    <row r="6" spans="1:29" ht="15.75" thickBot="1">
      <c r="A6" s="407"/>
      <c r="B6" s="408"/>
      <c r="C6" s="3239" t="s">
        <v>2793</v>
      </c>
      <c r="D6" s="3240"/>
      <c r="E6" s="3241" t="s">
        <v>2793</v>
      </c>
      <c r="F6" s="3242"/>
      <c r="G6" s="3239" t="s">
        <v>2793</v>
      </c>
      <c r="H6" s="3240"/>
      <c r="I6" s="3239" t="s">
        <v>2793</v>
      </c>
      <c r="J6" s="3240"/>
      <c r="K6" s="611" t="s">
        <v>2543</v>
      </c>
      <c r="L6" s="1133"/>
      <c r="M6" s="1134"/>
      <c r="N6" s="1134"/>
      <c r="O6" s="1134"/>
      <c r="P6" s="3230"/>
      <c r="Q6" s="3166"/>
      <c r="R6" s="3147"/>
      <c r="S6" s="3148"/>
      <c r="T6" s="3167"/>
      <c r="U6" s="3168"/>
      <c r="V6" s="3170"/>
      <c r="W6" s="3170"/>
      <c r="X6" s="1817"/>
      <c r="Y6" s="3167"/>
      <c r="Z6" s="3168"/>
      <c r="AA6" s="3142"/>
      <c r="AB6" s="3142"/>
      <c r="AC6" s="3142"/>
    </row>
    <row r="7" spans="1:29" s="117" customFormat="1" ht="15.75" thickBot="1">
      <c r="A7" s="409" t="s">
        <v>2544</v>
      </c>
      <c r="B7" s="410"/>
      <c r="C7" s="411">
        <f>'数据-取费表'!B2</f>
        <v>43040</v>
      </c>
      <c r="D7" s="412">
        <v>100</v>
      </c>
      <c r="E7" s="413"/>
      <c r="F7" s="414">
        <f>SUMIF(65:65,YEAR(E7)&amp;"-"&amp;INT((MONTH(E7)+2)/3),66:66)</f>
        <v>0</v>
      </c>
      <c r="G7" s="2701"/>
      <c r="H7" s="412">
        <f>SUMIF(65:65,YEAR(G7)&amp;"-"&amp;INT((MONTH(G7)+2)/3),66:66)</f>
        <v>0</v>
      </c>
      <c r="I7" s="2701"/>
      <c r="J7" s="412">
        <f>SUMIF(65:65,YEAR(I7)&amp;"-"&amp;INT((MONTH(I7)+2)/3),66:66)</f>
        <v>0</v>
      </c>
      <c r="K7" s="612"/>
      <c r="L7" s="1135"/>
      <c r="M7" s="1136"/>
      <c r="N7" s="1136"/>
      <c r="O7" s="1136"/>
      <c r="P7" s="3143" t="s">
        <v>2545</v>
      </c>
      <c r="Q7" s="3172"/>
      <c r="R7" s="770" t="s">
        <v>17</v>
      </c>
      <c r="S7" s="771">
        <f t="shared" ref="S7:S15" si="0">F7</f>
        <v>0</v>
      </c>
      <c r="T7" s="770" t="s">
        <v>17</v>
      </c>
      <c r="U7" s="771">
        <f t="shared" ref="U7:U15" si="1">H7</f>
        <v>0</v>
      </c>
      <c r="V7" s="770" t="s">
        <v>17</v>
      </c>
      <c r="W7" s="771">
        <f t="shared" ref="W7:W15" si="2">J7</f>
        <v>0</v>
      </c>
      <c r="X7" s="772"/>
      <c r="Y7" s="3143" t="s">
        <v>2545</v>
      </c>
      <c r="Z7" s="3144"/>
      <c r="AA7" s="773" t="e">
        <f>D7/F7</f>
        <v>#DIV/0!</v>
      </c>
      <c r="AB7" s="773" t="e">
        <f>D7/H7</f>
        <v>#DIV/0!</v>
      </c>
      <c r="AC7" s="773" t="e">
        <f>D7/J7</f>
        <v>#DIV/0!</v>
      </c>
    </row>
    <row r="8" spans="1:29" s="117" customFormat="1" ht="15.75" thickBot="1">
      <c r="A8" s="409" t="s">
        <v>2546</v>
      </c>
      <c r="B8" s="410"/>
      <c r="C8" s="415" t="s">
        <v>2547</v>
      </c>
      <c r="D8" s="412">
        <v>100</v>
      </c>
      <c r="E8" s="415"/>
      <c r="F8" s="414">
        <f>SUMIF(68:68,E8,69:69)-SUMIF(68:68,C8,69:69)+100</f>
        <v>0</v>
      </c>
      <c r="G8" s="415"/>
      <c r="H8" s="412">
        <f>SUMIF(68:68,G8,69:69)-SUMIF(68:68,C8,69:69)+100</f>
        <v>0</v>
      </c>
      <c r="I8" s="415"/>
      <c r="J8" s="412">
        <f>SUMIF(68:68,I8,69:69)-SUMIF(68:68,C8,69:69)+100</f>
        <v>0</v>
      </c>
      <c r="K8" s="612"/>
      <c r="L8" s="1135"/>
      <c r="M8" s="1136"/>
      <c r="N8" s="1136"/>
      <c r="O8" s="1136"/>
      <c r="P8" s="3143" t="s">
        <v>2548</v>
      </c>
      <c r="Q8" s="3144"/>
      <c r="R8" s="770" t="s">
        <v>17</v>
      </c>
      <c r="S8" s="771">
        <f t="shared" si="0"/>
        <v>0</v>
      </c>
      <c r="T8" s="770" t="s">
        <v>17</v>
      </c>
      <c r="U8" s="771">
        <f t="shared" si="1"/>
        <v>0</v>
      </c>
      <c r="V8" s="770" t="s">
        <v>17</v>
      </c>
      <c r="W8" s="771">
        <f t="shared" si="2"/>
        <v>0</v>
      </c>
      <c r="X8" s="772"/>
      <c r="Y8" s="3143" t="s">
        <v>2548</v>
      </c>
      <c r="Z8" s="3144"/>
      <c r="AA8" s="773" t="e">
        <f t="shared" ref="AA8:AA40" si="3">D8/F8</f>
        <v>#DIV/0!</v>
      </c>
      <c r="AB8" s="773" t="e">
        <f t="shared" ref="AB8:AB40" si="4">D8/H8</f>
        <v>#DIV/0!</v>
      </c>
      <c r="AC8" s="773" t="e">
        <f t="shared" ref="AC8:AC40" si="5">D8/J8</f>
        <v>#DIV/0!</v>
      </c>
    </row>
    <row r="9" spans="1:29" s="117" customFormat="1">
      <c r="A9" s="416" t="s">
        <v>2549</v>
      </c>
      <c r="B9" s="71" t="s">
        <v>2550</v>
      </c>
      <c r="C9" s="2704"/>
      <c r="D9" s="135">
        <v>100</v>
      </c>
      <c r="E9" s="2704"/>
      <c r="F9" s="135">
        <f>SUMIF(70:70,E9,71:71)-SUMIF(70:70,C9,71:71)+100</f>
        <v>100</v>
      </c>
      <c r="G9" s="2704"/>
      <c r="H9" s="135">
        <f>SUMIF(70:70,G9,71:71)-SUMIF(70:70,C9,71:71)+100</f>
        <v>100</v>
      </c>
      <c r="I9" s="2704"/>
      <c r="J9" s="135">
        <f>SUMIF(70:70,I9,71:71)-SUMIF(70:70,C9,71:71)+100</f>
        <v>100</v>
      </c>
      <c r="K9" s="612"/>
      <c r="L9" s="1135"/>
      <c r="M9" s="1136"/>
      <c r="N9" s="1136"/>
      <c r="O9" s="1137"/>
      <c r="P9" s="3182" t="s">
        <v>2551</v>
      </c>
      <c r="Q9" s="1799" t="str">
        <f t="shared" ref="Q9:Q15" si="6">B9</f>
        <v>用途</v>
      </c>
      <c r="R9" s="770" t="s">
        <v>17</v>
      </c>
      <c r="S9" s="771">
        <f t="shared" si="0"/>
        <v>100</v>
      </c>
      <c r="T9" s="770" t="s">
        <v>17</v>
      </c>
      <c r="U9" s="771">
        <f t="shared" si="1"/>
        <v>100</v>
      </c>
      <c r="V9" s="770" t="s">
        <v>17</v>
      </c>
      <c r="W9" s="771">
        <f t="shared" si="2"/>
        <v>100</v>
      </c>
      <c r="X9" s="772"/>
      <c r="Y9" s="3017" t="s">
        <v>2552</v>
      </c>
      <c r="Z9" s="55" t="str">
        <f t="shared" ref="Z9:Z15" si="7">Q9</f>
        <v>用途</v>
      </c>
      <c r="AA9" s="773">
        <f t="shared" si="3"/>
        <v>1</v>
      </c>
      <c r="AB9" s="773">
        <f t="shared" si="4"/>
        <v>1</v>
      </c>
      <c r="AC9" s="773">
        <f t="shared" si="5"/>
        <v>1</v>
      </c>
    </row>
    <row r="10" spans="1:29" s="428" customFormat="1" ht="27">
      <c r="A10" s="422"/>
      <c r="B10" s="423" t="s">
        <v>2553</v>
      </c>
      <c r="C10" s="433"/>
      <c r="D10" s="136">
        <v>100</v>
      </c>
      <c r="E10" s="433"/>
      <c r="F10" s="136">
        <f>ROUND(100/'数据-取费表'!G16,0)</f>
        <v>109</v>
      </c>
      <c r="G10" s="433"/>
      <c r="H10" s="136">
        <f>ROUND(100/'数据-取费表'!G16,0)</f>
        <v>109</v>
      </c>
      <c r="I10" s="433"/>
      <c r="J10" s="136">
        <f>ROUND(100/'数据-取费表'!G16,0)</f>
        <v>109</v>
      </c>
      <c r="K10" s="673"/>
      <c r="L10" s="1138"/>
      <c r="M10" s="1139"/>
      <c r="N10" s="1139"/>
      <c r="O10" s="1140"/>
      <c r="P10" s="3182"/>
      <c r="Q10" s="1799" t="str">
        <f t="shared" si="6"/>
        <v>土地使用年限（年）</v>
      </c>
      <c r="R10" s="770" t="s">
        <v>17</v>
      </c>
      <c r="S10" s="771">
        <f t="shared" si="0"/>
        <v>109</v>
      </c>
      <c r="T10" s="770" t="s">
        <v>17</v>
      </c>
      <c r="U10" s="771">
        <f t="shared" si="1"/>
        <v>109</v>
      </c>
      <c r="V10" s="770" t="s">
        <v>17</v>
      </c>
      <c r="W10" s="771">
        <f t="shared" si="2"/>
        <v>109</v>
      </c>
      <c r="X10" s="772"/>
      <c r="Y10" s="3017"/>
      <c r="Z10" s="55" t="str">
        <f t="shared" si="7"/>
        <v>土地使用年限（年）</v>
      </c>
      <c r="AA10" s="773">
        <f t="shared" si="3"/>
        <v>0.91743119266055051</v>
      </c>
      <c r="AB10" s="773">
        <f t="shared" si="4"/>
        <v>0.91743119266055051</v>
      </c>
      <c r="AC10" s="773">
        <f t="shared" si="5"/>
        <v>0.91743119266055051</v>
      </c>
    </row>
    <row r="11" spans="1:29" ht="15">
      <c r="A11" s="429"/>
      <c r="B11" s="423" t="s">
        <v>2554</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1"/>
      <c r="M11" s="1134"/>
      <c r="N11" s="1134"/>
      <c r="O11" s="1142"/>
      <c r="P11" s="3182"/>
      <c r="Q11" s="1799"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2"/>
      <c r="B12" s="2605">
        <v>111</v>
      </c>
      <c r="C12" s="433"/>
      <c r="D12" s="434">
        <v>100</v>
      </c>
      <c r="E12" s="550"/>
      <c r="F12" s="136">
        <f>SUMIF(77:77,E12,78:78)-SUMIF(77:77,C12,78:78)+100</f>
        <v>100</v>
      </c>
      <c r="G12" s="675"/>
      <c r="H12" s="136">
        <f>SUMIF(77:77,G12,78:78)-SUMIF(77:77,C12,78:78)+100</f>
        <v>100</v>
      </c>
      <c r="I12" s="550"/>
      <c r="J12" s="136">
        <f>SUMIF(77:77,I12,78:78)-SUMIF(77:77,C12,78:78)+100</f>
        <v>100</v>
      </c>
      <c r="K12" s="673"/>
      <c r="L12" s="1135"/>
      <c r="M12" s="1136"/>
      <c r="N12" s="1136"/>
      <c r="O12" s="1137"/>
      <c r="P12" s="3182"/>
      <c r="Q12" s="1799">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9"/>
      <c r="B13" s="2605">
        <v>111</v>
      </c>
      <c r="C13" s="435"/>
      <c r="D13" s="436">
        <v>100</v>
      </c>
      <c r="E13" s="550"/>
      <c r="F13" s="136">
        <f>SUMIF(79:79,E13,80:80)-SUMIF(79:79,C13,80:80)+100</f>
        <v>100</v>
      </c>
      <c r="G13" s="675"/>
      <c r="H13" s="436">
        <f>SUMIF(79:79,G13,80:80)-SUMIF(79:79,C13,80:80)+100</f>
        <v>100</v>
      </c>
      <c r="I13" s="550"/>
      <c r="J13" s="436">
        <f>SUMIF(79:79,I13,80:80)-SUMIF(79:79,C13,80:80)+100</f>
        <v>100</v>
      </c>
      <c r="K13" s="673"/>
      <c r="L13" s="1143"/>
      <c r="M13" s="1134"/>
      <c r="N13" s="1134"/>
      <c r="O13" s="1142"/>
      <c r="P13" s="3182"/>
      <c r="Q13" s="1799">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7"/>
      <c r="B14" s="2607">
        <v>111</v>
      </c>
      <c r="C14" s="438"/>
      <c r="D14" s="439">
        <v>100</v>
      </c>
      <c r="E14" s="550"/>
      <c r="F14" s="439">
        <f>SUMIF(81:81,E14,82:82)-SUMIF(81:81,C14,82:82)+100</f>
        <v>100</v>
      </c>
      <c r="G14" s="675"/>
      <c r="H14" s="439">
        <f>SUMIF(81:81,G14,82:82)-SUMIF(81:81,C14,82:82)+100</f>
        <v>100</v>
      </c>
      <c r="I14" s="550"/>
      <c r="J14" s="439">
        <f>SUMIF(81:81,I14,82:82)-SUMIF(81:81,C14,82:82)+100</f>
        <v>100</v>
      </c>
      <c r="K14" s="673"/>
      <c r="L14" s="1143"/>
      <c r="M14" s="1134"/>
      <c r="N14" s="1134"/>
      <c r="O14" s="1142"/>
      <c r="P14" s="3182"/>
      <c r="Q14" s="1799">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1" t="s">
        <v>2555</v>
      </c>
      <c r="B15" s="630" t="s">
        <v>2794</v>
      </c>
      <c r="C15" s="2698"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3"/>
      <c r="M15" s="1134"/>
      <c r="N15" s="1134"/>
      <c r="O15" s="1142"/>
      <c r="P15" s="3175" t="s">
        <v>2556</v>
      </c>
      <c r="Q15" s="1814" t="str">
        <f t="shared" si="6"/>
        <v>产业集聚程度</v>
      </c>
      <c r="R15" s="774" t="s">
        <v>17</v>
      </c>
      <c r="S15" s="775">
        <f t="shared" si="0"/>
        <v>100</v>
      </c>
      <c r="T15" s="774" t="s">
        <v>17</v>
      </c>
      <c r="U15" s="775">
        <f t="shared" si="1"/>
        <v>100</v>
      </c>
      <c r="V15" s="774" t="s">
        <v>17</v>
      </c>
      <c r="W15" s="775">
        <f t="shared" si="2"/>
        <v>100</v>
      </c>
      <c r="X15" s="1817"/>
      <c r="Y15" s="3175" t="s">
        <v>2556</v>
      </c>
      <c r="Z15" s="1818" t="str">
        <f t="shared" si="7"/>
        <v>产业集聚程度</v>
      </c>
      <c r="AA15" s="1815">
        <f t="shared" si="3"/>
        <v>1</v>
      </c>
      <c r="AB15" s="1815">
        <f t="shared" si="4"/>
        <v>1</v>
      </c>
      <c r="AC15" s="1815">
        <f t="shared" si="5"/>
        <v>1</v>
      </c>
    </row>
    <row r="16" spans="1:29" ht="15">
      <c r="A16" s="429"/>
      <c r="B16" s="631"/>
      <c r="C16" s="448"/>
      <c r="D16" s="449"/>
      <c r="E16" s="2616"/>
      <c r="F16" s="449"/>
      <c r="G16" s="2616"/>
      <c r="H16" s="451"/>
      <c r="I16" s="2616"/>
      <c r="J16" s="449"/>
      <c r="K16" s="673"/>
      <c r="L16" s="1143"/>
      <c r="M16" s="1134"/>
      <c r="N16" s="1134"/>
      <c r="O16" s="1142"/>
      <c r="P16" s="3176"/>
      <c r="Q16" s="1814"/>
      <c r="R16" s="774"/>
      <c r="S16" s="775"/>
      <c r="T16" s="774"/>
      <c r="U16" s="775"/>
      <c r="V16" s="774"/>
      <c r="W16" s="775"/>
      <c r="X16" s="1817"/>
      <c r="Y16" s="3176"/>
      <c r="Z16" s="1818"/>
      <c r="AA16" s="1815">
        <v>1</v>
      </c>
      <c r="AB16" s="1815">
        <v>1</v>
      </c>
      <c r="AC16" s="1815">
        <v>1</v>
      </c>
    </row>
    <row r="17" spans="1:29" ht="85.5">
      <c r="A17" s="429"/>
      <c r="B17" s="632" t="s">
        <v>2705</v>
      </c>
      <c r="C17" s="2612"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3"/>
      <c r="M17" s="1134"/>
      <c r="N17" s="1134"/>
      <c r="O17" s="1142"/>
      <c r="P17" s="3176"/>
      <c r="Q17" s="1814" t="str">
        <f>B17</f>
        <v>交通便捷度</v>
      </c>
      <c r="R17" s="774" t="s">
        <v>17</v>
      </c>
      <c r="S17" s="775">
        <f>F17</f>
        <v>100</v>
      </c>
      <c r="T17" s="774" t="s">
        <v>17</v>
      </c>
      <c r="U17" s="775">
        <f>H17</f>
        <v>100</v>
      </c>
      <c r="V17" s="774" t="s">
        <v>17</v>
      </c>
      <c r="W17" s="775">
        <f>J17</f>
        <v>100</v>
      </c>
      <c r="X17" s="1817"/>
      <c r="Y17" s="3176"/>
      <c r="Z17" s="1818" t="str">
        <f>Q17</f>
        <v>交通便捷度</v>
      </c>
      <c r="AA17" s="1815">
        <f t="shared" si="3"/>
        <v>1</v>
      </c>
      <c r="AB17" s="1815">
        <f t="shared" si="4"/>
        <v>1</v>
      </c>
      <c r="AC17" s="1815">
        <f t="shared" si="5"/>
        <v>1</v>
      </c>
    </row>
    <row r="18" spans="1:29" ht="15">
      <c r="A18" s="429"/>
      <c r="B18" s="633"/>
      <c r="C18" s="448"/>
      <c r="D18" s="449"/>
      <c r="E18" s="2610"/>
      <c r="F18" s="449"/>
      <c r="G18" s="2610"/>
      <c r="H18" s="449"/>
      <c r="I18" s="2609"/>
      <c r="J18" s="449"/>
      <c r="K18" s="673"/>
      <c r="L18" s="1143"/>
      <c r="M18" s="1134"/>
      <c r="N18" s="1134"/>
      <c r="O18" s="1142"/>
      <c r="P18" s="3176"/>
      <c r="Q18" s="1814"/>
      <c r="R18" s="774"/>
      <c r="S18" s="775"/>
      <c r="T18" s="774"/>
      <c r="U18" s="775"/>
      <c r="V18" s="774"/>
      <c r="W18" s="775"/>
      <c r="X18" s="1817"/>
      <c r="Y18" s="3176"/>
      <c r="Z18" s="1818"/>
      <c r="AA18" s="1815">
        <v>1</v>
      </c>
      <c r="AB18" s="1815">
        <v>1</v>
      </c>
      <c r="AC18" s="1815">
        <v>1</v>
      </c>
    </row>
    <row r="19" spans="1:29" ht="15">
      <c r="A19" s="429"/>
      <c r="B19" s="632" t="s">
        <v>2744</v>
      </c>
      <c r="C19" s="2612">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3"/>
      <c r="M19" s="1134"/>
      <c r="N19" s="1134"/>
      <c r="O19" s="1142"/>
      <c r="P19" s="3176"/>
      <c r="Q19" s="1814" t="str">
        <f t="shared" ref="Q19:Q33" si="8">B19</f>
        <v>区域土地利用方向</v>
      </c>
      <c r="R19" s="774" t="s">
        <v>17</v>
      </c>
      <c r="S19" s="775">
        <f>F19</f>
        <v>100</v>
      </c>
      <c r="T19" s="774" t="s">
        <v>17</v>
      </c>
      <c r="U19" s="775">
        <f>H19</f>
        <v>100</v>
      </c>
      <c r="V19" s="774" t="s">
        <v>17</v>
      </c>
      <c r="W19" s="775">
        <f>J19</f>
        <v>100</v>
      </c>
      <c r="X19" s="1817"/>
      <c r="Y19" s="3176"/>
      <c r="Z19" s="1818" t="str">
        <f>Q19</f>
        <v>区域土地利用方向</v>
      </c>
      <c r="AA19" s="1815">
        <f t="shared" si="3"/>
        <v>1</v>
      </c>
      <c r="AB19" s="1815">
        <f t="shared" si="4"/>
        <v>1</v>
      </c>
      <c r="AC19" s="1815">
        <f t="shared" si="5"/>
        <v>1</v>
      </c>
    </row>
    <row r="20" spans="1:29" ht="15">
      <c r="A20" s="405"/>
      <c r="B20" s="633"/>
      <c r="C20" s="448"/>
      <c r="D20" s="449"/>
      <c r="E20" s="2610"/>
      <c r="F20" s="449"/>
      <c r="G20" s="2610"/>
      <c r="H20" s="449"/>
      <c r="I20" s="2610"/>
      <c r="J20" s="449"/>
      <c r="K20" s="812"/>
      <c r="L20" s="1143"/>
      <c r="M20" s="1134"/>
      <c r="N20" s="1134"/>
      <c r="O20" s="1142"/>
      <c r="P20" s="3176"/>
      <c r="Q20" s="1814"/>
      <c r="R20" s="774"/>
      <c r="S20" s="775"/>
      <c r="T20" s="774"/>
      <c r="U20" s="775"/>
      <c r="V20" s="774"/>
      <c r="W20" s="775"/>
      <c r="X20" s="1817"/>
      <c r="Y20" s="3176"/>
      <c r="Z20" s="1818"/>
      <c r="AA20" s="1815"/>
      <c r="AB20" s="1815"/>
      <c r="AC20" s="1815"/>
    </row>
    <row r="21" spans="1:29" ht="71.25">
      <c r="A21" s="405"/>
      <c r="B21" s="632" t="s">
        <v>2795</v>
      </c>
      <c r="C21" s="2612"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3"/>
      <c r="M21" s="1134"/>
      <c r="N21" s="1134"/>
      <c r="O21" s="1142"/>
      <c r="P21" s="3176"/>
      <c r="Q21" s="1814" t="str">
        <f t="shared" si="8"/>
        <v>环境状况</v>
      </c>
      <c r="R21" s="774" t="s">
        <v>17</v>
      </c>
      <c r="S21" s="775">
        <f>F21</f>
        <v>100</v>
      </c>
      <c r="T21" s="774" t="s">
        <v>17</v>
      </c>
      <c r="U21" s="775">
        <f>H21</f>
        <v>100</v>
      </c>
      <c r="V21" s="774" t="s">
        <v>17</v>
      </c>
      <c r="W21" s="775">
        <f>J21</f>
        <v>100</v>
      </c>
      <c r="X21" s="1817"/>
      <c r="Y21" s="3176"/>
      <c r="Z21" s="1818" t="str">
        <f>Q21</f>
        <v>环境状况</v>
      </c>
      <c r="AA21" s="1815">
        <f t="shared" si="3"/>
        <v>1</v>
      </c>
      <c r="AB21" s="1815">
        <f t="shared" si="4"/>
        <v>1</v>
      </c>
      <c r="AC21" s="1815">
        <f t="shared" si="5"/>
        <v>1</v>
      </c>
    </row>
    <row r="22" spans="1:29" ht="15">
      <c r="A22" s="405"/>
      <c r="B22" s="633"/>
      <c r="C22" s="448"/>
      <c r="D22" s="449"/>
      <c r="E22" s="2616"/>
      <c r="F22" s="449"/>
      <c r="G22" s="2616"/>
      <c r="H22" s="449"/>
      <c r="I22" s="448"/>
      <c r="J22" s="449"/>
      <c r="K22" s="673"/>
      <c r="L22" s="1143"/>
      <c r="M22" s="1134"/>
      <c r="N22" s="1134"/>
      <c r="O22" s="1142"/>
      <c r="P22" s="3176"/>
      <c r="Q22" s="1814"/>
      <c r="R22" s="774"/>
      <c r="S22" s="775"/>
      <c r="T22" s="774"/>
      <c r="U22" s="775"/>
      <c r="V22" s="774"/>
      <c r="W22" s="775"/>
      <c r="X22" s="1817"/>
      <c r="Y22" s="3176"/>
      <c r="Z22" s="1818"/>
      <c r="AA22" s="1815">
        <v>1</v>
      </c>
      <c r="AB22" s="1815">
        <v>1</v>
      </c>
      <c r="AC22" s="1815">
        <v>1</v>
      </c>
    </row>
    <row r="23" spans="1:29" s="117" customFormat="1" ht="42.75">
      <c r="A23" s="650"/>
      <c r="B23" s="634" t="s">
        <v>2650</v>
      </c>
      <c r="C23" s="2612"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5"/>
      <c r="M23" s="1136"/>
      <c r="N23" s="1136"/>
      <c r="O23" s="1137"/>
      <c r="P23" s="3176"/>
      <c r="Q23" s="1799" t="str">
        <f t="shared" si="8"/>
        <v>公共配套设施</v>
      </c>
      <c r="R23" s="770" t="s">
        <v>17</v>
      </c>
      <c r="S23" s="771">
        <f>F23</f>
        <v>100</v>
      </c>
      <c r="T23" s="770" t="s">
        <v>17</v>
      </c>
      <c r="U23" s="771">
        <f>H23</f>
        <v>100</v>
      </c>
      <c r="V23" s="770" t="s">
        <v>17</v>
      </c>
      <c r="W23" s="771">
        <f>J23</f>
        <v>100</v>
      </c>
      <c r="X23" s="772"/>
      <c r="Y23" s="3176"/>
      <c r="Z23" s="55" t="str">
        <f>Q23</f>
        <v>公共配套设施</v>
      </c>
      <c r="AA23" s="1815">
        <f>D23/F23</f>
        <v>1</v>
      </c>
      <c r="AB23" s="1815">
        <f>D23/H23</f>
        <v>1</v>
      </c>
      <c r="AC23" s="1815">
        <f>D23/J23</f>
        <v>1</v>
      </c>
    </row>
    <row r="24" spans="1:29" s="117" customFormat="1" ht="15">
      <c r="A24" s="650"/>
      <c r="B24" s="633"/>
      <c r="C24" s="2705"/>
      <c r="D24" s="449"/>
      <c r="E24" s="2616"/>
      <c r="F24" s="449"/>
      <c r="G24" s="2616"/>
      <c r="H24" s="449"/>
      <c r="I24" s="448"/>
      <c r="J24" s="449"/>
      <c r="K24" s="673"/>
      <c r="L24" s="1135"/>
      <c r="M24" s="1136"/>
      <c r="N24" s="1136"/>
      <c r="O24" s="1137"/>
      <c r="P24" s="3176"/>
      <c r="Q24" s="1799"/>
      <c r="R24" s="770"/>
      <c r="S24" s="771"/>
      <c r="T24" s="770"/>
      <c r="U24" s="771"/>
      <c r="V24" s="770"/>
      <c r="W24" s="771"/>
      <c r="X24" s="772"/>
      <c r="Y24" s="3176"/>
      <c r="Z24" s="55"/>
      <c r="AA24" s="773">
        <v>1</v>
      </c>
      <c r="AB24" s="773">
        <v>1</v>
      </c>
      <c r="AC24" s="773">
        <v>1</v>
      </c>
    </row>
    <row r="25" spans="1:29" s="117" customFormat="1" ht="28.5">
      <c r="A25" s="650"/>
      <c r="B25" s="634" t="s">
        <v>2651</v>
      </c>
      <c r="C25" s="2612"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5"/>
      <c r="M25" s="1136"/>
      <c r="N25" s="1136"/>
      <c r="O25" s="1137"/>
      <c r="P25" s="3176"/>
      <c r="Q25" s="1799" t="str">
        <f t="shared" ref="Q25" si="9">B25</f>
        <v>基础设施水平</v>
      </c>
      <c r="R25" s="770" t="s">
        <v>17</v>
      </c>
      <c r="S25" s="771">
        <f>F25</f>
        <v>100</v>
      </c>
      <c r="T25" s="770" t="s">
        <v>17</v>
      </c>
      <c r="U25" s="771">
        <f>H25</f>
        <v>100</v>
      </c>
      <c r="V25" s="770" t="s">
        <v>17</v>
      </c>
      <c r="W25" s="771">
        <f>J25</f>
        <v>100</v>
      </c>
      <c r="X25" s="772"/>
      <c r="Y25" s="3176"/>
      <c r="Z25" s="55" t="str">
        <f>Q25</f>
        <v>基础设施水平</v>
      </c>
      <c r="AA25" s="1815">
        <f>D25/F25</f>
        <v>1</v>
      </c>
      <c r="AB25" s="1815">
        <f>D25/H25</f>
        <v>1</v>
      </c>
      <c r="AC25" s="1815">
        <f>D25/J25</f>
        <v>1</v>
      </c>
    </row>
    <row r="26" spans="1:29" s="117" customFormat="1" ht="15">
      <c r="A26" s="650"/>
      <c r="B26" s="633"/>
      <c r="C26" s="2705"/>
      <c r="D26" s="449"/>
      <c r="E26" s="2706"/>
      <c r="F26" s="449"/>
      <c r="G26" s="2706"/>
      <c r="H26" s="449"/>
      <c r="I26" s="2706"/>
      <c r="J26" s="449"/>
      <c r="K26" s="673"/>
      <c r="L26" s="1135"/>
      <c r="M26" s="1136"/>
      <c r="N26" s="1136"/>
      <c r="O26" s="1137"/>
      <c r="P26" s="3176"/>
      <c r="Q26" s="1799"/>
      <c r="R26" s="770"/>
      <c r="S26" s="771"/>
      <c r="T26" s="770"/>
      <c r="U26" s="771"/>
      <c r="V26" s="770"/>
      <c r="W26" s="771"/>
      <c r="X26" s="772"/>
      <c r="Y26" s="3176"/>
      <c r="Z26" s="55"/>
      <c r="AA26" s="773">
        <v>1</v>
      </c>
      <c r="AB26" s="773">
        <v>1</v>
      </c>
      <c r="AC26" s="773">
        <v>1</v>
      </c>
    </row>
    <row r="27" spans="1:29" ht="15">
      <c r="A27" s="429"/>
      <c r="B27" s="633" t="s">
        <v>2652</v>
      </c>
      <c r="C27" s="617"/>
      <c r="D27" s="436">
        <v>100</v>
      </c>
      <c r="E27" s="635"/>
      <c r="F27" s="436">
        <f>SUMIF(95:95,E27,96:96)-SUMIF(95:95,C27,96:96)+100</f>
        <v>100</v>
      </c>
      <c r="G27" s="635"/>
      <c r="H27" s="436">
        <f>SUMIF(95:95,G27,96:96)-SUMIF(95:95,C27,96:96)+100</f>
        <v>100</v>
      </c>
      <c r="I27" s="635"/>
      <c r="J27" s="436">
        <f>SUMIF(95:95,I27,96:96)-SUMIF(95:95,C27,96:96)+100</f>
        <v>100</v>
      </c>
      <c r="K27" s="674"/>
      <c r="L27" s="1143"/>
      <c r="M27" s="1134"/>
      <c r="N27" s="1134"/>
      <c r="O27" s="1142"/>
      <c r="P27" s="3176"/>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76"/>
      <c r="Z27" s="1818" t="str">
        <f t="shared" ref="Z27:Z40" si="13">Q27</f>
        <v>临街状况</v>
      </c>
      <c r="AA27" s="1815">
        <f t="shared" si="3"/>
        <v>1</v>
      </c>
      <c r="AB27" s="1815">
        <f t="shared" si="4"/>
        <v>1</v>
      </c>
      <c r="AC27" s="1815">
        <f t="shared" si="5"/>
        <v>1</v>
      </c>
    </row>
    <row r="28" spans="1:29" ht="27">
      <c r="A28" s="429"/>
      <c r="B28" s="634" t="s">
        <v>2687</v>
      </c>
      <c r="C28" s="2718">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3"/>
      <c r="M28" s="1134"/>
      <c r="N28" s="1134"/>
      <c r="O28" s="1142"/>
      <c r="P28" s="3176"/>
      <c r="Q28" s="1814" t="str">
        <f t="shared" si="8"/>
        <v>毗邻道路的类型与等级</v>
      </c>
      <c r="R28" s="774" t="s">
        <v>17</v>
      </c>
      <c r="S28" s="775">
        <f t="shared" si="10"/>
        <v>100</v>
      </c>
      <c r="T28" s="774" t="s">
        <v>17</v>
      </c>
      <c r="U28" s="775">
        <f t="shared" si="11"/>
        <v>100</v>
      </c>
      <c r="V28" s="774" t="s">
        <v>17</v>
      </c>
      <c r="W28" s="775">
        <f t="shared" si="12"/>
        <v>100</v>
      </c>
      <c r="X28" s="1817"/>
      <c r="Y28" s="3176"/>
      <c r="Z28" s="1818" t="str">
        <f t="shared" si="13"/>
        <v>毗邻道路的类型与等级</v>
      </c>
      <c r="AA28" s="1815">
        <f t="shared" si="3"/>
        <v>1</v>
      </c>
      <c r="AB28" s="1815">
        <f t="shared" si="4"/>
        <v>1</v>
      </c>
      <c r="AC28" s="1815">
        <f t="shared" si="5"/>
        <v>1</v>
      </c>
    </row>
    <row r="29" spans="1:29" ht="15">
      <c r="A29" s="429"/>
      <c r="B29" s="633"/>
      <c r="C29" s="448"/>
      <c r="D29" s="449"/>
      <c r="E29" s="2616"/>
      <c r="F29" s="449"/>
      <c r="G29" s="2616"/>
      <c r="H29" s="449"/>
      <c r="I29" s="2616"/>
      <c r="J29" s="449"/>
      <c r="K29" s="614"/>
      <c r="L29" s="1143"/>
      <c r="M29" s="1134"/>
      <c r="N29" s="1134"/>
      <c r="O29" s="1142"/>
      <c r="P29" s="3176"/>
      <c r="Q29" s="1814"/>
      <c r="R29" s="774"/>
      <c r="S29" s="775"/>
      <c r="T29" s="774"/>
      <c r="U29" s="775"/>
      <c r="V29" s="774"/>
      <c r="W29" s="775"/>
      <c r="X29" s="1817"/>
      <c r="Y29" s="3176"/>
      <c r="Z29" s="1818"/>
      <c r="AA29" s="1815">
        <v>1</v>
      </c>
      <c r="AB29" s="1815">
        <v>1</v>
      </c>
      <c r="AC29" s="1815">
        <v>1</v>
      </c>
    </row>
    <row r="30" spans="1:29" ht="15">
      <c r="A30" s="429"/>
      <c r="B30" s="655" t="s">
        <v>2746</v>
      </c>
      <c r="C30" s="1392">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3"/>
      <c r="M30" s="1134"/>
      <c r="N30" s="1134"/>
      <c r="O30" s="1142"/>
      <c r="P30" s="3176"/>
      <c r="Q30" s="1814" t="str">
        <f t="shared" si="8"/>
        <v>土地级别</v>
      </c>
      <c r="R30" s="774" t="s">
        <v>17</v>
      </c>
      <c r="S30" s="775">
        <f t="shared" si="10"/>
        <v>100</v>
      </c>
      <c r="T30" s="774" t="s">
        <v>17</v>
      </c>
      <c r="U30" s="775">
        <f t="shared" si="11"/>
        <v>100</v>
      </c>
      <c r="V30" s="774" t="s">
        <v>17</v>
      </c>
      <c r="W30" s="775">
        <f t="shared" si="12"/>
        <v>100</v>
      </c>
      <c r="X30" s="1817"/>
      <c r="Y30" s="3176"/>
      <c r="Z30" s="1818" t="str">
        <f t="shared" si="13"/>
        <v>土地级别</v>
      </c>
      <c r="AA30" s="1815">
        <f t="shared" si="3"/>
        <v>1</v>
      </c>
      <c r="AB30" s="1815">
        <f t="shared" si="4"/>
        <v>1</v>
      </c>
      <c r="AC30" s="1815">
        <f t="shared" si="5"/>
        <v>1</v>
      </c>
    </row>
    <row r="31" spans="1:29" ht="15">
      <c r="A31" s="405"/>
      <c r="B31" s="2683">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3"/>
      <c r="M31" s="1134"/>
      <c r="N31" s="1134"/>
      <c r="O31" s="1142"/>
      <c r="P31" s="3176"/>
      <c r="Q31" s="1814">
        <f t="shared" si="8"/>
        <v>111</v>
      </c>
      <c r="R31" s="774" t="s">
        <v>17</v>
      </c>
      <c r="S31" s="775">
        <f t="shared" si="10"/>
        <v>100</v>
      </c>
      <c r="T31" s="774" t="s">
        <v>17</v>
      </c>
      <c r="U31" s="775">
        <f t="shared" si="11"/>
        <v>100</v>
      </c>
      <c r="V31" s="774" t="s">
        <v>17</v>
      </c>
      <c r="W31" s="775">
        <f t="shared" si="12"/>
        <v>100</v>
      </c>
      <c r="X31" s="1817"/>
      <c r="Y31" s="3176"/>
      <c r="Z31" s="1818">
        <f t="shared" si="13"/>
        <v>111</v>
      </c>
      <c r="AA31" s="1815">
        <f t="shared" si="3"/>
        <v>1</v>
      </c>
      <c r="AB31" s="1815">
        <f t="shared" si="4"/>
        <v>1</v>
      </c>
      <c r="AC31" s="1815">
        <f t="shared" si="5"/>
        <v>1</v>
      </c>
    </row>
    <row r="32" spans="1:29" ht="15">
      <c r="A32" s="676"/>
      <c r="B32" s="2719">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3"/>
      <c r="M32" s="1134"/>
      <c r="N32" s="1134"/>
      <c r="O32" s="1142"/>
      <c r="P32" s="3234" t="s">
        <v>2561</v>
      </c>
      <c r="Q32" s="1814">
        <f t="shared" si="8"/>
        <v>111</v>
      </c>
      <c r="R32" s="774" t="s">
        <v>17</v>
      </c>
      <c r="S32" s="775">
        <f t="shared" si="10"/>
        <v>100</v>
      </c>
      <c r="T32" s="774" t="s">
        <v>17</v>
      </c>
      <c r="U32" s="775">
        <f t="shared" si="11"/>
        <v>100</v>
      </c>
      <c r="V32" s="774" t="s">
        <v>17</v>
      </c>
      <c r="W32" s="775">
        <f t="shared" si="12"/>
        <v>100</v>
      </c>
      <c r="X32" s="1817"/>
      <c r="Y32" s="3180" t="s">
        <v>2561</v>
      </c>
      <c r="Z32" s="1818">
        <f t="shared" si="13"/>
        <v>111</v>
      </c>
      <c r="AA32" s="1815">
        <f t="shared" si="3"/>
        <v>1</v>
      </c>
      <c r="AB32" s="1815">
        <f t="shared" si="4"/>
        <v>1</v>
      </c>
      <c r="AC32" s="1815">
        <f t="shared" si="5"/>
        <v>1</v>
      </c>
    </row>
    <row r="33" spans="1:29" s="472" customFormat="1" ht="15.75" thickBot="1">
      <c r="A33" s="677"/>
      <c r="B33" s="2720">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1"/>
      <c r="M33" s="1144"/>
      <c r="N33" s="1144"/>
      <c r="O33" s="1145"/>
      <c r="P33" s="3180"/>
      <c r="Q33" s="1814">
        <f t="shared" si="8"/>
        <v>111</v>
      </c>
      <c r="R33" s="777" t="s">
        <v>17</v>
      </c>
      <c r="S33" s="778">
        <f t="shared" si="10"/>
        <v>100</v>
      </c>
      <c r="T33" s="777" t="s">
        <v>17</v>
      </c>
      <c r="U33" s="778">
        <f t="shared" si="11"/>
        <v>100</v>
      </c>
      <c r="V33" s="777" t="s">
        <v>17</v>
      </c>
      <c r="W33" s="778">
        <f t="shared" si="12"/>
        <v>100</v>
      </c>
      <c r="X33" s="779"/>
      <c r="Y33" s="3180"/>
      <c r="Z33" s="780">
        <f t="shared" si="13"/>
        <v>111</v>
      </c>
      <c r="AA33" s="1815">
        <f t="shared" si="3"/>
        <v>1</v>
      </c>
      <c r="AB33" s="1815">
        <f t="shared" si="4"/>
        <v>1</v>
      </c>
      <c r="AC33" s="1815">
        <f t="shared" si="5"/>
        <v>1</v>
      </c>
    </row>
    <row r="34" spans="1:29" ht="15">
      <c r="A34" s="441" t="s">
        <v>2559</v>
      </c>
      <c r="B34" s="457" t="s">
        <v>2747</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3"/>
      <c r="M34" s="1134"/>
      <c r="N34" s="1134"/>
      <c r="O34" s="1142"/>
      <c r="P34" s="3180"/>
      <c r="Q34" s="1814" t="str">
        <f>B34</f>
        <v>宗地面积</v>
      </c>
      <c r="R34" s="774" t="s">
        <v>17</v>
      </c>
      <c r="S34" s="775" t="e">
        <f t="shared" si="10"/>
        <v>#N/A</v>
      </c>
      <c r="T34" s="774" t="s">
        <v>17</v>
      </c>
      <c r="U34" s="775" t="e">
        <f t="shared" si="11"/>
        <v>#N/A</v>
      </c>
      <c r="V34" s="774" t="s">
        <v>17</v>
      </c>
      <c r="W34" s="775" t="e">
        <f t="shared" si="12"/>
        <v>#N/A</v>
      </c>
      <c r="X34" s="1817"/>
      <c r="Y34" s="3180"/>
      <c r="Z34" s="1818" t="str">
        <f t="shared" si="13"/>
        <v>宗地面积</v>
      </c>
      <c r="AA34" s="1815" t="e">
        <f t="shared" si="3"/>
        <v>#N/A</v>
      </c>
      <c r="AB34" s="1815" t="e">
        <f t="shared" si="4"/>
        <v>#N/A</v>
      </c>
      <c r="AC34" s="1815" t="e">
        <f t="shared" si="5"/>
        <v>#N/A</v>
      </c>
    </row>
    <row r="35" spans="1:29" ht="15">
      <c r="A35" s="473"/>
      <c r="B35" s="423" t="s">
        <v>2748</v>
      </c>
      <c r="C35" s="2618"/>
      <c r="D35" s="436">
        <v>100</v>
      </c>
      <c r="E35" s="2618"/>
      <c r="F35" s="436">
        <f>SUMIF(110:110,E35,111:111)-SUMIF(110:110,C35,111:111)+100</f>
        <v>100</v>
      </c>
      <c r="G35" s="2618"/>
      <c r="H35" s="436">
        <f>SUMIF(110:110,G35,111:111)-SUMIF(110:110,C35,111:111)+100</f>
        <v>100</v>
      </c>
      <c r="I35" s="2618"/>
      <c r="J35" s="436">
        <f>SUMIF(110:110,I35,111:111)-SUMIF(110:110,C35,111:111)+100</f>
        <v>100</v>
      </c>
      <c r="K35" s="613"/>
      <c r="L35" s="1143"/>
      <c r="M35" s="1134"/>
      <c r="N35" s="1134"/>
      <c r="O35" s="1142"/>
      <c r="P35" s="3180"/>
      <c r="Q35" s="1814" t="str">
        <f t="shared" ref="Q35:Q40" si="14">B35</f>
        <v>宗地形状</v>
      </c>
      <c r="R35" s="774" t="s">
        <v>17</v>
      </c>
      <c r="S35" s="775">
        <f t="shared" si="10"/>
        <v>100</v>
      </c>
      <c r="T35" s="774" t="s">
        <v>17</v>
      </c>
      <c r="U35" s="775">
        <f t="shared" si="11"/>
        <v>100</v>
      </c>
      <c r="V35" s="774" t="s">
        <v>17</v>
      </c>
      <c r="W35" s="775">
        <f t="shared" si="12"/>
        <v>100</v>
      </c>
      <c r="X35" s="1817"/>
      <c r="Y35" s="3180"/>
      <c r="Z35" s="1818" t="str">
        <f t="shared" si="13"/>
        <v>宗地形状</v>
      </c>
      <c r="AA35" s="1815">
        <f t="shared" si="3"/>
        <v>1</v>
      </c>
      <c r="AB35" s="1815">
        <f t="shared" si="4"/>
        <v>1</v>
      </c>
      <c r="AC35" s="1815">
        <f t="shared" si="5"/>
        <v>1</v>
      </c>
    </row>
    <row r="36" spans="1:29" s="117" customFormat="1" ht="15">
      <c r="A36" s="474"/>
      <c r="B36" s="423" t="s">
        <v>2750</v>
      </c>
      <c r="C36" s="2707"/>
      <c r="D36" s="136">
        <v>100</v>
      </c>
      <c r="E36" s="2707"/>
      <c r="F36" s="436">
        <f>SUMIF(112:112,E36,113:113)-SUMIF(112:112,C36,113:113)+100</f>
        <v>100</v>
      </c>
      <c r="G36" s="2707"/>
      <c r="H36" s="436">
        <f>SUMIF(112:112,G36,113:113)-SUMIF(112:112,C36,113:113)+100</f>
        <v>100</v>
      </c>
      <c r="I36" s="2707"/>
      <c r="J36" s="436">
        <f>SUMIF(112:112,I36,113:113)-SUMIF(112:112,C36,113:113)+100</f>
        <v>100</v>
      </c>
      <c r="K36" s="613"/>
      <c r="L36" s="1135"/>
      <c r="M36" s="1136"/>
      <c r="N36" s="1136"/>
      <c r="O36" s="1137"/>
      <c r="P36" s="3180"/>
      <c r="Q36" s="1814" t="str">
        <f t="shared" si="14"/>
        <v>宗地开发程度</v>
      </c>
      <c r="R36" s="770" t="s">
        <v>17</v>
      </c>
      <c r="S36" s="771">
        <f t="shared" si="10"/>
        <v>100</v>
      </c>
      <c r="T36" s="770" t="s">
        <v>17</v>
      </c>
      <c r="U36" s="771">
        <f t="shared" si="11"/>
        <v>100</v>
      </c>
      <c r="V36" s="770" t="s">
        <v>17</v>
      </c>
      <c r="W36" s="771">
        <f t="shared" si="12"/>
        <v>100</v>
      </c>
      <c r="X36" s="772"/>
      <c r="Y36" s="3180"/>
      <c r="Z36" s="55" t="str">
        <f t="shared" si="13"/>
        <v>宗地开发程度</v>
      </c>
      <c r="AA36" s="773">
        <f t="shared" si="3"/>
        <v>1</v>
      </c>
      <c r="AB36" s="773">
        <f t="shared" si="4"/>
        <v>1</v>
      </c>
      <c r="AC36" s="773">
        <f t="shared" si="5"/>
        <v>1</v>
      </c>
    </row>
    <row r="37" spans="1:29" ht="15">
      <c r="A37" s="473"/>
      <c r="B37" s="423" t="s">
        <v>2751</v>
      </c>
      <c r="C37" s="2618"/>
      <c r="D37" s="436">
        <v>100</v>
      </c>
      <c r="E37" s="2618"/>
      <c r="F37" s="436">
        <f>SUMIF(114:114,E37,115:115)-SUMIF(114:114,C37,115:115)+100</f>
        <v>100</v>
      </c>
      <c r="G37" s="2618"/>
      <c r="H37" s="436">
        <f>SUMIF(114:114,G37,115:115)-SUMIF(114:114,C37,115:115)+100</f>
        <v>100</v>
      </c>
      <c r="I37" s="2618"/>
      <c r="J37" s="436">
        <f>SUMIF(114:114,I37,115:115)-SUMIF(114:114,C37,115:115)+100</f>
        <v>100</v>
      </c>
      <c r="K37" s="613"/>
      <c r="L37" s="1143"/>
      <c r="M37" s="1134"/>
      <c r="N37" s="1134"/>
      <c r="O37" s="1142"/>
      <c r="P37" s="3180" t="s">
        <v>2561</v>
      </c>
      <c r="Q37" s="1814" t="str">
        <f t="shared" si="14"/>
        <v>工程地质条件</v>
      </c>
      <c r="R37" s="774" t="s">
        <v>17</v>
      </c>
      <c r="S37" s="775">
        <f t="shared" si="10"/>
        <v>100</v>
      </c>
      <c r="T37" s="774" t="s">
        <v>17</v>
      </c>
      <c r="U37" s="775">
        <f t="shared" si="11"/>
        <v>100</v>
      </c>
      <c r="V37" s="774" t="s">
        <v>17</v>
      </c>
      <c r="W37" s="775">
        <f t="shared" si="12"/>
        <v>100</v>
      </c>
      <c r="X37" s="1817"/>
      <c r="Y37" s="3180" t="s">
        <v>2561</v>
      </c>
      <c r="Z37" s="1818" t="str">
        <f t="shared" si="13"/>
        <v>工程地质条件</v>
      </c>
      <c r="AA37" s="1815">
        <f t="shared" si="3"/>
        <v>1</v>
      </c>
      <c r="AB37" s="1815">
        <f t="shared" si="4"/>
        <v>1</v>
      </c>
      <c r="AC37" s="1815">
        <f t="shared" si="5"/>
        <v>1</v>
      </c>
    </row>
    <row r="38" spans="1:29" ht="15">
      <c r="A38" s="473"/>
      <c r="B38" s="1390">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3"/>
      <c r="M38" s="1134"/>
      <c r="N38" s="1134"/>
      <c r="O38" s="1142"/>
      <c r="P38" s="3180"/>
      <c r="Q38" s="1814">
        <f t="shared" si="14"/>
        <v>111</v>
      </c>
      <c r="R38" s="774" t="s">
        <v>17</v>
      </c>
      <c r="S38" s="775">
        <f t="shared" si="10"/>
        <v>100</v>
      </c>
      <c r="T38" s="774" t="s">
        <v>17</v>
      </c>
      <c r="U38" s="775">
        <f t="shared" si="11"/>
        <v>100</v>
      </c>
      <c r="V38" s="774" t="s">
        <v>17</v>
      </c>
      <c r="W38" s="775">
        <f t="shared" si="12"/>
        <v>100</v>
      </c>
      <c r="X38" s="1817"/>
      <c r="Y38" s="3180"/>
      <c r="Z38" s="1818">
        <f t="shared" si="13"/>
        <v>111</v>
      </c>
      <c r="AA38" s="1815">
        <f t="shared" si="3"/>
        <v>1</v>
      </c>
      <c r="AB38" s="1815">
        <f t="shared" si="4"/>
        <v>1</v>
      </c>
      <c r="AC38" s="1815">
        <f t="shared" si="5"/>
        <v>1</v>
      </c>
    </row>
    <row r="39" spans="1:29" ht="15">
      <c r="A39" s="473"/>
      <c r="B39" s="1390">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3"/>
      <c r="M39" s="1134"/>
      <c r="N39" s="1134"/>
      <c r="O39" s="1142"/>
      <c r="P39" s="3180"/>
      <c r="Q39" s="1814">
        <f t="shared" si="14"/>
        <v>111</v>
      </c>
      <c r="R39" s="774" t="s">
        <v>17</v>
      </c>
      <c r="S39" s="775">
        <f t="shared" si="10"/>
        <v>100</v>
      </c>
      <c r="T39" s="774" t="s">
        <v>17</v>
      </c>
      <c r="U39" s="775">
        <f t="shared" si="11"/>
        <v>100</v>
      </c>
      <c r="V39" s="774" t="s">
        <v>17</v>
      </c>
      <c r="W39" s="775">
        <f t="shared" si="12"/>
        <v>100</v>
      </c>
      <c r="X39" s="1817"/>
      <c r="Y39" s="3180"/>
      <c r="Z39" s="1818">
        <f t="shared" si="13"/>
        <v>111</v>
      </c>
      <c r="AA39" s="1815">
        <f t="shared" si="3"/>
        <v>1</v>
      </c>
      <c r="AB39" s="1815">
        <f t="shared" si="4"/>
        <v>1</v>
      </c>
      <c r="AC39" s="1815">
        <f t="shared" si="5"/>
        <v>1</v>
      </c>
    </row>
    <row r="40" spans="1:29" s="472" customFormat="1" ht="15.75" thickBot="1">
      <c r="A40" s="469"/>
      <c r="B40" s="1390">
        <v>111</v>
      </c>
      <c r="C40" s="2708"/>
      <c r="D40" s="137">
        <v>100</v>
      </c>
      <c r="E40" s="675"/>
      <c r="F40" s="439">
        <f>SUMIF(120:120,E40,121:121)-SUMIF(120:120,C40,121:121)+100</f>
        <v>100</v>
      </c>
      <c r="G40" s="675"/>
      <c r="H40" s="439">
        <f>SUMIF(120:120,G40,121:121)-SUMIF(120:120,C40,121:121)+100</f>
        <v>100</v>
      </c>
      <c r="I40" s="550"/>
      <c r="J40" s="439">
        <f>SUMIF(120:120,I40,121:121)-SUMIF(120:120,C40,121:121)+100</f>
        <v>100</v>
      </c>
      <c r="K40" s="682"/>
      <c r="L40" s="1141"/>
      <c r="M40" s="1144"/>
      <c r="N40" s="1144"/>
      <c r="O40" s="1145"/>
      <c r="P40" s="3180"/>
      <c r="Q40" s="1814">
        <f t="shared" si="14"/>
        <v>111</v>
      </c>
      <c r="R40" s="777" t="s">
        <v>17</v>
      </c>
      <c r="S40" s="778">
        <f t="shared" si="10"/>
        <v>100</v>
      </c>
      <c r="T40" s="777" t="s">
        <v>17</v>
      </c>
      <c r="U40" s="778">
        <f t="shared" si="11"/>
        <v>100</v>
      </c>
      <c r="V40" s="777" t="s">
        <v>17</v>
      </c>
      <c r="W40" s="778">
        <f t="shared" si="12"/>
        <v>100</v>
      </c>
      <c r="X40" s="779"/>
      <c r="Y40" s="3180"/>
      <c r="Z40" s="780">
        <f t="shared" si="13"/>
        <v>111</v>
      </c>
      <c r="AA40" s="1815">
        <f t="shared" si="3"/>
        <v>1</v>
      </c>
      <c r="AB40" s="1815">
        <f t="shared" si="4"/>
        <v>1</v>
      </c>
      <c r="AC40" s="1815">
        <f t="shared" si="5"/>
        <v>1</v>
      </c>
    </row>
    <row r="41" spans="1:29" ht="15">
      <c r="A41" s="480" t="s">
        <v>2716</v>
      </c>
      <c r="B41" s="2709" t="s">
        <v>2796</v>
      </c>
      <c r="C41" s="683" t="s">
        <v>1</v>
      </c>
      <c r="D41" s="482"/>
      <c r="E41" s="483"/>
      <c r="F41" s="484"/>
      <c r="G41" s="485"/>
      <c r="H41" s="486"/>
      <c r="I41" s="483"/>
      <c r="J41" s="486"/>
      <c r="K41" s="783"/>
      <c r="L41" s="1146"/>
      <c r="M41" s="1134"/>
      <c r="N41" s="1134"/>
      <c r="O41" s="1147"/>
      <c r="P41" s="3182" t="str">
        <f>A41</f>
        <v>成交单价</v>
      </c>
      <c r="Q41" s="3182"/>
      <c r="R41" s="3170">
        <f>E41</f>
        <v>0</v>
      </c>
      <c r="S41" s="3170"/>
      <c r="T41" s="3170">
        <f>G41</f>
        <v>0</v>
      </c>
      <c r="U41" s="3170"/>
      <c r="V41" s="3170">
        <f>I41</f>
        <v>0</v>
      </c>
      <c r="W41" s="3170"/>
      <c r="X41" s="759"/>
      <c r="Y41" s="781"/>
      <c r="Z41" s="759"/>
      <c r="AA41" s="759"/>
      <c r="AB41" s="759"/>
      <c r="AC41" s="759"/>
    </row>
    <row r="42" spans="1:29" ht="15.75" thickBot="1">
      <c r="A42" s="487" t="s">
        <v>2665</v>
      </c>
      <c r="B42" s="684"/>
      <c r="C42" s="491" t="e">
        <f>R43</f>
        <v>#DIV/0!</v>
      </c>
      <c r="D42" s="490"/>
      <c r="E42" s="491" t="e">
        <f>R42</f>
        <v>#DIV/0!</v>
      </c>
      <c r="F42" s="492"/>
      <c r="G42" s="489" t="e">
        <f>T42</f>
        <v>#DIV/0!</v>
      </c>
      <c r="H42" s="490"/>
      <c r="I42" s="491" t="e">
        <f>V42</f>
        <v>#DIV/0!</v>
      </c>
      <c r="J42" s="490"/>
      <c r="K42" s="784"/>
      <c r="L42" s="1146"/>
      <c r="M42" s="1134"/>
      <c r="N42" s="1134"/>
      <c r="O42" s="1147"/>
      <c r="P42" s="3182" t="str">
        <f>A42</f>
        <v>比较价值（元/平方米）</v>
      </c>
      <c r="Q42" s="3182"/>
      <c r="R42" s="3235" t="e">
        <f>ROUND(PRODUCT(R41,AA7:AA40),0)</f>
        <v>#DIV/0!</v>
      </c>
      <c r="S42" s="3235"/>
      <c r="T42" s="3235" t="e">
        <f>ROUND(PRODUCT(T41,AB7:AB40),0)</f>
        <v>#DIV/0!</v>
      </c>
      <c r="U42" s="3235"/>
      <c r="V42" s="3235" t="e">
        <f>ROUND(PRODUCT(V41,AC7:AC40),0)</f>
        <v>#DIV/0!</v>
      </c>
      <c r="W42" s="3235"/>
      <c r="X42" s="759"/>
      <c r="Y42" s="759"/>
      <c r="Z42" s="759"/>
      <c r="AA42" s="759"/>
      <c r="AB42" s="759"/>
      <c r="AC42" s="759"/>
    </row>
    <row r="43" spans="1:29" ht="15.75" thickBot="1">
      <c r="A43" s="493" t="s">
        <v>2666</v>
      </c>
      <c r="B43" s="494"/>
      <c r="C43" s="495" t="e">
        <f>R43</f>
        <v>#DIV/0!</v>
      </c>
      <c r="D43" s="495"/>
      <c r="E43" s="495"/>
      <c r="F43" s="495"/>
      <c r="G43" s="495"/>
      <c r="H43" s="495"/>
      <c r="I43" s="495"/>
      <c r="J43" s="495"/>
      <c r="K43" s="785"/>
      <c r="L43" s="1146"/>
      <c r="M43" s="1134"/>
      <c r="N43" s="1134"/>
      <c r="O43" s="1147"/>
      <c r="P43" s="3231" t="str">
        <f>A43</f>
        <v>估价对象XX用房的比较价值（楼面单价，元/平方米）</v>
      </c>
      <c r="Q43" s="3232"/>
      <c r="R43" s="3236" t="e">
        <f>ROUND(AVERAGE(R42:V42),0)</f>
        <v>#DIV/0!</v>
      </c>
      <c r="S43" s="3236"/>
      <c r="T43" s="3236"/>
      <c r="U43" s="3236"/>
      <c r="V43" s="3236"/>
      <c r="W43" s="323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8" t="s">
        <v>2667</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34"/>
      <c r="N46" s="1134"/>
      <c r="O46" s="1147"/>
    </row>
    <row r="47" spans="1:29" ht="13.5" customHeight="1">
      <c r="A47" s="1147"/>
      <c r="B47" s="1147"/>
      <c r="C47" s="498" t="s">
        <v>2668</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2669</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ht="15" thickBot="1">
      <c r="A49" s="1148"/>
      <c r="B49" s="1149"/>
      <c r="C49" s="762"/>
      <c r="D49" s="760"/>
      <c r="E49" s="760"/>
      <c r="F49" s="760"/>
      <c r="G49" s="760"/>
      <c r="H49" s="760"/>
      <c r="I49" s="760"/>
      <c r="J49" s="760"/>
      <c r="K49" s="1151"/>
      <c r="L49" s="1152"/>
      <c r="M49" s="1148"/>
      <c r="N49" s="1148"/>
      <c r="O49" s="1148"/>
    </row>
    <row r="50" spans="1:17" ht="27">
      <c r="A50" s="685" t="s">
        <v>2754</v>
      </c>
      <c r="B50" s="686" t="s">
        <v>2755</v>
      </c>
      <c r="C50" s="2710" t="s">
        <v>2756</v>
      </c>
      <c r="D50" s="2711" t="s">
        <v>2757</v>
      </c>
      <c r="E50" s="687" t="s">
        <v>2758</v>
      </c>
      <c r="F50" s="688" t="s">
        <v>2759</v>
      </c>
      <c r="G50" s="3157" t="s">
        <v>2760</v>
      </c>
      <c r="H50" s="3237"/>
      <c r="I50" s="1818" t="s">
        <v>2797</v>
      </c>
      <c r="J50" s="1818">
        <f>项目基本情况!F35</f>
        <v>0</v>
      </c>
      <c r="K50" s="2713" t="s">
        <v>2762</v>
      </c>
      <c r="L50" s="1109"/>
      <c r="M50" s="1147"/>
      <c r="N50" s="1147"/>
      <c r="O50" s="1147"/>
    </row>
    <row r="51" spans="1:17" s="693" customFormat="1">
      <c r="A51" s="689" t="s">
        <v>2763</v>
      </c>
      <c r="B51" s="690" t="e">
        <f>C43</f>
        <v>#DIV/0!</v>
      </c>
      <c r="C51" s="691">
        <v>1</v>
      </c>
      <c r="D51" s="1166">
        <v>1</v>
      </c>
      <c r="E51" s="691">
        <f>'数据-汇总表'!E8+'数据-汇总表'!E9</f>
        <v>2300.98</v>
      </c>
      <c r="F51" s="692" t="e">
        <f t="shared" ref="F51:F60" si="15">ROUND(B51*E51/10000,0)</f>
        <v>#DIV/0!</v>
      </c>
      <c r="G51" s="3153"/>
      <c r="H51" s="3182"/>
      <c r="I51" s="945">
        <v>1</v>
      </c>
      <c r="J51" s="945">
        <v>1</v>
      </c>
      <c r="K51" s="1148"/>
      <c r="L51" s="944"/>
      <c r="M51" s="944"/>
      <c r="N51" s="944"/>
      <c r="O51" s="944"/>
    </row>
    <row r="52" spans="1:17" s="693" customFormat="1">
      <c r="A52" s="694" t="s">
        <v>2764</v>
      </c>
      <c r="B52" s="263" t="e">
        <f>ROUND($C$43*C52*D52,0)</f>
        <v>#DIV/0!</v>
      </c>
      <c r="C52" s="201">
        <f t="shared" ref="C52:C60" si="16">IF($C$50="北京市系数",I52,J52)</f>
        <v>0</v>
      </c>
      <c r="D52" s="1167">
        <v>0.25</v>
      </c>
      <c r="E52" s="695"/>
      <c r="F52" s="692" t="e">
        <f t="shared" si="15"/>
        <v>#DIV/0!</v>
      </c>
      <c r="G52" s="3238" t="s">
        <v>2765</v>
      </c>
      <c r="H52" s="1107">
        <f>项目基本情况!B37</f>
        <v>0</v>
      </c>
      <c r="I52" s="945">
        <f>SUMIF(修正!A45:A56,H52,修正!B45:B56)</f>
        <v>0</v>
      </c>
      <c r="J52" s="946"/>
      <c r="K52" s="1147"/>
      <c r="L52" s="944"/>
      <c r="M52" s="944"/>
      <c r="N52" s="944"/>
      <c r="O52" s="944"/>
    </row>
    <row r="53" spans="1:17" s="693" customFormat="1">
      <c r="A53" s="694" t="s">
        <v>2766</v>
      </c>
      <c r="B53" s="263" t="e">
        <f t="shared" ref="B53:B60" si="17">ROUND($C$43*C53*D53,0)</f>
        <v>#DIV/0!</v>
      </c>
      <c r="C53" s="201">
        <f t="shared" si="16"/>
        <v>0</v>
      </c>
      <c r="D53" s="1167">
        <v>0.25</v>
      </c>
      <c r="E53" s="695"/>
      <c r="F53" s="692" t="e">
        <f t="shared" si="15"/>
        <v>#DIV/0!</v>
      </c>
      <c r="G53" s="3238"/>
      <c r="H53" s="1107">
        <f>项目基本情况!B37</f>
        <v>0</v>
      </c>
      <c r="I53" s="945">
        <f>SUMIF(修正!A45:A56,H53,修正!C45:C56)</f>
        <v>0</v>
      </c>
      <c r="J53" s="946"/>
      <c r="K53" s="1148"/>
      <c r="L53" s="944"/>
      <c r="M53" s="944"/>
      <c r="N53" s="944"/>
      <c r="O53" s="944"/>
    </row>
    <row r="54" spans="1:17" s="693" customFormat="1">
      <c r="A54" s="694" t="s">
        <v>2767</v>
      </c>
      <c r="B54" s="263" t="e">
        <f t="shared" si="17"/>
        <v>#DIV/0!</v>
      </c>
      <c r="C54" s="201">
        <f t="shared" si="16"/>
        <v>0</v>
      </c>
      <c r="D54" s="1167">
        <v>0.25</v>
      </c>
      <c r="E54" s="695"/>
      <c r="F54" s="692" t="e">
        <f t="shared" si="15"/>
        <v>#DIV/0!</v>
      </c>
      <c r="G54" s="3238"/>
      <c r="H54" s="1107">
        <f>项目基本情况!B37</f>
        <v>0</v>
      </c>
      <c r="I54" s="945">
        <f>SUMIF(修正!A45:A56,H54,修正!D45:D56)</f>
        <v>0</v>
      </c>
      <c r="J54" s="946"/>
      <c r="K54" s="1147"/>
      <c r="L54" s="944"/>
      <c r="M54" s="944"/>
      <c r="N54" s="944"/>
      <c r="O54" s="944"/>
    </row>
    <row r="55" spans="1:17" s="693" customFormat="1">
      <c r="A55" s="694" t="s">
        <v>2768</v>
      </c>
      <c r="B55" s="263" t="e">
        <f t="shared" si="17"/>
        <v>#DIV/0!</v>
      </c>
      <c r="C55" s="201">
        <f t="shared" si="16"/>
        <v>0</v>
      </c>
      <c r="D55" s="1167">
        <v>0.25</v>
      </c>
      <c r="E55" s="695"/>
      <c r="F55" s="692" t="e">
        <f t="shared" si="15"/>
        <v>#DIV/0!</v>
      </c>
      <c r="G55" s="3238"/>
      <c r="H55" s="1107">
        <f>项目基本情况!B37</f>
        <v>0</v>
      </c>
      <c r="I55" s="945">
        <f>SUMIF(修正!A45:A56,H55,修正!E45:E56)</f>
        <v>0</v>
      </c>
      <c r="J55" s="946"/>
      <c r="K55" s="1148"/>
      <c r="L55" s="944"/>
      <c r="M55" s="944"/>
      <c r="N55" s="944"/>
      <c r="O55" s="944"/>
    </row>
    <row r="56" spans="1:17" s="693" customFormat="1">
      <c r="A56" s="694" t="s">
        <v>2769</v>
      </c>
      <c r="B56" s="263" t="e">
        <f t="shared" si="17"/>
        <v>#DIV/0!</v>
      </c>
      <c r="C56" s="201">
        <f t="shared" si="16"/>
        <v>0</v>
      </c>
      <c r="D56" s="1167">
        <v>0.25</v>
      </c>
      <c r="E56" s="262">
        <f>'数据-汇总表'!E11</f>
        <v>0</v>
      </c>
      <c r="F56" s="692" t="e">
        <f t="shared" si="15"/>
        <v>#DIV/0!</v>
      </c>
      <c r="G56" s="2714" t="s">
        <v>2770</v>
      </c>
      <c r="H56" s="1107">
        <f>项目基本情况!C37</f>
        <v>0</v>
      </c>
      <c r="I56" s="945">
        <f>SUMIF(修正!A45:A56,H56,修正!F45:F56)</f>
        <v>0</v>
      </c>
      <c r="J56" s="946"/>
      <c r="K56" s="1147"/>
      <c r="L56" s="944"/>
      <c r="M56" s="944"/>
      <c r="N56" s="944"/>
      <c r="O56" s="944"/>
    </row>
    <row r="57" spans="1:17" s="693" customFormat="1">
      <c r="A57" s="694" t="s">
        <v>2771</v>
      </c>
      <c r="B57" s="263" t="e">
        <f t="shared" si="17"/>
        <v>#DIV/0!</v>
      </c>
      <c r="C57" s="201">
        <f t="shared" si="16"/>
        <v>0</v>
      </c>
      <c r="D57" s="1167">
        <v>0.25</v>
      </c>
      <c r="E57" s="262">
        <f>'数据-汇总表'!E12</f>
        <v>0</v>
      </c>
      <c r="F57" s="692" t="e">
        <f t="shared" si="15"/>
        <v>#DIV/0!</v>
      </c>
      <c r="G57" s="1112" t="s">
        <v>2772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3" customFormat="1">
      <c r="A58" s="694" t="s">
        <v>2773</v>
      </c>
      <c r="B58" s="263" t="e">
        <f t="shared" si="17"/>
        <v>#DIV/0!</v>
      </c>
      <c r="C58" s="201">
        <f t="shared" si="16"/>
        <v>0</v>
      </c>
      <c r="D58" s="1167">
        <v>0.25</v>
      </c>
      <c r="E58" s="262">
        <f>'数据-汇总表'!E13</f>
        <v>0</v>
      </c>
      <c r="F58" s="692" t="e">
        <f t="shared" si="15"/>
        <v>#DIV/0!</v>
      </c>
      <c r="G58" s="1112" t="s">
        <v>2774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3" customFormat="1">
      <c r="A59" s="694" t="s">
        <v>2775</v>
      </c>
      <c r="B59" s="263" t="e">
        <f t="shared" si="17"/>
        <v>#DIV/0!</v>
      </c>
      <c r="C59" s="201">
        <f t="shared" si="16"/>
        <v>0</v>
      </c>
      <c r="D59" s="1167">
        <v>0.25</v>
      </c>
      <c r="E59" s="262">
        <f>'数据-汇总表'!E14</f>
        <v>0</v>
      </c>
      <c r="F59" s="692" t="e">
        <f t="shared" si="15"/>
        <v>#DIV/0!</v>
      </c>
      <c r="G59" s="2714" t="s">
        <v>2765</v>
      </c>
      <c r="H59" s="1107">
        <f>项目基本情况!B37</f>
        <v>0</v>
      </c>
      <c r="I59" s="945">
        <f>SUMIF(修正!A45:A56,H59,修正!H45:H56)</f>
        <v>0</v>
      </c>
      <c r="J59" s="946"/>
      <c r="K59" s="1148"/>
      <c r="L59" s="944"/>
      <c r="M59" s="944"/>
      <c r="N59" s="944"/>
      <c r="O59" s="944"/>
    </row>
    <row r="60" spans="1:17" s="693" customFormat="1" ht="15" thickBot="1">
      <c r="A60" s="694" t="s">
        <v>2776</v>
      </c>
      <c r="B60" s="263" t="e">
        <f t="shared" si="17"/>
        <v>#DIV/0!</v>
      </c>
      <c r="C60" s="201">
        <f t="shared" si="16"/>
        <v>0</v>
      </c>
      <c r="D60" s="1167">
        <v>0.25</v>
      </c>
      <c r="E60" s="262">
        <f>'数据-汇总表'!E15</f>
        <v>0</v>
      </c>
      <c r="F60" s="692" t="e">
        <f t="shared" si="15"/>
        <v>#DIV/0!</v>
      </c>
      <c r="G60" s="2715" t="s">
        <v>2770</v>
      </c>
      <c r="H60" s="1117">
        <f>项目基本情况!C37</f>
        <v>0</v>
      </c>
      <c r="I60" s="945">
        <f>SUMIF(修正!A45:A56,H60,修正!H45:H56)</f>
        <v>0</v>
      </c>
      <c r="J60" s="946"/>
      <c r="K60" s="1147"/>
      <c r="L60" s="944"/>
      <c r="M60" s="944"/>
      <c r="N60" s="944"/>
      <c r="O60" s="944"/>
    </row>
    <row r="61" spans="1:17" s="693" customFormat="1" ht="15" thickBot="1">
      <c r="A61" s="696" t="s">
        <v>2777</v>
      </c>
      <c r="B61" s="697" t="s">
        <v>28</v>
      </c>
      <c r="C61" s="697" t="s">
        <v>29</v>
      </c>
      <c r="D61" s="697" t="s">
        <v>1029</v>
      </c>
      <c r="E61" s="697">
        <f>IF(B41="楼面地价",SUM(E51:E60),'数据-汇总表'!D3)</f>
        <v>0</v>
      </c>
      <c r="F61" s="698"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2670</v>
      </c>
      <c r="B64" s="759"/>
      <c r="C64" s="764"/>
      <c r="D64" s="764"/>
      <c r="E64" s="764"/>
      <c r="F64" s="765"/>
      <c r="G64" s="765"/>
      <c r="H64" s="764"/>
      <c r="I64" s="764"/>
      <c r="J64" s="764"/>
      <c r="K64" s="766"/>
      <c r="L64" s="767"/>
      <c r="M64" s="764"/>
      <c r="N64" s="764"/>
      <c r="O64" s="1162"/>
      <c r="P64" s="504"/>
      <c r="Q64" s="505"/>
    </row>
    <row r="65" spans="1:17" s="509" customFormat="1" ht="15">
      <c r="A65" s="2716" t="s">
        <v>2778</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8"/>
    </row>
    <row r="66" spans="1:17" s="117" customFormat="1" ht="30.75" customHeight="1">
      <c r="A66" s="2721" t="s">
        <v>2798</v>
      </c>
      <c r="B66" s="333" t="str">
        <f>"北京市平均增长率"&amp;TEXT(基准地价修正!P24,"0.00%")</f>
        <v>北京市平均增长率1.39%</v>
      </c>
      <c r="C66" s="604">
        <v>100</v>
      </c>
      <c r="D66" s="596"/>
      <c r="E66" s="596"/>
      <c r="F66" s="596"/>
      <c r="G66" s="596"/>
      <c r="H66" s="596"/>
      <c r="I66" s="596"/>
      <c r="J66" s="596"/>
      <c r="K66" s="596"/>
      <c r="L66" s="596"/>
      <c r="M66" s="1571"/>
      <c r="N66" s="1571"/>
      <c r="O66" s="1573"/>
      <c r="P66" s="505"/>
    </row>
    <row r="67" spans="1:17" s="117" customFormat="1" ht="15.75" thickBot="1">
      <c r="A67" s="516" t="s">
        <v>2581</v>
      </c>
      <c r="B67" s="517"/>
      <c r="C67" s="518"/>
      <c r="D67" s="519"/>
      <c r="E67" s="519"/>
      <c r="F67" s="519"/>
      <c r="G67" s="519"/>
      <c r="H67" s="519"/>
      <c r="I67" s="519"/>
      <c r="J67" s="519"/>
      <c r="K67" s="519"/>
      <c r="L67" s="519"/>
      <c r="M67" s="520"/>
      <c r="N67" s="520"/>
      <c r="O67" s="521"/>
      <c r="P67" s="505"/>
      <c r="Q67" s="505"/>
    </row>
    <row r="68" spans="1:17" s="117" customFormat="1" ht="15">
      <c r="A68" s="522" t="s">
        <v>2546</v>
      </c>
      <c r="B68" s="511"/>
      <c r="C68" s="523" t="s">
        <v>2648</v>
      </c>
      <c r="D68" s="524"/>
      <c r="E68" s="524"/>
      <c r="F68" s="524"/>
      <c r="G68" s="524"/>
      <c r="H68" s="524"/>
      <c r="I68" s="524"/>
      <c r="J68" s="524"/>
      <c r="K68" s="524"/>
      <c r="L68" s="525"/>
      <c r="M68" s="526"/>
      <c r="N68" s="1154"/>
      <c r="O68" s="1154"/>
      <c r="P68" s="527"/>
      <c r="Q68" s="505"/>
    </row>
    <row r="69" spans="1:17" s="117" customFormat="1" ht="15.75" thickBot="1">
      <c r="A69" s="522"/>
      <c r="B69" s="511"/>
      <c r="C69" s="640">
        <v>100</v>
      </c>
      <c r="D69" s="513"/>
      <c r="E69" s="513"/>
      <c r="F69" s="513"/>
      <c r="G69" s="513"/>
      <c r="H69" s="513"/>
      <c r="I69" s="513"/>
      <c r="J69" s="513"/>
      <c r="K69" s="513"/>
      <c r="L69" s="513"/>
      <c r="M69" s="515"/>
      <c r="N69" s="1154"/>
      <c r="O69" s="1154"/>
      <c r="P69" s="505"/>
      <c r="Q69" s="505"/>
    </row>
    <row r="70" spans="1:17">
      <c r="A70" s="528" t="s">
        <v>2584</v>
      </c>
      <c r="B70" s="529" t="s">
        <v>2550</v>
      </c>
      <c r="C70" s="531"/>
      <c r="D70" s="531"/>
      <c r="E70" s="531"/>
      <c r="F70" s="531"/>
      <c r="G70" s="531"/>
      <c r="H70" s="531"/>
      <c r="I70" s="531"/>
      <c r="J70" s="531"/>
      <c r="K70" s="532"/>
      <c r="L70" s="533"/>
      <c r="M70" s="534"/>
      <c r="N70" s="1155"/>
      <c r="O70" s="1155"/>
      <c r="P70" s="45"/>
      <c r="Q70" s="505"/>
    </row>
    <row r="71" spans="1:17" ht="15.75" thickBot="1">
      <c r="A71" s="535"/>
      <c r="B71" s="536"/>
      <c r="C71" s="537"/>
      <c r="D71" s="537"/>
      <c r="E71" s="537"/>
      <c r="F71" s="537"/>
      <c r="G71" s="537"/>
      <c r="H71" s="537"/>
      <c r="I71" s="537"/>
      <c r="J71" s="537"/>
      <c r="K71" s="537"/>
      <c r="L71" s="537"/>
      <c r="M71" s="538"/>
      <c r="N71" s="1156"/>
      <c r="O71" s="1156"/>
      <c r="P71" s="45"/>
      <c r="Q71" s="505"/>
    </row>
    <row r="72" spans="1:17" ht="27.75" thickTop="1">
      <c r="A72" s="535"/>
      <c r="B72" s="539" t="s">
        <v>2553</v>
      </c>
      <c r="C72" s="540"/>
      <c r="D72" s="540"/>
      <c r="E72" s="540"/>
      <c r="F72" s="540"/>
      <c r="G72" s="540"/>
      <c r="H72" s="540"/>
      <c r="I72" s="540"/>
      <c r="J72" s="540"/>
      <c r="K72" s="541"/>
      <c r="L72" s="542"/>
      <c r="M72" s="543"/>
      <c r="N72" s="1155"/>
      <c r="O72" s="1155"/>
      <c r="P72" s="45"/>
      <c r="Q72" s="505"/>
    </row>
    <row r="73" spans="1:17" ht="15.75" thickBot="1">
      <c r="A73" s="535"/>
      <c r="B73" s="544"/>
      <c r="C73" s="545"/>
      <c r="D73" s="545"/>
      <c r="E73" s="545"/>
      <c r="F73" s="545"/>
      <c r="G73" s="545"/>
      <c r="H73" s="545"/>
      <c r="I73" s="545"/>
      <c r="J73" s="545"/>
      <c r="K73" s="545"/>
      <c r="L73" s="545"/>
      <c r="M73" s="546"/>
      <c r="N73" s="1156"/>
      <c r="O73" s="1156"/>
      <c r="P73" s="45"/>
      <c r="Q73" s="505"/>
    </row>
    <row r="74" spans="1:17" ht="15.75" thickTop="1">
      <c r="A74" s="535"/>
      <c r="B74" s="547" t="s">
        <v>2554</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6"/>
      <c r="O74" s="1156"/>
      <c r="P74" s="45"/>
      <c r="Q74" s="505"/>
    </row>
    <row r="75" spans="1:17" ht="15">
      <c r="A75" s="535"/>
      <c r="B75" s="549"/>
      <c r="C75" s="550"/>
      <c r="D75" s="550"/>
      <c r="E75" s="550"/>
      <c r="F75" s="550"/>
      <c r="G75" s="550"/>
      <c r="H75" s="550"/>
      <c r="I75" s="550"/>
      <c r="J75" s="550"/>
      <c r="K75" s="551"/>
      <c r="L75" s="552"/>
      <c r="M75" s="553"/>
      <c r="N75" s="1155"/>
      <c r="O75" s="1155"/>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6"/>
      <c r="O76" s="1156"/>
      <c r="P76" s="45"/>
      <c r="Q76" s="505"/>
    </row>
    <row r="77" spans="1:17" s="472" customFormat="1" ht="15.75" thickTop="1">
      <c r="A77" s="554"/>
      <c r="B77" s="539">
        <f>B12</f>
        <v>111</v>
      </c>
      <c r="C77" s="555"/>
      <c r="D77" s="555"/>
      <c r="E77" s="555"/>
      <c r="F77" s="555"/>
      <c r="G77" s="555"/>
      <c r="H77" s="556"/>
      <c r="I77" s="556"/>
      <c r="J77" s="556"/>
      <c r="K77" s="556"/>
      <c r="L77" s="557"/>
      <c r="M77" s="558"/>
      <c r="N77" s="1157"/>
      <c r="O77" s="1157"/>
      <c r="P77" s="559"/>
      <c r="Q77" s="560"/>
    </row>
    <row r="78" spans="1:17" s="472" customFormat="1" ht="15.75" thickBot="1">
      <c r="A78" s="554"/>
      <c r="B78" s="544"/>
      <c r="C78" s="561"/>
      <c r="D78" s="537"/>
      <c r="E78" s="537"/>
      <c r="F78" s="537"/>
      <c r="G78" s="537"/>
      <c r="H78" s="537"/>
      <c r="I78" s="537"/>
      <c r="J78" s="537"/>
      <c r="K78" s="537"/>
      <c r="L78" s="537"/>
      <c r="M78" s="538"/>
      <c r="N78" s="1156"/>
      <c r="O78" s="1156"/>
      <c r="P78" s="559"/>
      <c r="Q78" s="560"/>
    </row>
    <row r="79" spans="1:17" s="472" customFormat="1" ht="15.75" thickTop="1">
      <c r="A79" s="554"/>
      <c r="B79" s="539">
        <f>B13</f>
        <v>111</v>
      </c>
      <c r="C79" s="555"/>
      <c r="D79" s="555"/>
      <c r="E79" s="555"/>
      <c r="F79" s="555"/>
      <c r="G79" s="555"/>
      <c r="H79" s="556"/>
      <c r="I79" s="556"/>
      <c r="J79" s="556"/>
      <c r="K79" s="556"/>
      <c r="L79" s="557"/>
      <c r="M79" s="558"/>
      <c r="N79" s="1157"/>
      <c r="O79" s="1157"/>
      <c r="P79" s="471"/>
      <c r="Q79" s="562"/>
    </row>
    <row r="80" spans="1:17" s="472" customFormat="1" ht="15.75" thickBot="1">
      <c r="A80" s="554"/>
      <c r="B80" s="544"/>
      <c r="C80" s="561"/>
      <c r="D80" s="561"/>
      <c r="E80" s="561"/>
      <c r="F80" s="561"/>
      <c r="G80" s="561"/>
      <c r="H80" s="563"/>
      <c r="I80" s="563"/>
      <c r="J80" s="563"/>
      <c r="K80" s="563"/>
      <c r="L80" s="563"/>
      <c r="M80" s="564"/>
      <c r="N80" s="1157"/>
      <c r="O80" s="1157"/>
      <c r="P80" s="559"/>
      <c r="Q80" s="560"/>
    </row>
    <row r="81" spans="1:17" s="472" customFormat="1" ht="15.75" thickTop="1">
      <c r="A81" s="554"/>
      <c r="B81" s="547">
        <f>B14</f>
        <v>111</v>
      </c>
      <c r="C81" s="524"/>
      <c r="D81" s="524"/>
      <c r="E81" s="524"/>
      <c r="F81" s="524"/>
      <c r="G81" s="524"/>
      <c r="H81" s="565"/>
      <c r="I81" s="565"/>
      <c r="J81" s="565"/>
      <c r="K81" s="565"/>
      <c r="L81" s="566"/>
      <c r="M81" s="567"/>
      <c r="N81" s="1157"/>
      <c r="O81" s="1157"/>
      <c r="P81" s="568"/>
      <c r="Q81" s="560"/>
    </row>
    <row r="82" spans="1:17" s="472" customFormat="1" ht="15.75" thickBot="1">
      <c r="A82" s="569"/>
      <c r="B82" s="570"/>
      <c r="C82" s="571"/>
      <c r="D82" s="571"/>
      <c r="E82" s="571"/>
      <c r="F82" s="571"/>
      <c r="G82" s="571"/>
      <c r="H82" s="572"/>
      <c r="I82" s="572"/>
      <c r="J82" s="572"/>
      <c r="K82" s="572"/>
      <c r="L82" s="572"/>
      <c r="M82" s="573"/>
      <c r="N82" s="1157"/>
      <c r="O82" s="1157"/>
      <c r="P82" s="559"/>
      <c r="Q82" s="560"/>
    </row>
    <row r="83" spans="1:17">
      <c r="A83" s="528" t="s">
        <v>2555</v>
      </c>
      <c r="B83" s="529" t="s">
        <v>2701</v>
      </c>
      <c r="C83" s="574" t="s">
        <v>2593</v>
      </c>
      <c r="D83" s="574" t="s">
        <v>2594</v>
      </c>
      <c r="E83" s="574" t="s">
        <v>2595</v>
      </c>
      <c r="F83" s="574" t="s">
        <v>2596</v>
      </c>
      <c r="G83" s="574" t="s">
        <v>2597</v>
      </c>
      <c r="H83" s="530"/>
      <c r="I83" s="530"/>
      <c r="J83" s="530"/>
      <c r="K83" s="575"/>
      <c r="L83" s="576"/>
      <c r="M83" s="577"/>
      <c r="N83" s="1155"/>
      <c r="O83" s="1155"/>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6"/>
      <c r="O84" s="1156"/>
      <c r="P84" s="45"/>
      <c r="Q84" s="505"/>
    </row>
    <row r="85" spans="1:17" ht="15.75" thickTop="1">
      <c r="A85" s="535"/>
      <c r="B85" s="539" t="s">
        <v>2598</v>
      </c>
      <c r="C85" s="579" t="s">
        <v>2593</v>
      </c>
      <c r="D85" s="579" t="s">
        <v>2594</v>
      </c>
      <c r="E85" s="579" t="s">
        <v>2595</v>
      </c>
      <c r="F85" s="579" t="s">
        <v>2596</v>
      </c>
      <c r="G85" s="579" t="s">
        <v>2597</v>
      </c>
      <c r="H85" s="540"/>
      <c r="I85" s="540"/>
      <c r="J85" s="540"/>
      <c r="K85" s="541"/>
      <c r="L85" s="542"/>
      <c r="M85" s="543"/>
      <c r="N85" s="1155"/>
      <c r="O85" s="1155"/>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6"/>
      <c r="O86" s="1156"/>
      <c r="P86" s="45"/>
      <c r="Q86" s="505"/>
    </row>
    <row r="87" spans="1:17" s="117" customFormat="1" ht="15.75" thickTop="1">
      <c r="A87" s="580"/>
      <c r="B87" s="539" t="s">
        <v>2781</v>
      </c>
      <c r="C87" s="574" t="s">
        <v>2593</v>
      </c>
      <c r="D87" s="574" t="s">
        <v>2594</v>
      </c>
      <c r="E87" s="574" t="s">
        <v>2595</v>
      </c>
      <c r="F87" s="574" t="s">
        <v>2596</v>
      </c>
      <c r="G87" s="574" t="s">
        <v>2597</v>
      </c>
      <c r="H87" s="579"/>
      <c r="I87" s="579"/>
      <c r="J87" s="579"/>
      <c r="K87" s="579"/>
      <c r="L87" s="699"/>
      <c r="M87" s="623"/>
      <c r="N87" s="1154"/>
      <c r="O87" s="1154"/>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6"/>
      <c r="O88" s="1156"/>
      <c r="P88" s="45"/>
      <c r="Q88" s="505"/>
    </row>
    <row r="89" spans="1:17" s="117" customFormat="1" ht="27.75" thickTop="1">
      <c r="A89" s="580"/>
      <c r="B89" s="539" t="s">
        <v>2782</v>
      </c>
      <c r="C89" s="574" t="s">
        <v>2593</v>
      </c>
      <c r="D89" s="574" t="s">
        <v>2594</v>
      </c>
      <c r="E89" s="574" t="s">
        <v>2595</v>
      </c>
      <c r="F89" s="574" t="s">
        <v>2596</v>
      </c>
      <c r="G89" s="574" t="s">
        <v>2597</v>
      </c>
      <c r="H89" s="579"/>
      <c r="I89" s="579"/>
      <c r="J89" s="579"/>
      <c r="K89" s="579"/>
      <c r="L89" s="579"/>
      <c r="M89" s="623"/>
      <c r="N89" s="1154"/>
      <c r="O89" s="1154"/>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6"/>
      <c r="O90" s="1156"/>
      <c r="P90" s="45"/>
      <c r="Q90" s="505"/>
    </row>
    <row r="91" spans="1:17" s="472" customFormat="1" ht="15.75" thickTop="1">
      <c r="A91" s="554"/>
      <c r="B91" s="539" t="s">
        <v>2650</v>
      </c>
      <c r="C91" s="574" t="s">
        <v>2593</v>
      </c>
      <c r="D91" s="574" t="s">
        <v>2594</v>
      </c>
      <c r="E91" s="574" t="s">
        <v>2595</v>
      </c>
      <c r="F91" s="574" t="s">
        <v>2596</v>
      </c>
      <c r="G91" s="574" t="s">
        <v>2597</v>
      </c>
      <c r="H91" s="601"/>
      <c r="I91" s="601"/>
      <c r="J91" s="601"/>
      <c r="K91" s="601"/>
      <c r="L91" s="602"/>
      <c r="M91" s="603"/>
      <c r="N91" s="1157"/>
      <c r="O91" s="1157"/>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7"/>
      <c r="O92" s="1157"/>
      <c r="P92" s="559"/>
      <c r="Q92" s="560"/>
    </row>
    <row r="93" spans="1:17" s="472" customFormat="1" ht="15.75" thickTop="1">
      <c r="A93" s="554"/>
      <c r="B93" s="547" t="s">
        <v>2799</v>
      </c>
      <c r="C93" s="661" t="s">
        <v>2671</v>
      </c>
      <c r="D93" s="661" t="s">
        <v>2672</v>
      </c>
      <c r="E93" s="661" t="s">
        <v>2673</v>
      </c>
      <c r="F93" s="661" t="s">
        <v>2674</v>
      </c>
      <c r="G93" s="661" t="s">
        <v>2675</v>
      </c>
      <c r="H93" s="601"/>
      <c r="I93" s="601"/>
      <c r="J93" s="601"/>
      <c r="K93" s="601"/>
      <c r="L93" s="601"/>
      <c r="M93" s="603"/>
      <c r="N93" s="1157"/>
      <c r="O93" s="1157"/>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8"/>
      <c r="N94" s="1157"/>
      <c r="O94" s="1157"/>
      <c r="P94" s="559"/>
      <c r="Q94" s="560"/>
    </row>
    <row r="95" spans="1:17" ht="15.75" thickTop="1">
      <c r="A95" s="535"/>
      <c r="B95" s="539" t="str">
        <f>B27</f>
        <v>临街状况</v>
      </c>
      <c r="C95" s="540" t="s">
        <v>2783</v>
      </c>
      <c r="D95" s="540" t="s">
        <v>2784</v>
      </c>
      <c r="E95" s="540" t="s">
        <v>2785</v>
      </c>
      <c r="F95" s="540" t="s">
        <v>2786</v>
      </c>
      <c r="G95" s="540"/>
      <c r="H95" s="540"/>
      <c r="I95" s="540"/>
      <c r="J95" s="540"/>
      <c r="K95" s="541"/>
      <c r="L95" s="542"/>
      <c r="M95" s="543"/>
      <c r="N95" s="1155"/>
      <c r="O95" s="1155"/>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6"/>
      <c r="O96" s="1156"/>
      <c r="P96" s="45"/>
      <c r="Q96" s="505"/>
    </row>
    <row r="97" spans="1:17" ht="27.75" thickTop="1">
      <c r="A97" s="535"/>
      <c r="B97" s="539" t="s">
        <v>2687</v>
      </c>
      <c r="C97" s="555"/>
      <c r="D97" s="555"/>
      <c r="E97" s="555"/>
      <c r="F97" s="555"/>
      <c r="G97" s="555"/>
      <c r="H97" s="584"/>
      <c r="I97" s="584"/>
      <c r="J97" s="584"/>
      <c r="K97" s="585"/>
      <c r="L97" s="586"/>
      <c r="M97" s="587"/>
      <c r="N97" s="1155"/>
      <c r="O97" s="1155"/>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6"/>
      <c r="O98" s="1156"/>
      <c r="P98" s="45"/>
      <c r="Q98" s="505"/>
    </row>
    <row r="99" spans="1:17" ht="15.75" thickTop="1">
      <c r="A99" s="535"/>
      <c r="B99" s="539" t="s">
        <v>2746</v>
      </c>
      <c r="C99" s="584"/>
      <c r="D99" s="584"/>
      <c r="E99" s="584"/>
      <c r="F99" s="584"/>
      <c r="G99" s="584"/>
      <c r="H99" s="584"/>
      <c r="I99" s="584"/>
      <c r="J99" s="584"/>
      <c r="K99" s="585"/>
      <c r="L99" s="586"/>
      <c r="M99" s="587"/>
      <c r="N99" s="1155"/>
      <c r="O99" s="1155"/>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6"/>
      <c r="O100" s="1156"/>
      <c r="P100" s="45"/>
      <c r="Q100" s="505"/>
    </row>
    <row r="101" spans="1:17" ht="15.75" thickTop="1">
      <c r="A101" s="535"/>
      <c r="B101" s="547">
        <f>B31</f>
        <v>111</v>
      </c>
      <c r="C101" s="555"/>
      <c r="D101" s="555"/>
      <c r="E101" s="555"/>
      <c r="F101" s="555"/>
      <c r="G101" s="588"/>
      <c r="H101" s="588"/>
      <c r="I101" s="588"/>
      <c r="J101" s="588"/>
      <c r="K101" s="589"/>
      <c r="L101" s="590"/>
      <c r="M101" s="591"/>
      <c r="N101" s="1155"/>
      <c r="O101" s="1155"/>
      <c r="P101" s="45"/>
      <c r="Q101" s="505"/>
    </row>
    <row r="102" spans="1:17" ht="15.75" thickBot="1">
      <c r="A102" s="535"/>
      <c r="B102" s="570"/>
      <c r="C102" s="561"/>
      <c r="D102" s="537"/>
      <c r="E102" s="537"/>
      <c r="F102" s="537"/>
      <c r="G102" s="592"/>
      <c r="H102" s="592"/>
      <c r="I102" s="592"/>
      <c r="J102" s="592"/>
      <c r="K102" s="592"/>
      <c r="L102" s="592"/>
      <c r="M102" s="593"/>
      <c r="N102" s="1156"/>
      <c r="O102" s="1156"/>
      <c r="P102" s="45"/>
      <c r="Q102" s="505"/>
    </row>
    <row r="103" spans="1:17" ht="15" thickTop="1">
      <c r="A103" s="676"/>
      <c r="B103" s="539">
        <f>B32</f>
        <v>111</v>
      </c>
      <c r="C103" s="555"/>
      <c r="D103" s="555"/>
      <c r="E103" s="555"/>
      <c r="F103" s="555"/>
      <c r="G103" s="584"/>
      <c r="H103" s="584"/>
      <c r="I103" s="584"/>
      <c r="J103" s="584"/>
      <c r="K103" s="585"/>
      <c r="L103" s="586"/>
      <c r="M103" s="587"/>
      <c r="N103" s="1155"/>
      <c r="O103" s="1155"/>
      <c r="P103" s="45"/>
      <c r="Q103" s="505"/>
    </row>
    <row r="104" spans="1:17" ht="15.75" thickBot="1">
      <c r="A104" s="535"/>
      <c r="B104" s="544"/>
      <c r="C104" s="561"/>
      <c r="D104" s="561"/>
      <c r="E104" s="561"/>
      <c r="F104" s="561"/>
      <c r="G104" s="537"/>
      <c r="H104" s="537"/>
      <c r="I104" s="537"/>
      <c r="J104" s="537"/>
      <c r="K104" s="537"/>
      <c r="L104" s="537"/>
      <c r="M104" s="538"/>
      <c r="N104" s="1156"/>
      <c r="O104" s="1156"/>
      <c r="P104" s="45"/>
      <c r="Q104" s="505"/>
    </row>
    <row r="105" spans="1:17" s="472" customFormat="1" ht="15" thickTop="1">
      <c r="A105" s="594"/>
      <c r="B105" s="595">
        <f>B33</f>
        <v>111</v>
      </c>
      <c r="C105" s="524"/>
      <c r="D105" s="524"/>
      <c r="E105" s="524"/>
      <c r="F105" s="524"/>
      <c r="G105" s="596"/>
      <c r="H105" s="596"/>
      <c r="I105" s="596"/>
      <c r="J105" s="597"/>
      <c r="K105" s="597"/>
      <c r="L105" s="598"/>
      <c r="M105" s="599"/>
      <c r="N105" s="1157"/>
      <c r="O105" s="1157"/>
      <c r="P105" s="559"/>
      <c r="Q105" s="560"/>
    </row>
    <row r="106" spans="1:17" s="472" customFormat="1" ht="15.75" thickBot="1">
      <c r="A106" s="554"/>
      <c r="B106" s="547"/>
      <c r="C106" s="571"/>
      <c r="D106" s="571"/>
      <c r="E106" s="571"/>
      <c r="F106" s="571"/>
      <c r="G106" s="678"/>
      <c r="H106" s="678"/>
      <c r="I106" s="678"/>
      <c r="J106" s="678"/>
      <c r="K106" s="678"/>
      <c r="L106" s="678"/>
      <c r="M106" s="700"/>
      <c r="N106" s="1156"/>
      <c r="O106" s="1156"/>
      <c r="P106" s="559"/>
      <c r="Q106" s="560"/>
    </row>
    <row r="107" spans="1:17">
      <c r="A107" s="528" t="s">
        <v>2559</v>
      </c>
      <c r="B107" s="529" t="s">
        <v>2787</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0" t="str">
        <f t="shared" si="25"/>
        <v>(含)-</v>
      </c>
      <c r="L107" s="1770" t="str">
        <f t="shared" si="25"/>
        <v>(含)-</v>
      </c>
      <c r="M107" s="1771" t="str">
        <f>M108&amp;"(含)"&amp;"-"&amp;P108</f>
        <v>(含)-</v>
      </c>
      <c r="N107" s="1155"/>
      <c r="O107" s="1155"/>
      <c r="P107" s="45"/>
      <c r="Q107" s="505"/>
    </row>
    <row r="108" spans="1:17" ht="15">
      <c r="A108" s="535"/>
      <c r="B108" s="547"/>
      <c r="C108" s="596"/>
      <c r="D108" s="596"/>
      <c r="E108" s="596"/>
      <c r="F108" s="596"/>
      <c r="G108" s="596"/>
      <c r="H108" s="596"/>
      <c r="I108" s="596"/>
      <c r="J108" s="597"/>
      <c r="K108" s="597"/>
      <c r="L108" s="598"/>
      <c r="M108" s="599"/>
      <c r="N108" s="1155"/>
      <c r="O108" s="1155"/>
      <c r="P108" s="45"/>
      <c r="Q108" s="505"/>
    </row>
    <row r="109" spans="1:17" ht="15.75" thickBot="1">
      <c r="A109" s="535"/>
      <c r="B109" s="544"/>
      <c r="C109" s="571"/>
      <c r="D109" s="592"/>
      <c r="E109" s="592"/>
      <c r="F109" s="592"/>
      <c r="G109" s="592"/>
      <c r="H109" s="592"/>
      <c r="I109" s="592"/>
      <c r="J109" s="592"/>
      <c r="K109" s="592"/>
      <c r="L109" s="592"/>
      <c r="M109" s="593"/>
      <c r="N109" s="1156"/>
      <c r="O109" s="1156"/>
      <c r="P109" s="45"/>
      <c r="Q109" s="505"/>
    </row>
    <row r="110" spans="1:17" ht="15" thickTop="1">
      <c r="A110" s="600"/>
      <c r="B110" s="539" t="s">
        <v>2788</v>
      </c>
      <c r="C110" s="584"/>
      <c r="D110" s="584"/>
      <c r="E110" s="584"/>
      <c r="F110" s="584"/>
      <c r="G110" s="584"/>
      <c r="H110" s="584"/>
      <c r="I110" s="584"/>
      <c r="J110" s="584"/>
      <c r="K110" s="585"/>
      <c r="L110" s="586"/>
      <c r="M110" s="587"/>
      <c r="N110" s="1155"/>
      <c r="O110" s="1155"/>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6"/>
      <c r="O111" s="1156"/>
      <c r="P111" s="45"/>
      <c r="Q111" s="505"/>
    </row>
    <row r="112" spans="1:17" s="472" customFormat="1" ht="15" thickTop="1">
      <c r="A112" s="594"/>
      <c r="B112" s="539" t="s">
        <v>2790</v>
      </c>
      <c r="C112" s="555"/>
      <c r="D112" s="555"/>
      <c r="E112" s="555"/>
      <c r="F112" s="555"/>
      <c r="G112" s="555"/>
      <c r="H112" s="584"/>
      <c r="I112" s="584"/>
      <c r="J112" s="584"/>
      <c r="K112" s="585"/>
      <c r="L112" s="586"/>
      <c r="M112" s="587"/>
      <c r="N112" s="1157"/>
      <c r="O112" s="1157"/>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7"/>
      <c r="O113" s="1157"/>
      <c r="P113" s="559"/>
      <c r="Q113" s="560"/>
    </row>
    <row r="114" spans="1:17" ht="15" thickTop="1">
      <c r="A114" s="600"/>
      <c r="B114" s="539" t="s">
        <v>2791</v>
      </c>
      <c r="C114" s="555"/>
      <c r="D114" s="555"/>
      <c r="E114" s="584"/>
      <c r="F114" s="584"/>
      <c r="G114" s="584"/>
      <c r="H114" s="584"/>
      <c r="I114" s="584"/>
      <c r="J114" s="584"/>
      <c r="K114" s="585"/>
      <c r="L114" s="586"/>
      <c r="M114" s="587"/>
      <c r="N114" s="1155"/>
      <c r="O114" s="1155"/>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45"/>
      <c r="Q115" s="505"/>
    </row>
    <row r="116" spans="1:17" ht="15" thickTop="1">
      <c r="A116" s="600"/>
      <c r="B116" s="539">
        <f>B38</f>
        <v>111</v>
      </c>
      <c r="C116" s="555"/>
      <c r="D116" s="555"/>
      <c r="E116" s="555"/>
      <c r="F116" s="555"/>
      <c r="G116" s="555"/>
      <c r="H116" s="584"/>
      <c r="I116" s="584"/>
      <c r="J116" s="584"/>
      <c r="K116" s="585"/>
      <c r="L116" s="586"/>
      <c r="M116" s="587"/>
      <c r="N116" s="1155"/>
      <c r="O116" s="1155"/>
      <c r="P116" s="45"/>
      <c r="Q116" s="505"/>
    </row>
    <row r="117" spans="1:17" ht="15.75" thickBot="1">
      <c r="A117" s="535"/>
      <c r="B117" s="544"/>
      <c r="C117" s="561"/>
      <c r="D117" s="537"/>
      <c r="E117" s="537"/>
      <c r="F117" s="537"/>
      <c r="G117" s="537"/>
      <c r="H117" s="537"/>
      <c r="I117" s="537"/>
      <c r="J117" s="537"/>
      <c r="K117" s="537"/>
      <c r="L117" s="537"/>
      <c r="M117" s="538"/>
      <c r="N117" s="1156"/>
      <c r="O117" s="1156"/>
      <c r="P117" s="45"/>
      <c r="Q117" s="505"/>
    </row>
    <row r="118" spans="1:17" ht="15" thickTop="1">
      <c r="A118" s="600"/>
      <c r="B118" s="539">
        <f>B39</f>
        <v>111</v>
      </c>
      <c r="C118" s="555"/>
      <c r="D118" s="555"/>
      <c r="E118" s="555"/>
      <c r="F118" s="555"/>
      <c r="G118" s="584"/>
      <c r="H118" s="584"/>
      <c r="I118" s="584"/>
      <c r="J118" s="584"/>
      <c r="K118" s="585"/>
      <c r="L118" s="586"/>
      <c r="M118" s="587"/>
      <c r="N118" s="1155"/>
      <c r="O118" s="1155"/>
      <c r="P118" s="45"/>
      <c r="Q118" s="505"/>
    </row>
    <row r="119" spans="1:17" ht="15.75" thickBot="1">
      <c r="A119" s="535"/>
      <c r="B119" s="544"/>
      <c r="C119" s="561"/>
      <c r="D119" s="561"/>
      <c r="E119" s="561"/>
      <c r="F119" s="561"/>
      <c r="G119" s="537"/>
      <c r="H119" s="537"/>
      <c r="I119" s="537"/>
      <c r="J119" s="537"/>
      <c r="K119" s="537"/>
      <c r="L119" s="537"/>
      <c r="M119" s="538"/>
      <c r="N119" s="1156"/>
      <c r="O119" s="1156"/>
      <c r="P119" s="45"/>
      <c r="Q119" s="505"/>
    </row>
    <row r="120" spans="1:17" s="472" customFormat="1" ht="15" thickTop="1">
      <c r="A120" s="594"/>
      <c r="B120" s="539">
        <f>B40</f>
        <v>111</v>
      </c>
      <c r="C120" s="524"/>
      <c r="D120" s="524"/>
      <c r="E120" s="524"/>
      <c r="F120" s="524"/>
      <c r="G120" s="556"/>
      <c r="H120" s="556"/>
      <c r="I120" s="556"/>
      <c r="J120" s="556"/>
      <c r="K120" s="556"/>
      <c r="L120" s="557"/>
      <c r="M120" s="558"/>
      <c r="N120" s="1157"/>
      <c r="O120" s="1157"/>
      <c r="P120" s="559"/>
      <c r="Q120" s="560"/>
    </row>
    <row r="121" spans="1:17" s="472" customFormat="1" ht="15.75" thickBot="1">
      <c r="A121" s="569"/>
      <c r="B121" s="701"/>
      <c r="C121" s="571"/>
      <c r="D121" s="571"/>
      <c r="E121" s="571"/>
      <c r="F121" s="571"/>
      <c r="G121" s="592"/>
      <c r="H121" s="592"/>
      <c r="I121" s="592"/>
      <c r="J121" s="592"/>
      <c r="K121" s="592"/>
      <c r="L121" s="592"/>
      <c r="M121" s="593"/>
      <c r="N121" s="1157"/>
      <c r="O121" s="1157"/>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1" t="s">
        <v>2800</v>
      </c>
      <c r="B1" s="242"/>
      <c r="C1" s="246" t="s">
        <v>2801</v>
      </c>
      <c r="D1" s="389">
        <f>SUM(D29:D30,D33:D39)</f>
        <v>0</v>
      </c>
      <c r="E1" s="2722"/>
      <c r="F1" s="2722"/>
      <c r="G1" s="2722"/>
      <c r="H1" s="2722"/>
      <c r="I1" s="2722"/>
      <c r="J1" s="2722"/>
      <c r="K1" s="1373"/>
      <c r="L1" s="2723" t="s">
        <v>2802</v>
      </c>
      <c r="M1" s="1083">
        <f>SUMPRODUCT((区片价!B5:B9=I2)*(区片价!C3:F3=E2)*(区片价!C5:F9))</f>
        <v>0</v>
      </c>
      <c r="N1" s="1086">
        <f>SUMPRODUCT((因素修正幅度!B5:B9=I2)*(因素修正幅度!C3:F3=E2)*(因素修正幅度!C5:F9))</f>
        <v>0</v>
      </c>
      <c r="O1" s="2724"/>
      <c r="P1" s="2724"/>
      <c r="Q1" s="1373"/>
      <c r="R1" s="1606" t="s">
        <v>2803</v>
      </c>
      <c r="S1" s="1606" t="s">
        <v>2804</v>
      </c>
      <c r="T1" s="1606" t="s">
        <v>2805</v>
      </c>
      <c r="U1" s="1606" t="s">
        <v>2806</v>
      </c>
      <c r="V1" s="1606" t="s">
        <v>2807</v>
      </c>
      <c r="W1" s="1610"/>
      <c r="X1" s="1610"/>
      <c r="Y1" s="1610"/>
      <c r="Z1" s="1610"/>
      <c r="AA1" s="1610"/>
      <c r="AB1" s="1610"/>
      <c r="AC1" s="1611"/>
      <c r="AD1" s="1612"/>
      <c r="AE1" s="1612"/>
      <c r="AF1" s="1612"/>
      <c r="AG1" s="1612"/>
      <c r="AH1" s="1612"/>
      <c r="AI1" s="1612"/>
      <c r="AJ1" s="1613"/>
    </row>
    <row r="2" spans="1:36" ht="15.75">
      <c r="A2" s="246" t="s">
        <v>2808</v>
      </c>
      <c r="B2" s="249" t="e">
        <f>C26</f>
        <v>#DIV/0!</v>
      </c>
      <c r="C2" s="2726" t="s">
        <v>2809</v>
      </c>
      <c r="D2" s="2727" t="s">
        <v>2810</v>
      </c>
      <c r="E2" s="2728"/>
      <c r="F2" s="2727" t="s">
        <v>2811</v>
      </c>
      <c r="G2" s="2729">
        <f>IF(E2="商业",项目基本情况!B37,IF(E2="办公",项目基本情况!C37,IF(E2="住宅",项目基本情况!D37,项目基本情况!E37)))</f>
        <v>0</v>
      </c>
      <c r="H2" s="2727" t="s">
        <v>2812</v>
      </c>
      <c r="I2" s="2729">
        <f>IF(E2="商业",项目基本情况!B38,IF(E2="办公",项目基本情况!C38,IF(E2="住宅",项目基本情况!D38,项目基本情况!E38)))</f>
        <v>0</v>
      </c>
      <c r="J2" s="2730"/>
      <c r="K2" s="1373"/>
      <c r="L2" s="2731" t="s">
        <v>2813</v>
      </c>
      <c r="M2" s="1084">
        <f>SUMPRODUCT((区片价!B10:B28=I2)*(区片价!C3:F3=E2)*(区片价!C10:F28))</f>
        <v>0</v>
      </c>
      <c r="N2" s="1086">
        <f>SUMPRODUCT((因素修正幅度!B10:B28=I2)*(因素修正幅度!C3:F3=E2)*(因素修正幅度!C10:F28))</f>
        <v>0</v>
      </c>
      <c r="O2" s="1373"/>
      <c r="P2" s="1373"/>
      <c r="Q2" s="1373"/>
      <c r="R2" s="1606">
        <v>1</v>
      </c>
      <c r="S2" s="1606" t="e">
        <f>ROUND(IF(G3&gt;1,IF(R2&lt;7,SUMPRODUCT((B93:B98=R2)*(C92:N92=G2)*(C93:N98)),SUMIF(C92:N92,G2,C100:N100)),IF(R2&lt;7,SUMPRODUCT((B102:B107=R2)*(C92:N92=G2)*(C102:N107)),SUMIF(C92:N92,G2,C109:N109))),4)</f>
        <v>#DIV/0!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8" t="s">
        <v>2814</v>
      </c>
      <c r="B3" s="249" t="e">
        <f>ROUND(B2*10000/D1,0)</f>
        <v>#DIV/0!</v>
      </c>
      <c r="C3" s="2726" t="s">
        <v>2815</v>
      </c>
      <c r="D3" s="2727" t="s">
        <v>2816</v>
      </c>
      <c r="E3" s="2732"/>
      <c r="F3" s="2733" t="s">
        <v>2817</v>
      </c>
      <c r="G3" s="916" t="e">
        <f>IF(F3="宗地容积率",'数据-汇总表'!I4,IF(F3="估价对象容积率",'数据-汇总表'!I6,'数据-汇总表'!I7))</f>
        <v>#DIV/0!</v>
      </c>
      <c r="H3" s="199" t="s">
        <v>2818</v>
      </c>
      <c r="I3" s="947"/>
      <c r="J3" s="2730" t="s">
        <v>2819</v>
      </c>
      <c r="K3" s="1373"/>
      <c r="L3" s="2731" t="s">
        <v>2820</v>
      </c>
      <c r="M3" s="1084">
        <f>SUMPRODUCT((区片价!B29:B48=I2)*(区片价!C3:F3=E2)*(区片价!C29:F48))</f>
        <v>0</v>
      </c>
      <c r="N3" s="1086">
        <f>SUMPRODUCT((因素修正幅度!B29:B48=I2)*(因素修正幅度!C3:F3=E2)*(因素修正幅度!C29:F48))</f>
        <v>0</v>
      </c>
      <c r="O3" s="1373"/>
      <c r="P3" s="1373"/>
      <c r="Q3" s="1373"/>
      <c r="R3" s="1606">
        <v>2</v>
      </c>
      <c r="S3" s="1606" t="e">
        <f>ROUND(IF(G3&gt;1,IF(R3&lt;7,SUMPRODUCT((B93:B98=R3)*(C92:N92=G2)*(C93:N98)),SUMIF(C92:N92,G2,C100:N100)),IF(R3&lt;7,SUMPRODUCT((B102:B107=R3)*(C92:N92=G2)*(C102:N107)),SUMIF(C92:N92,G2,C109:N109))),4)</f>
        <v>#DIV/0!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257"/>
      <c r="B4" s="3258"/>
      <c r="C4" s="3258"/>
      <c r="D4" s="3259"/>
      <c r="E4" s="3259"/>
      <c r="F4" s="3259"/>
      <c r="G4" s="3259"/>
      <c r="H4" s="3259"/>
      <c r="I4" s="3259"/>
      <c r="J4" s="3260"/>
      <c r="K4" s="1373"/>
      <c r="L4" s="2731" t="s">
        <v>2821</v>
      </c>
      <c r="M4" s="1084">
        <f>SUMPRODUCT((区片价!B49:B75=I2)*(区片价!C3:F3=E2)*(区片价!C49:F75))</f>
        <v>0</v>
      </c>
      <c r="N4" s="1086">
        <f>SUMPRODUCT((因素修正幅度!B49:B75=I2)*(因素修正幅度!C3:F3=E2)*(因素修正幅度!C49:F75))</f>
        <v>0</v>
      </c>
      <c r="O4" s="1373"/>
      <c r="P4" s="1373"/>
      <c r="Q4" s="1373"/>
      <c r="R4" s="1606">
        <v>3</v>
      </c>
      <c r="S4" s="1606" t="e">
        <f>ROUND(IF(G3&gt;1,IF(R4&lt;7,SUMPRODUCT((B93:B98=R4)*(C92:N92=G2)*(C93:N98)),SUMIF(C92:N92,G2,C100:N100)),IF(R4&lt;7,SUMPRODUCT((B102:B107=R4)*(C92:N92=G2)*(C102:N107)),SUMIF(C92:N92,G2,C109:N109))),4)</f>
        <v>#DIV/0!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43" customFormat="1" ht="15.75" thickBot="1">
      <c r="A5" s="2734" t="s">
        <v>807</v>
      </c>
      <c r="B5" s="2735" t="s">
        <v>2822</v>
      </c>
      <c r="C5" s="917" t="e">
        <f>ROUND(IF(E2="商业",IF(F16="增加",C6*C7+C16,C6*C7-C16),IF(E2="住宅",IF(F16="增加",C6*C12+C16,C6*C12-C16),IF(F16="增加",C6+C16,C6-C16))),0)</f>
        <v>#DIV/0!</v>
      </c>
      <c r="D5" s="1791">
        <f>ROUND(IF(E2="商业",IF(F16="增加",C6+C16,C6-C16)),0)</f>
        <v>0</v>
      </c>
      <c r="E5" s="2736"/>
      <c r="F5" s="2736"/>
      <c r="G5" s="2737"/>
      <c r="H5" s="2737"/>
      <c r="I5" s="2737"/>
      <c r="J5" s="2738"/>
      <c r="K5" s="2739"/>
      <c r="L5" s="2731" t="s">
        <v>2823</v>
      </c>
      <c r="M5" s="1084">
        <f>SUMPRODUCT((区片价!B76:B109=I2)*(区片价!C3:F3=E2)*(区片价!C76:F109))</f>
        <v>0</v>
      </c>
      <c r="N5" s="1086">
        <f>SUMPRODUCT((因素修正幅度!B76:B109=I2)*(因素修正幅度!C3:F3=E2)*(因素修正幅度!C76:F109))</f>
        <v>0</v>
      </c>
      <c r="O5" s="1373"/>
      <c r="P5" s="1373"/>
      <c r="Q5" s="1373"/>
      <c r="R5" s="1606">
        <v>4</v>
      </c>
      <c r="S5" s="1606" t="e">
        <f>ROUND(IF(G3&gt;1,IF(R5&lt;7,SUMPRODUCT((B93:B98=R5)*(C92:N92=G2)*(C93:N98)),SUMIF(C92:N92,G2,C100:N100)),IF(R5&lt;7,SUMPRODUCT((B102:B107=R5)*(C92:N92=G2)*(C102:N107)),SUMIF(C92:N92,G2,C109:N109))),4)</f>
        <v>#DIV/0!</v>
      </c>
      <c r="T5" s="1606" t="e">
        <f t="shared" si="0"/>
        <v>#DIV/0!</v>
      </c>
      <c r="U5" s="1607"/>
      <c r="V5" s="1606" t="e">
        <f t="shared" si="1"/>
        <v>#DIV/0!</v>
      </c>
      <c r="W5" s="1610"/>
      <c r="X5" s="1610"/>
      <c r="Y5" s="1610"/>
      <c r="Z5" s="1610"/>
      <c r="AA5" s="1610"/>
      <c r="AB5" s="1610"/>
      <c r="AC5" s="2740"/>
      <c r="AD5" s="2741"/>
      <c r="AE5" s="2741"/>
      <c r="AF5" s="2741"/>
      <c r="AG5" s="2741"/>
      <c r="AH5" s="2741"/>
      <c r="AI5" s="2741"/>
      <c r="AJ5" s="2742"/>
    </row>
    <row r="6" spans="1:36" ht="15.75" thickBot="1">
      <c r="A6" s="2744" t="s">
        <v>2824</v>
      </c>
      <c r="B6" s="2745" t="s">
        <v>2825</v>
      </c>
      <c r="C6" s="918">
        <f>SUMIF(L1:L12,G2,M1:M12)</f>
        <v>0</v>
      </c>
      <c r="D6" s="2746" t="s">
        <v>2826</v>
      </c>
      <c r="E6" s="2747"/>
      <c r="F6" s="2747"/>
      <c r="G6" s="2748"/>
      <c r="H6" s="2748"/>
      <c r="I6" s="2748"/>
      <c r="J6" s="2749"/>
      <c r="K6" s="1846"/>
      <c r="L6" s="2731" t="s">
        <v>2827</v>
      </c>
      <c r="M6" s="1084">
        <f>SUMPRODUCT((区片价!B110:B157=I2)*(区片价!C3:F3=E2)*(区片价!C110:F157))</f>
        <v>0</v>
      </c>
      <c r="N6" s="1086">
        <f>SUMPRODUCT((因素修正幅度!B110:B157=I2)*(因素修正幅度!C3:F3=E2)*(因素修正幅度!C110:F157))</f>
        <v>0</v>
      </c>
      <c r="O6" s="1373"/>
      <c r="P6" s="1373"/>
      <c r="Q6" s="1373"/>
      <c r="R6" s="1606">
        <v>5</v>
      </c>
      <c r="S6" s="1606" t="e">
        <f>ROUND(IF(G3&gt;1,IF(R6&lt;7,SUMPRODUCT((B93:B98=R6)*(C92:N92=G2)*(C93:N98)),SUMIF(C92:N92,G2,C100:N100)),IF(R6&lt;7,SUMPRODUCT((B102:B107=R6)*(C92:N92=G2)*(C102:N107)),SUMIF(C92:N92,G2,C109:N109))),4)</f>
        <v>#DIV/0!</v>
      </c>
      <c r="T6" s="1606" t="e">
        <f t="shared" si="0"/>
        <v>#DIV/0!</v>
      </c>
      <c r="U6" s="1607"/>
      <c r="V6" s="1606" t="e">
        <f t="shared" si="1"/>
        <v>#DIV/0!</v>
      </c>
      <c r="W6" s="1610"/>
      <c r="X6" s="1610"/>
      <c r="Y6" s="1610"/>
      <c r="Z6" s="1610"/>
      <c r="AA6" s="1610"/>
      <c r="AB6" s="1610"/>
      <c r="AC6" s="2740"/>
      <c r="AD6" s="2741"/>
      <c r="AE6" s="2741"/>
      <c r="AF6" s="2741"/>
      <c r="AG6" s="2741"/>
      <c r="AH6" s="2741"/>
      <c r="AI6" s="2741"/>
      <c r="AJ6" s="2742"/>
    </row>
    <row r="7" spans="1:36" ht="24">
      <c r="A7" s="3243" t="str">
        <f>IF(E2="商业",IF(C8="不临58条商业街","",2),"")</f>
        <v/>
      </c>
      <c r="B7" s="2750" t="s">
        <v>2828</v>
      </c>
      <c r="C7" s="919" t="e">
        <f>IF(C8="不临58条商业街",1,ROUND(1+(1.6*E8+1.2*E9+0.8*E10+0.4*E11)*C9,4))</f>
        <v>#DIV/0!</v>
      </c>
      <c r="D7" s="2751" t="s">
        <v>2829</v>
      </c>
      <c r="E7" s="948"/>
      <c r="F7" s="2752"/>
      <c r="G7" s="2753"/>
      <c r="H7" s="2753"/>
      <c r="I7" s="2753"/>
      <c r="J7" s="2754"/>
      <c r="K7" s="1846"/>
      <c r="L7" s="2731" t="s">
        <v>2830</v>
      </c>
      <c r="M7" s="1084">
        <f>SUMPRODUCT((区片价!B158:B205=I2)*(区片价!C3:F3=E2)*(区片价!C158:F205))</f>
        <v>0</v>
      </c>
      <c r="N7" s="1086">
        <f>SUMPRODUCT((因素修正幅度!B158:B205=I2)*(因素修正幅度!C3:F3=E2)*(因素修正幅度!C158:F205))</f>
        <v>0</v>
      </c>
      <c r="O7" s="1373"/>
      <c r="P7" s="1373"/>
      <c r="Q7" s="1373"/>
      <c r="R7" s="1606">
        <v>6</v>
      </c>
      <c r="S7" s="1606" t="e">
        <f>ROUND(IF(G3&gt;1,IF(R7&lt;7,SUMPRODUCT((B93:B98=R7)*(C92:N92=G2)*(C93:N98)),SUMIF(C92:N92,G2,C100:N100)),IF(R7&lt;7,SUMPRODUCT((B102:B107=R7)*(C92:N92=G2)*(C102:N107)),SUMIF(C92:N92,G2,C109:N109))),4)</f>
        <v>#DIV/0!</v>
      </c>
      <c r="T7" s="1606" t="e">
        <f t="shared" si="0"/>
        <v>#DIV/0!</v>
      </c>
      <c r="U7" s="1607"/>
      <c r="V7" s="1606" t="e">
        <f t="shared" si="1"/>
        <v>#DIV/0!</v>
      </c>
      <c r="W7" s="1820" t="s">
        <v>2831</v>
      </c>
      <c r="X7" s="1608">
        <f>G2</f>
        <v>0</v>
      </c>
      <c r="Y7" s="1608" t="s">
        <v>2832</v>
      </c>
      <c r="Z7" s="1609" t="e">
        <f>G3</f>
        <v>#DIV/0!</v>
      </c>
      <c r="AA7" s="1610"/>
      <c r="AB7" s="1610"/>
      <c r="AC7" s="1611"/>
      <c r="AD7" s="1612"/>
      <c r="AE7" s="1612"/>
      <c r="AF7" s="1612"/>
      <c r="AG7" s="1612"/>
      <c r="AH7" s="1612"/>
      <c r="AI7" s="1612"/>
      <c r="AJ7" s="1613"/>
    </row>
    <row r="8" spans="1:36" ht="15">
      <c r="A8" s="3244"/>
      <c r="B8" s="199" t="s">
        <v>2833</v>
      </c>
      <c r="C8" s="2755"/>
      <c r="D8" s="920" t="s">
        <v>139</v>
      </c>
      <c r="E8" s="921" t="e">
        <f>ROUND(C11/E7,4)</f>
        <v>#DIV/0!</v>
      </c>
      <c r="F8" s="2756" t="s">
        <v>2834</v>
      </c>
      <c r="G8" s="2757"/>
      <c r="H8" s="2757"/>
      <c r="I8" s="2757"/>
      <c r="J8" s="2758"/>
      <c r="K8" s="1373"/>
      <c r="L8" s="2731" t="s">
        <v>2835</v>
      </c>
      <c r="M8" s="1084">
        <f>SUMPRODUCT((区片价!B206:B244=I2)*(区片价!C3:F3=E2)*(区片价!C206:F244))</f>
        <v>0</v>
      </c>
      <c r="N8" s="1086">
        <f>SUMPRODUCT((因素修正幅度!B206:B244=I2)*(因素修正幅度!C3:F3=E2)*(因素修正幅度!C206:F244))</f>
        <v>0</v>
      </c>
      <c r="O8" s="1373"/>
      <c r="P8" s="1373"/>
      <c r="Q8" s="1373"/>
      <c r="R8" s="1606">
        <v>7</v>
      </c>
      <c r="S8" s="1607"/>
      <c r="T8" s="1606" t="e">
        <f t="shared" si="0"/>
        <v>#DIV/0!</v>
      </c>
      <c r="U8" s="1607"/>
      <c r="V8" s="1606" t="e">
        <f t="shared" si="1"/>
        <v>#DIV/0!</v>
      </c>
      <c r="W8" s="3254" t="s">
        <v>2836</v>
      </c>
      <c r="X8" s="3255"/>
      <c r="Y8" s="1614" t="s">
        <v>2837</v>
      </c>
      <c r="Z8" s="1614" t="s">
        <v>2838</v>
      </c>
      <c r="AA8" s="1614" t="s">
        <v>2839</v>
      </c>
      <c r="AB8" s="1614" t="s">
        <v>2840</v>
      </c>
      <c r="AC8" s="1614" t="s">
        <v>2841</v>
      </c>
      <c r="AD8" s="1614" t="s">
        <v>2842</v>
      </c>
      <c r="AE8" s="1614" t="s">
        <v>2843</v>
      </c>
      <c r="AF8" s="1614" t="s">
        <v>2844</v>
      </c>
      <c r="AG8" s="1614" t="s">
        <v>2845</v>
      </c>
      <c r="AH8" s="1614" t="s">
        <v>2846</v>
      </c>
      <c r="AI8" s="1614" t="s">
        <v>2847</v>
      </c>
      <c r="AJ8" s="1614" t="s">
        <v>2848</v>
      </c>
    </row>
    <row r="9" spans="1:36" ht="15">
      <c r="A9" s="3244"/>
      <c r="B9" s="199" t="s">
        <v>2849</v>
      </c>
      <c r="C9" s="922">
        <f>SUMIF(修正!C59:C119,C8,修正!E59:E119)</f>
        <v>0</v>
      </c>
      <c r="D9" s="201" t="s">
        <v>140</v>
      </c>
      <c r="E9" s="201" t="e">
        <f>ROUND(C11/E7,4)</f>
        <v>#DIV/0!</v>
      </c>
      <c r="F9" s="2756" t="s">
        <v>2850</v>
      </c>
      <c r="G9" s="2757"/>
      <c r="H9" s="2757"/>
      <c r="I9" s="2757"/>
      <c r="J9" s="2758"/>
      <c r="K9" s="1373"/>
      <c r="L9" s="2731" t="s">
        <v>2851</v>
      </c>
      <c r="M9" s="1084">
        <f>SUMPRODUCT((区片价!B245:B289=I2)*(区片价!C3:F3=E2)*(区片价!C245:F289))</f>
        <v>0</v>
      </c>
      <c r="N9" s="1086">
        <f>SUMPRODUCT((因素修正幅度!B245:B289=I2)*(因素修正幅度!C3:F3=E2)*(因素修正幅度!C245:F289))</f>
        <v>0</v>
      </c>
      <c r="O9" s="1373"/>
      <c r="P9" s="1373"/>
      <c r="Q9" s="1373"/>
      <c r="R9" s="1606">
        <v>8</v>
      </c>
      <c r="S9" s="1607"/>
      <c r="T9" s="1606" t="e">
        <f t="shared" si="0"/>
        <v>#DIV/0!</v>
      </c>
      <c r="U9" s="1607"/>
      <c r="V9" s="1606" t="e">
        <f t="shared" si="1"/>
        <v>#DIV/0!</v>
      </c>
      <c r="W9" s="3256" t="s">
        <v>2852</v>
      </c>
      <c r="X9" s="1615" t="s">
        <v>2853</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44"/>
      <c r="B10" s="199" t="s">
        <v>2854</v>
      </c>
      <c r="C10" s="201">
        <f>SUMIF(修正!C59:C119,C8,修正!F59:F119)</f>
        <v>0</v>
      </c>
      <c r="D10" s="201" t="s">
        <v>141</v>
      </c>
      <c r="E10" s="201" t="e">
        <f>ROUND(C11/E7,4)</f>
        <v>#DIV/0!</v>
      </c>
      <c r="F10" s="2756" t="s">
        <v>2855</v>
      </c>
      <c r="G10" s="2757"/>
      <c r="H10" s="2757"/>
      <c r="I10" s="2757"/>
      <c r="J10" s="2758"/>
      <c r="K10" s="1373"/>
      <c r="L10" s="2731" t="s">
        <v>2856</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t="e">
        <f t="shared" si="0"/>
        <v>#DIV/0!</v>
      </c>
      <c r="U10" s="1607"/>
      <c r="V10" s="1606" t="e">
        <f t="shared" si="1"/>
        <v>#DIV/0!</v>
      </c>
      <c r="W10" s="3256"/>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44"/>
      <c r="B11" s="2759" t="s">
        <v>2857</v>
      </c>
      <c r="C11" s="923">
        <f>C10/4</f>
        <v>0</v>
      </c>
      <c r="D11" s="923" t="s">
        <v>142</v>
      </c>
      <c r="E11" s="923" t="e">
        <f>ROUND(C11/E7,4)</f>
        <v>#DIV/0!</v>
      </c>
      <c r="F11" s="2760" t="s">
        <v>2858</v>
      </c>
      <c r="G11" s="2761"/>
      <c r="H11" s="2761"/>
      <c r="I11" s="2761"/>
      <c r="J11" s="2762"/>
      <c r="K11" s="1373"/>
      <c r="L11" s="2731" t="s">
        <v>2859</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t="e">
        <f t="shared" si="0"/>
        <v>#DIV/0!</v>
      </c>
      <c r="U11" s="1607"/>
      <c r="V11" s="1606" t="e">
        <f t="shared" si="1"/>
        <v>#DIV/0!</v>
      </c>
      <c r="W11" s="3256" t="s">
        <v>2860</v>
      </c>
      <c r="X11" s="1618" t="s">
        <v>2861</v>
      </c>
      <c r="Y11" s="1619" t="e">
        <f>$G$3</f>
        <v>#DIV/0!</v>
      </c>
      <c r="Z11" s="1619" t="e">
        <f t="shared" ref="Z11:AJ11" si="3">$G$3</f>
        <v>#DIV/0!</v>
      </c>
      <c r="AA11" s="1619" t="e">
        <f t="shared" si="3"/>
        <v>#DIV/0!</v>
      </c>
      <c r="AB11" s="1619" t="e">
        <f t="shared" si="3"/>
        <v>#DIV/0!</v>
      </c>
      <c r="AC11" s="1619" t="e">
        <f t="shared" si="3"/>
        <v>#DIV/0!</v>
      </c>
      <c r="AD11" s="1619" t="e">
        <f t="shared" si="3"/>
        <v>#DIV/0!</v>
      </c>
      <c r="AE11" s="1619" t="e">
        <f t="shared" si="3"/>
        <v>#DIV/0!</v>
      </c>
      <c r="AF11" s="1619" t="e">
        <f t="shared" si="3"/>
        <v>#DIV/0!</v>
      </c>
      <c r="AG11" s="1619" t="e">
        <f t="shared" si="3"/>
        <v>#DIV/0!</v>
      </c>
      <c r="AH11" s="1619" t="e">
        <f t="shared" si="3"/>
        <v>#DIV/0!</v>
      </c>
      <c r="AI11" s="1619" t="e">
        <f t="shared" si="3"/>
        <v>#DIV/0!</v>
      </c>
      <c r="AJ11" s="1619" t="e">
        <f t="shared" si="3"/>
        <v>#DIV/0!</v>
      </c>
    </row>
    <row r="12" spans="1:36" ht="25.5" thickBot="1">
      <c r="A12" s="3243" t="s">
        <v>2862</v>
      </c>
      <c r="B12" s="2763" t="s">
        <v>2863</v>
      </c>
      <c r="C12" s="919">
        <f>ROUND(C15*D15*E15*F15*G15*H15*I15*J15,4)</f>
        <v>1</v>
      </c>
      <c r="D12" s="2764" t="s">
        <v>2864</v>
      </c>
      <c r="E12" s="2765"/>
      <c r="F12" s="2765"/>
      <c r="G12" s="2766"/>
      <c r="H12" s="2766"/>
      <c r="I12" s="2766"/>
      <c r="J12" s="2767"/>
      <c r="K12" s="1373"/>
      <c r="L12" s="2768" t="s">
        <v>2865</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t="e">
        <f t="shared" si="0"/>
        <v>#DIV/0!</v>
      </c>
      <c r="U12" s="1607"/>
      <c r="V12" s="1606" t="e">
        <f t="shared" si="1"/>
        <v>#DIV/0!</v>
      </c>
      <c r="W12" s="3256"/>
      <c r="X12" s="1620" t="s">
        <v>2866</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61"/>
      <c r="B13" s="2769" t="s">
        <v>2867</v>
      </c>
      <c r="C13" s="2770" t="s">
        <v>2868</v>
      </c>
      <c r="D13" s="1812" t="s">
        <v>2869</v>
      </c>
      <c r="E13" s="1812" t="s">
        <v>2870</v>
      </c>
      <c r="F13" s="30" t="s">
        <v>2871</v>
      </c>
      <c r="G13" s="2771" t="s">
        <v>2872</v>
      </c>
      <c r="H13" s="2771" t="s">
        <v>2872</v>
      </c>
      <c r="I13" s="2771" t="s">
        <v>2872</v>
      </c>
      <c r="J13" s="2772" t="s">
        <v>2872</v>
      </c>
      <c r="K13" s="1373"/>
      <c r="L13" s="1373"/>
      <c r="M13" s="1373"/>
      <c r="N13" s="1373"/>
      <c r="O13" s="1373"/>
      <c r="P13" s="1373"/>
      <c r="Q13" s="1373"/>
      <c r="R13" s="1606">
        <v>12</v>
      </c>
      <c r="S13" s="1607"/>
      <c r="T13" s="1606" t="e">
        <f t="shared" si="0"/>
        <v>#DIV/0!</v>
      </c>
      <c r="U13" s="1607"/>
      <c r="V13" s="1606" t="e">
        <f t="shared" si="1"/>
        <v>#DIV/0!</v>
      </c>
      <c r="W13" s="3256"/>
      <c r="X13" s="1620"/>
      <c r="Y13" s="1617" t="e">
        <f>(-0.163*(Y12^2)-0.59*Y12+7617)*(10^(-4))/Y11</f>
        <v>#DIV/0!</v>
      </c>
      <c r="Z13" s="1617" t="e">
        <f t="shared" ref="Z13:AJ13" si="5">(-0.163*(Z12^2)-0.59*Z12+7617)*(10^(-4))/Z11</f>
        <v>#DIV/0!</v>
      </c>
      <c r="AA13" s="1617" t="e">
        <f t="shared" si="5"/>
        <v>#DIV/0!</v>
      </c>
      <c r="AB13" s="1617" t="e">
        <f t="shared" si="5"/>
        <v>#DIV/0!</v>
      </c>
      <c r="AC13" s="1617" t="e">
        <f t="shared" si="5"/>
        <v>#DIV/0!</v>
      </c>
      <c r="AD13" s="1617" t="e">
        <f t="shared" si="5"/>
        <v>#DIV/0!</v>
      </c>
      <c r="AE13" s="1617" t="e">
        <f t="shared" si="5"/>
        <v>#DIV/0!</v>
      </c>
      <c r="AF13" s="1617" t="e">
        <f t="shared" si="5"/>
        <v>#DIV/0!</v>
      </c>
      <c r="AG13" s="1617" t="e">
        <f t="shared" si="5"/>
        <v>#DIV/0!</v>
      </c>
      <c r="AH13" s="1617" t="e">
        <f t="shared" si="5"/>
        <v>#DIV/0!</v>
      </c>
      <c r="AI13" s="1617" t="e">
        <f t="shared" si="5"/>
        <v>#DIV/0!</v>
      </c>
      <c r="AJ13" s="1617" t="e">
        <f t="shared" si="5"/>
        <v>#DIV/0!</v>
      </c>
    </row>
    <row r="14" spans="1:36" ht="15">
      <c r="A14" s="3261"/>
      <c r="B14" s="2773"/>
      <c r="C14" s="2774"/>
      <c r="D14" s="2775"/>
      <c r="E14" s="2775"/>
      <c r="F14" s="2776"/>
      <c r="G14" s="2777" t="s">
        <v>2873</v>
      </c>
      <c r="H14" s="2778"/>
      <c r="I14" s="2779"/>
      <c r="J14" s="2780"/>
      <c r="K14" s="1373"/>
      <c r="L14" s="1373"/>
      <c r="M14" s="1373"/>
      <c r="N14" s="1373"/>
      <c r="O14" s="1373"/>
      <c r="P14" s="1373"/>
      <c r="Q14" s="1373"/>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262"/>
      <c r="B15" s="2781" t="s">
        <v>2874</v>
      </c>
      <c r="C15" s="230">
        <f>IF(C14="有",1.1,1)</f>
        <v>1</v>
      </c>
      <c r="D15" s="230">
        <f>IF(D14="有",1.1,1)</f>
        <v>1</v>
      </c>
      <c r="E15" s="230">
        <f>IF(E14="有",1.1,1)</f>
        <v>1</v>
      </c>
      <c r="F15" s="230">
        <f>IF(F14="500米范围内",1.2,IF(F14="500-1000米",1.1,1))</f>
        <v>1</v>
      </c>
      <c r="G15" s="949">
        <v>1</v>
      </c>
      <c r="H15" s="949">
        <v>1</v>
      </c>
      <c r="I15" s="949">
        <v>1</v>
      </c>
      <c r="J15" s="950">
        <v>1</v>
      </c>
      <c r="K15" s="1373"/>
      <c r="L15" s="2782" t="s">
        <v>2810</v>
      </c>
      <c r="M15" s="920" t="s">
        <v>2875</v>
      </c>
      <c r="N15" s="920" t="s">
        <v>2876</v>
      </c>
      <c r="O15" s="920" t="s">
        <v>2877</v>
      </c>
      <c r="P15" s="2783" t="s">
        <v>2878</v>
      </c>
      <c r="Q15" s="1373"/>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243" t="s">
        <v>2879</v>
      </c>
      <c r="B16" s="2750" t="s">
        <v>2880</v>
      </c>
      <c r="C16" s="1805" t="e">
        <f>ROUND(SUM(G17:J17)/C17,0)</f>
        <v>#DIV/0!</v>
      </c>
      <c r="D16" s="2784" t="s">
        <v>2881</v>
      </c>
      <c r="E16" s="2785"/>
      <c r="F16" s="2786"/>
      <c r="G16" s="2787"/>
      <c r="H16" s="2787"/>
      <c r="I16" s="2787"/>
      <c r="J16" s="2788"/>
      <c r="K16" s="1373"/>
      <c r="L16" s="2789" t="s">
        <v>2882</v>
      </c>
      <c r="M16" s="922">
        <v>0.25</v>
      </c>
      <c r="N16" s="922">
        <v>0.2</v>
      </c>
      <c r="O16" s="922">
        <v>0.15</v>
      </c>
      <c r="P16" s="1372">
        <v>0.1</v>
      </c>
      <c r="Q16" s="1373"/>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244"/>
      <c r="B17" s="2790" t="s">
        <v>2883</v>
      </c>
      <c r="C17" s="924">
        <f>SUMPRODUCT((修正!A2:A5=E2)*(修正!B1:M1=G2)*(修正!B2:M5))</f>
        <v>0</v>
      </c>
      <c r="D17" s="2791" t="s">
        <v>2884</v>
      </c>
      <c r="E17" s="923" t="str">
        <f>IF(OR(G2="八级",G2="九级",G2="十级",G2="十一级",G2="十二级"),"五通一平","七通一平")</f>
        <v>七通一平</v>
      </c>
      <c r="F17" s="924" t="s">
        <v>2885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2886</v>
      </c>
      <c r="M17" s="212">
        <f ca="1">ROUND($E$20*(1+M16),3)</f>
        <v>5.3999999999999999E-2</v>
      </c>
      <c r="N17" s="212">
        <f ca="1">ROUND($E$20*(1+N16),3)</f>
        <v>5.1999999999999998E-2</v>
      </c>
      <c r="O17" s="212">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2887</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2888</v>
      </c>
      <c r="C19" s="927" t="e">
        <f>ROUND(IF(H19="按公示增长率计算",SUMPRODUCT((地价!A3:A20=YEAR(G19)&amp;"-"&amp;ROUNDUP(MONTH(G19)/3,0))*(地价!X2:AB2=E2)*(地价!X3:AB20)),IF(H19="地价指数",M20/M19,(1+I19)^O19)),4)</f>
        <v>#DIV/0!</v>
      </c>
      <c r="D19" s="2802" t="s">
        <v>2889</v>
      </c>
      <c r="E19" s="928">
        <v>41640</v>
      </c>
      <c r="F19" s="2802" t="s">
        <v>2890</v>
      </c>
      <c r="G19" s="929">
        <f>'数据-取费表'!B2</f>
        <v>43040</v>
      </c>
      <c r="H19" s="2803" t="s">
        <v>2891</v>
      </c>
      <c r="I19" s="930" t="str">
        <f>IF(H19="季度增幅（自定义）",SUMIF(N21:N24,E2,O21:O24),"")</f>
        <v/>
      </c>
      <c r="J19" s="2800"/>
      <c r="K19" s="1380"/>
      <c r="L19" s="2804" t="s">
        <v>2892</v>
      </c>
      <c r="M19" s="1738">
        <f>ROUND(SUMIF(地价!B2:F2,E2,地价!B20:F20),0)</f>
        <v>0</v>
      </c>
      <c r="N19" s="2805" t="s">
        <v>2893</v>
      </c>
      <c r="O19" s="931">
        <f>ROUNDDOWN(DATEDIF(E19,G19,"M")/3,0)</f>
        <v>15</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2894</v>
      </c>
      <c r="C20" s="932" t="e">
        <f>ROUND(POWER(1+G20,J20-I20)*(POWER(1+G20,I20)-1)/(POWER(1+G20,J20)-1),4)</f>
        <v>#DIV/0!</v>
      </c>
      <c r="D20" s="2811" t="s">
        <v>2895</v>
      </c>
      <c r="E20" s="1772">
        <f ca="1">存贷款利率!D4/100</f>
        <v>4.3499999999999997E-2</v>
      </c>
      <c r="F20" s="2811" t="s">
        <v>2886</v>
      </c>
      <c r="G20" s="937">
        <f>SUMIF(M15:P15,E2,M17:P17)</f>
        <v>0</v>
      </c>
      <c r="H20" s="2811" t="s">
        <v>2896</v>
      </c>
      <c r="I20" s="938" t="e">
        <f>SUMIF('数据-取费表'!C6:C15,E2,'数据-取费表'!F6:F15)/COUNTIF('数据-取费表'!C6:C15,E2)</f>
        <v>#DIV/0!</v>
      </c>
      <c r="J20" s="939">
        <f>IF(E2="住宅",70,IF(E2="商业",40,50))</f>
        <v>50</v>
      </c>
      <c r="K20" s="1380"/>
      <c r="L20" s="2812" t="s">
        <v>2897</v>
      </c>
      <c r="M20" s="1739">
        <f>ROUND(SUMPRODUCT((地价!A5:A20=YEAR(G19)&amp;"-"&amp;ROUNDUP(MONTH(G19)/3,0))*(地价!B2:F2=E2)*(地价!B5:F20)),0)</f>
        <v>0</v>
      </c>
      <c r="N20" s="2813" t="s">
        <v>2898</v>
      </c>
      <c r="O20" s="2814" t="s">
        <v>2899</v>
      </c>
      <c r="P20" s="2815" t="s">
        <v>2900</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2901</v>
      </c>
      <c r="C21" s="940" t="e">
        <f>IF(B21="容积率修正",IF(G3&lt;=10,D22,J22),C23)</f>
        <v>#DIV/0!</v>
      </c>
      <c r="D21" s="2818"/>
      <c r="E21" s="2818"/>
      <c r="F21" s="2818"/>
      <c r="G21" s="2818"/>
      <c r="H21" s="2818"/>
      <c r="I21" s="2818"/>
      <c r="J21" s="2819"/>
      <c r="K21" s="1380"/>
      <c r="N21" s="2820" t="s">
        <v>2902</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3" customFormat="1" ht="14.25">
      <c r="A22" s="2669" t="s">
        <v>2903</v>
      </c>
      <c r="B22" s="2821" t="s">
        <v>2904</v>
      </c>
      <c r="C22" s="1814" t="s">
        <v>2905</v>
      </c>
      <c r="D22" s="1814" t="e">
        <f>IF(E22=G22,F22,IF(G3&lt;=10,ROUND(F22+(H22-F22)*(G3-E22)/(G22-E22),4),"——"))</f>
        <v>#DIV/0!</v>
      </c>
      <c r="E22" s="916" t="e">
        <f>ROUNDDOWN(G3,1)</f>
        <v>#DIV/0!</v>
      </c>
      <c r="F22" s="181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4" t="s">
        <v>155</v>
      </c>
      <c r="J22" s="941" t="e">
        <f>IF(G3&gt;10,D113,"——")</f>
        <v>#DIV/0!</v>
      </c>
      <c r="K22" s="1380"/>
      <c r="N22" s="2820" t="s">
        <v>2906</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9" t="s">
        <v>2907</v>
      </c>
      <c r="B23" s="2822" t="s">
        <v>2908</v>
      </c>
      <c r="C23" s="1016" t="e">
        <f>ROUND(IF(G3&gt;1,IF(I3&lt;7,SUMPRODUCT((B93:B98=I3)*(C92:N92=G2)*(C93:N98)),SUMIF(C92:N92,G2,C100:N100)),IF(I3&lt;7,SUMPRODUCT((B102:B107=I3)*(C92:N92=G2)*(C102:N107)),SUMIF(C92:N92,G2,C109:N109))),4)</f>
        <v>#DIV/0!</v>
      </c>
      <c r="D23" s="2778"/>
      <c r="E23" s="2778"/>
      <c r="F23" s="2823"/>
      <c r="G23" s="2824"/>
      <c r="H23" s="2825"/>
      <c r="I23" s="2826"/>
      <c r="J23" s="2827"/>
      <c r="K23" s="1373"/>
      <c r="N23" s="2820" t="s">
        <v>2909</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2910</v>
      </c>
      <c r="C24" s="927">
        <f>SUMIF(A45:A88,E2,B45:B88)</f>
        <v>0</v>
      </c>
      <c r="D24" s="2798"/>
      <c r="E24" s="2828"/>
      <c r="F24" s="2828"/>
      <c r="G24" s="2828"/>
      <c r="H24" s="2828"/>
      <c r="I24" s="2828"/>
      <c r="J24" s="2829"/>
      <c r="K24" s="1380"/>
      <c r="N24" s="2830" t="s">
        <v>2911</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2912</v>
      </c>
      <c r="C25" s="933"/>
      <c r="D25" s="2753"/>
      <c r="E25" s="2753"/>
      <c r="F25" s="2832"/>
      <c r="G25" s="2753"/>
      <c r="H25" s="2753"/>
      <c r="I25" s="2753"/>
      <c r="J25" s="2754"/>
      <c r="K25" s="1373"/>
      <c r="N25" s="2833" t="s">
        <v>2913</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4"/>
      <c r="B26" s="2821" t="s">
        <v>2914</v>
      </c>
      <c r="C26" s="207"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2915</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2916</v>
      </c>
      <c r="C28" s="2845" t="s">
        <v>2917</v>
      </c>
      <c r="D28" s="2845" t="s">
        <v>2918</v>
      </c>
      <c r="E28" s="2846" t="s">
        <v>2919</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2920</v>
      </c>
      <c r="C29" s="207" t="e">
        <f>ROUND(C5*C18*C19*C20*C21*C24,0)</f>
        <v>#DIV/0!</v>
      </c>
      <c r="D29" s="2850"/>
      <c r="E29" s="945" t="e">
        <f>ROUND(C29*D29/10000,0)</f>
        <v>#DIV/0!</v>
      </c>
      <c r="F29" s="2851" t="s">
        <v>2921</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2922</v>
      </c>
      <c r="C30" s="230" t="e">
        <f>ROUND(IF(E2="工业",C29*M39,C29*M38),0)</f>
        <v>#DIV/0!</v>
      </c>
      <c r="D30" s="2856"/>
      <c r="E30" s="945" t="e">
        <f>ROUND(C30*D30/10000,0)</f>
        <v>#DIV/0!</v>
      </c>
      <c r="F30" s="2857" t="s">
        <v>2923</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2924</v>
      </c>
      <c r="C31" s="2862" t="s">
        <v>2925</v>
      </c>
      <c r="D31" s="2766"/>
      <c r="E31" s="2862"/>
      <c r="F31" s="2862"/>
      <c r="G31" s="2764" t="s">
        <v>2926</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2" t="s">
        <v>2917</v>
      </c>
      <c r="D32" s="499" t="s">
        <v>2918</v>
      </c>
      <c r="E32" s="499" t="s">
        <v>2919</v>
      </c>
      <c r="F32" s="389" t="s">
        <v>2927</v>
      </c>
      <c r="G32" s="2865" t="s">
        <v>2917</v>
      </c>
      <c r="H32" s="2865" t="s">
        <v>2918</v>
      </c>
      <c r="I32" s="2865" t="s">
        <v>2919</v>
      </c>
      <c r="J32" s="288"/>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51" t="s">
        <v>2928</v>
      </c>
      <c r="B33" s="2866" t="s">
        <v>2929</v>
      </c>
      <c r="C33" s="207" t="e">
        <f>ROUND(D5*C19*C20*C24*F33,0)</f>
        <v>#DIV/0!</v>
      </c>
      <c r="D33" s="2850"/>
      <c r="E33" s="201" t="e">
        <f>ROUND(C33*D33/10000,0)</f>
        <v>#DIV/0!</v>
      </c>
      <c r="F33" s="201">
        <f>SUMIF(修正!A45:A56,G2,修正!B45:B56)</f>
        <v>0</v>
      </c>
      <c r="G33" s="201" t="e">
        <f t="shared" ref="G33:G39" si="6">ROUND(IF(E2="工业",C33*$M$39,C33*$M$38),0)</f>
        <v>#DIV/0!</v>
      </c>
      <c r="H33" s="201">
        <f>D33</f>
        <v>0</v>
      </c>
      <c r="I33" s="201"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2"/>
      <c r="B34" s="2770" t="s">
        <v>2930</v>
      </c>
      <c r="C34" s="207" t="e">
        <f>ROUND(D5*C19*C20*C24*F34,0)</f>
        <v>#DIV/0!</v>
      </c>
      <c r="D34" s="2850"/>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2"/>
      <c r="B35" s="2770" t="s">
        <v>2931</v>
      </c>
      <c r="C35" s="207" t="e">
        <f>ROUND(D5*C19*C20*C24*F35,0)</f>
        <v>#DIV/0!</v>
      </c>
      <c r="D35" s="2850"/>
      <c r="E35" s="201" t="e">
        <f t="shared" si="7"/>
        <v>#DIV/0!</v>
      </c>
      <c r="F35" s="201">
        <f>SUMIF(修正!A45:A56,G2,修正!D45:D56)</f>
        <v>0</v>
      </c>
      <c r="G35" s="201" t="e">
        <f t="shared" si="6"/>
        <v>#DIV/0!</v>
      </c>
      <c r="H35" s="201">
        <f t="shared" si="8"/>
        <v>0</v>
      </c>
      <c r="I35" s="201"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53"/>
      <c r="B36" s="2770" t="s">
        <v>2932</v>
      </c>
      <c r="C36" s="207" t="e">
        <f>ROUND(D5*C19*C20*C24*F36,0)</f>
        <v>#DIV/0!</v>
      </c>
      <c r="D36" s="2850"/>
      <c r="E36" s="201" t="e">
        <f t="shared" si="7"/>
        <v>#DIV/0!</v>
      </c>
      <c r="F36" s="201">
        <f>SUMIF(修正!A45:A56,G2,修正!E45:E56)</f>
        <v>0</v>
      </c>
      <c r="G36" s="201" t="e">
        <f t="shared" si="6"/>
        <v>#DIV/0!</v>
      </c>
      <c r="H36" s="201">
        <f t="shared" si="8"/>
        <v>0</v>
      </c>
      <c r="I36" s="201"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2933</v>
      </c>
      <c r="C37" s="201" t="e">
        <f>ROUND(C5*C19*C20*C24*F37,0)</f>
        <v>#DIV/0!</v>
      </c>
      <c r="D37" s="2850"/>
      <c r="E37" s="201" t="e">
        <f t="shared" si="7"/>
        <v>#DIV/0!</v>
      </c>
      <c r="F37" s="207">
        <f>SUMIF(修正!A45:A56,G2,修正!F45:F56)</f>
        <v>0</v>
      </c>
      <c r="G37" s="201" t="e">
        <f t="shared" si="6"/>
        <v>#DIV/0!</v>
      </c>
      <c r="H37" s="201">
        <f t="shared" si="8"/>
        <v>0</v>
      </c>
      <c r="I37" s="201" t="e">
        <f t="shared" si="9"/>
        <v>#DIV/0!</v>
      </c>
      <c r="J37" s="2867"/>
      <c r="K37" s="1373"/>
      <c r="L37" s="2869" t="s">
        <v>2934</v>
      </c>
      <c r="M37" s="2870"/>
      <c r="N37" s="1373"/>
      <c r="O37" s="1373"/>
      <c r="P37" s="1373"/>
      <c r="Q37" s="1373"/>
      <c r="R37" s="1373"/>
      <c r="S37" s="1373"/>
      <c r="T37" s="1373"/>
      <c r="U37" s="1373"/>
      <c r="V37" s="1373"/>
      <c r="W37" s="1373"/>
      <c r="X37" s="1373"/>
      <c r="Y37" s="1373"/>
      <c r="Z37" s="1374"/>
    </row>
    <row r="38" spans="1:37">
      <c r="A38" s="2868"/>
      <c r="B38" s="2770" t="s">
        <v>2935</v>
      </c>
      <c r="C38" s="201" t="e">
        <f>ROUND(C5*C19*C20*C24*F38,0)</f>
        <v>#DIV/0!</v>
      </c>
      <c r="D38" s="2850"/>
      <c r="E38" s="201" t="e">
        <f t="shared" si="7"/>
        <v>#DIV/0!</v>
      </c>
      <c r="F38" s="207">
        <f>SUMIF(修正!A45:A56,G2,修正!G45:G56)</f>
        <v>0</v>
      </c>
      <c r="G38" s="201" t="e">
        <f t="shared" si="6"/>
        <v>#DIV/0!</v>
      </c>
      <c r="H38" s="201">
        <f t="shared" si="8"/>
        <v>0</v>
      </c>
      <c r="I38" s="201" t="e">
        <f t="shared" si="9"/>
        <v>#DIV/0!</v>
      </c>
      <c r="J38" s="2867"/>
      <c r="K38" s="1373"/>
      <c r="L38" s="1891" t="s">
        <v>2936</v>
      </c>
      <c r="M38" s="2871">
        <v>0.25</v>
      </c>
      <c r="N38" s="1373"/>
      <c r="O38" s="1373"/>
      <c r="P38" s="1373"/>
      <c r="Q38" s="1373"/>
      <c r="R38" s="1373"/>
      <c r="S38" s="1373"/>
      <c r="T38" s="1373"/>
      <c r="U38" s="1373"/>
      <c r="V38" s="1373"/>
      <c r="W38" s="1373"/>
      <c r="X38" s="1373"/>
      <c r="Y38" s="1373"/>
      <c r="Z38" s="1374"/>
    </row>
    <row r="39" spans="1:37" ht="13.5" thickBot="1">
      <c r="A39" s="2854"/>
      <c r="B39" s="2872" t="s">
        <v>2937</v>
      </c>
      <c r="C39" s="230" t="e">
        <f>ROUND(C5*C19*C20*C24*F39,0)</f>
        <v>#DIV/0!</v>
      </c>
      <c r="D39" s="2856"/>
      <c r="E39" s="230" t="e">
        <f t="shared" si="7"/>
        <v>#DIV/0!</v>
      </c>
      <c r="F39" s="935">
        <f>SUMIF(修正!A45:A56,G2,修正!H45:H56)</f>
        <v>0</v>
      </c>
      <c r="G39" s="230" t="e">
        <f t="shared" si="6"/>
        <v>#DIV/0!</v>
      </c>
      <c r="H39" s="230">
        <f t="shared" si="8"/>
        <v>0</v>
      </c>
      <c r="I39" s="230" t="e">
        <f t="shared" si="9"/>
        <v>#DIV/0!</v>
      </c>
      <c r="J39" s="2873"/>
      <c r="K39" s="1373"/>
      <c r="L39" s="2874" t="s">
        <v>2878</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2938</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2939</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2940</v>
      </c>
      <c r="B47" s="1813" t="s">
        <v>2941</v>
      </c>
      <c r="C47" s="1813" t="s">
        <v>2942</v>
      </c>
      <c r="D47" s="1813" t="s">
        <v>2943</v>
      </c>
      <c r="E47" s="819" t="s">
        <v>2944</v>
      </c>
      <c r="F47" s="2884" t="s">
        <v>2945</v>
      </c>
      <c r="G47" s="1813" t="s">
        <v>754</v>
      </c>
      <c r="H47" s="2885" t="s">
        <v>2946</v>
      </c>
      <c r="I47" s="1813" t="s">
        <v>2947</v>
      </c>
      <c r="J47" s="604" t="s">
        <v>2593</v>
      </c>
      <c r="K47" s="604" t="s">
        <v>2594</v>
      </c>
      <c r="L47" s="604" t="s">
        <v>2595</v>
      </c>
      <c r="M47" s="604" t="s">
        <v>2596</v>
      </c>
      <c r="N47" s="604" t="s">
        <v>2597</v>
      </c>
      <c r="AA47" s="1374"/>
      <c r="AB47" s="1374"/>
      <c r="AC47" s="1374"/>
      <c r="AD47" s="1374"/>
      <c r="AE47" s="1374"/>
      <c r="AF47" s="1374"/>
      <c r="AG47" s="1374"/>
      <c r="AH47" s="1374"/>
      <c r="AI47" s="1374"/>
      <c r="AJ47" s="1374"/>
      <c r="AK47" s="1374"/>
    </row>
    <row r="48" spans="1:37" s="1373" customFormat="1" ht="24.75">
      <c r="A48" s="2883" t="s">
        <v>2948</v>
      </c>
      <c r="B48" s="2886">
        <f>估价对象房地状况!C4</f>
        <v>0</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89.25">
      <c r="A49" s="2883" t="s">
        <v>2949</v>
      </c>
      <c r="B49" s="2887" t="str">
        <f>估价对象房地状况!C18</f>
        <v>估价对象紧邻白家疃路，周边路网密集程度一般，行车出入便捷度一般。周边2公里范围内有522路、651路等公交，公共交通便捷度一般。综合评价交通便捷度一般。</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2950</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2951</v>
      </c>
      <c r="B51" s="2888" t="s">
        <v>2952</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2953</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2954</v>
      </c>
      <c r="B53" s="2889" t="s">
        <v>2955</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02">
      <c r="A54" s="2890" t="s">
        <v>2956</v>
      </c>
      <c r="B54" s="1729" t="str">
        <f>估价对象房地状况!C21</f>
        <v>周边2公里内的公共服务配套设施较为齐备，有购物场所（华联超市）、医院（北京中医药大学附属医院）、银行（民生银行）、学校（翠微小学）、餐饮（嘉和一品）等公共服务配套设施。</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90" t="s">
        <v>2957</v>
      </c>
      <c r="B55" s="2887" t="str">
        <f>估价对象房地状况!C22</f>
        <v>七通</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77.25" thickBot="1">
      <c r="A56" s="2891" t="s">
        <v>2958</v>
      </c>
      <c r="B56" s="2892" t="str">
        <f>估价对象房地状况!C20</f>
        <v>估价对象周边约2公里范围有温泉公园，自然环境一般；周边约2公里范围内有北京行政学院等人文设施，人文环境一般；综合评价环境状况一般。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2959</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2940</v>
      </c>
      <c r="B58" s="1813"/>
      <c r="C58" s="1813" t="s">
        <v>2942</v>
      </c>
      <c r="D58" s="1813" t="s">
        <v>2943</v>
      </c>
      <c r="E58" s="819" t="s">
        <v>2944</v>
      </c>
      <c r="F58" s="2884" t="s">
        <v>2960</v>
      </c>
      <c r="G58" s="1813" t="s">
        <v>754</v>
      </c>
      <c r="H58" s="2885" t="s">
        <v>2946</v>
      </c>
      <c r="I58" s="1813" t="s">
        <v>2947</v>
      </c>
      <c r="J58" s="604" t="s">
        <v>2593</v>
      </c>
      <c r="K58" s="604" t="s">
        <v>2594</v>
      </c>
      <c r="L58" s="604" t="s">
        <v>2595</v>
      </c>
      <c r="M58" s="604" t="s">
        <v>2596</v>
      </c>
      <c r="N58" s="604" t="s">
        <v>2597</v>
      </c>
      <c r="AA58" s="1374"/>
      <c r="AB58" s="1374"/>
      <c r="AC58" s="1374"/>
      <c r="AD58" s="1374"/>
      <c r="AE58" s="1374"/>
      <c r="AF58" s="1374"/>
      <c r="AG58" s="1374"/>
      <c r="AH58" s="1374"/>
      <c r="AI58" s="1374"/>
      <c r="AJ58" s="1374"/>
      <c r="AK58" s="1374"/>
    </row>
    <row r="59" spans="1:37" s="1373" customFormat="1" ht="51">
      <c r="A59" s="2883" t="s">
        <v>2961</v>
      </c>
      <c r="B59" s="2886" t="str">
        <f>估价对象房地状况!C17</f>
        <v>估价对象位于海淀区温泉镇，周边办公楼项目较少，入驻率一般，办公集聚程度一般。</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89.25">
      <c r="A60" s="2883" t="s">
        <v>2949</v>
      </c>
      <c r="B60" s="2887" t="str">
        <f>估价对象房地状况!C18</f>
        <v>估价对象紧邻白家疃路，周边路网密集程度一般，行车出入便捷度一般。周边2公里范围内有522路、651路等公交，公共交通便捷度一般。综合评价交通便捷度一般。</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2950</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2951</v>
      </c>
      <c r="B62" s="2888" t="s">
        <v>2952</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2953</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2954</v>
      </c>
      <c r="B64" s="2889" t="s">
        <v>2955</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02">
      <c r="A65" s="2883" t="s">
        <v>2956</v>
      </c>
      <c r="B65" s="1729" t="str">
        <f>估价对象房地状况!C21</f>
        <v>周边2公里内的公共服务配套设施较为齐备，有购物场所（华联超市）、医院（北京中医药大学附属医院）、银行（民生银行）、学校（翠微小学）、餐饮（嘉和一品）等公共服务配套设施。</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3" t="s">
        <v>2957</v>
      </c>
      <c r="B66" s="1729" t="str">
        <f>估价对象房地状况!C22</f>
        <v>七通</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77.25" thickBot="1">
      <c r="A67" s="2891" t="s">
        <v>2958</v>
      </c>
      <c r="B67" s="2893" t="str">
        <f>估价对象房地状况!C20</f>
        <v>估价对象周边约2公里范围有温泉公园，自然环境一般；周边约2公里范围内有北京行政学院等人文设施，人文环境一般；综合评价环境状况一般。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2962</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2940</v>
      </c>
      <c r="B69" s="1813"/>
      <c r="C69" s="1813" t="s">
        <v>2942</v>
      </c>
      <c r="D69" s="1813" t="s">
        <v>2943</v>
      </c>
      <c r="E69" s="819" t="s">
        <v>2944</v>
      </c>
      <c r="F69" s="2884" t="s">
        <v>2960</v>
      </c>
      <c r="G69" s="1813" t="s">
        <v>754</v>
      </c>
      <c r="H69" s="2885" t="s">
        <v>2946</v>
      </c>
      <c r="I69" s="1813" t="s">
        <v>2947</v>
      </c>
      <c r="J69" s="604" t="s">
        <v>2593</v>
      </c>
      <c r="K69" s="604" t="s">
        <v>2594</v>
      </c>
      <c r="L69" s="604" t="s">
        <v>2595</v>
      </c>
      <c r="M69" s="604" t="s">
        <v>2596</v>
      </c>
      <c r="N69" s="604" t="s">
        <v>2597</v>
      </c>
      <c r="AA69" s="1374"/>
      <c r="AB69" s="1374"/>
      <c r="AC69" s="1374"/>
      <c r="AD69" s="1374"/>
      <c r="AE69" s="1374"/>
      <c r="AF69" s="1374"/>
      <c r="AG69" s="1374"/>
      <c r="AH69" s="1374"/>
      <c r="AI69" s="1374"/>
      <c r="AJ69" s="1374"/>
      <c r="AK69" s="1374"/>
    </row>
    <row r="70" spans="1:37" s="1373" customFormat="1" ht="24">
      <c r="A70" s="2883" t="s">
        <v>2963</v>
      </c>
      <c r="B70" s="2886">
        <f>估价对象房地状况!C15</f>
        <v>0</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89.25">
      <c r="A71" s="2883" t="s">
        <v>2949</v>
      </c>
      <c r="B71" s="2887" t="str">
        <f>估价对象房地状况!C18</f>
        <v>估价对象紧邻白家疃路，周边路网密集程度一般，行车出入便捷度一般。周边2公里范围内有522路、651路等公交，公共交通便捷度一般。综合评价交通便捷度一般。</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2950</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2964</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02">
      <c r="A74" s="2883" t="s">
        <v>2956</v>
      </c>
      <c r="B74" s="1729" t="str">
        <f>估价对象房地状况!C21</f>
        <v>周边2公里内的公共服务配套设施较为齐备，有购物场所（华联超市）、医院（北京中医药大学附属医院）、银行（民生银行）、学校（翠微小学）、餐饮（嘉和一品）等公共服务配套设施。</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3" t="s">
        <v>2957</v>
      </c>
      <c r="B75" s="1729" t="str">
        <f>估价对象房地状况!C22</f>
        <v>七通</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2954</v>
      </c>
      <c r="B76" s="2889" t="s">
        <v>2955</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76.5">
      <c r="A77" s="2883" t="s">
        <v>2958</v>
      </c>
      <c r="B77" s="2886" t="str">
        <f>估价对象房地状况!C20</f>
        <v>估价对象周边约2公里范围有温泉公园，自然环境一般；周边约2公里范围内有北京行政学院等人文设施，人文环境一般；综合评价环境状况一般。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2965</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2966</v>
      </c>
      <c r="B79" s="2880">
        <f>1+E81</f>
        <v>1</v>
      </c>
      <c r="C79" s="814"/>
      <c r="D79" s="814"/>
      <c r="E79" s="815"/>
      <c r="F79" s="2882"/>
      <c r="G79" s="6"/>
      <c r="H79" s="6"/>
      <c r="I79" s="6"/>
      <c r="J79" s="7"/>
      <c r="K79" s="7"/>
      <c r="L79" s="7"/>
      <c r="M79" s="7"/>
      <c r="N79" s="7"/>
      <c r="Z79" s="2725"/>
      <c r="AA79" s="2801"/>
      <c r="AG79" s="1375"/>
      <c r="AK79" s="2801"/>
    </row>
    <row r="80" spans="1:37" ht="24.75">
      <c r="A80" s="2883" t="s">
        <v>2940</v>
      </c>
      <c r="B80" s="1813"/>
      <c r="C80" s="1813" t="s">
        <v>2942</v>
      </c>
      <c r="D80" s="1813" t="s">
        <v>2943</v>
      </c>
      <c r="E80" s="819" t="s">
        <v>2944</v>
      </c>
      <c r="F80" s="2884" t="s">
        <v>2960</v>
      </c>
      <c r="G80" s="1813" t="s">
        <v>754</v>
      </c>
      <c r="H80" s="2885" t="s">
        <v>2946</v>
      </c>
      <c r="I80" s="1813" t="s">
        <v>2947</v>
      </c>
      <c r="J80" s="604" t="s">
        <v>2593</v>
      </c>
      <c r="K80" s="604" t="s">
        <v>2594</v>
      </c>
      <c r="L80" s="604" t="s">
        <v>2595</v>
      </c>
      <c r="M80" s="604" t="s">
        <v>2596</v>
      </c>
      <c r="N80" s="604" t="s">
        <v>2597</v>
      </c>
      <c r="Z80" s="2725"/>
      <c r="AA80" s="2801"/>
      <c r="AG80" s="1375"/>
      <c r="AK80" s="2801"/>
    </row>
    <row r="81" spans="1:37" ht="38.25">
      <c r="A81" s="2883" t="s">
        <v>2967</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2949</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2950</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2964</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2956</v>
      </c>
      <c r="B85" s="1729"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2957</v>
      </c>
      <c r="B86" s="1729"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2954</v>
      </c>
      <c r="B87" s="2889" t="s">
        <v>2968</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2969</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45" t="s">
        <v>2970</v>
      </c>
      <c r="B90" s="3245"/>
      <c r="C90" s="3245"/>
      <c r="D90" s="3245"/>
      <c r="E90" s="3245"/>
      <c r="F90" s="3245"/>
      <c r="G90" s="3245"/>
      <c r="H90" s="3245"/>
      <c r="I90" s="3245"/>
      <c r="J90" s="3245"/>
      <c r="K90" s="2897"/>
      <c r="L90" s="2897"/>
      <c r="M90" s="2897"/>
      <c r="N90" s="2897"/>
    </row>
    <row r="91" spans="1:37">
      <c r="A91" s="3247" t="s">
        <v>2971</v>
      </c>
      <c r="B91" s="3247" t="s">
        <v>2972</v>
      </c>
      <c r="C91" s="2851" t="s">
        <v>2973</v>
      </c>
      <c r="D91" s="2852"/>
      <c r="E91" s="2852"/>
      <c r="F91" s="2852"/>
      <c r="G91" s="2852"/>
      <c r="H91" s="2852"/>
      <c r="I91" s="2852"/>
      <c r="J91" s="2898"/>
      <c r="K91" s="2899"/>
      <c r="L91" s="2899"/>
      <c r="M91" s="2899"/>
      <c r="N91" s="2899"/>
    </row>
    <row r="92" spans="1:37">
      <c r="A92" s="3247"/>
      <c r="B92" s="3247"/>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248" t="s">
        <v>2974</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49"/>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49"/>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49"/>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49"/>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49"/>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49"/>
      <c r="B99" s="2900" t="s">
        <v>2853</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50"/>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48" t="s">
        <v>2975</v>
      </c>
      <c r="B101" s="2904" t="s">
        <v>2976</v>
      </c>
      <c r="C101" s="2905" t="e">
        <f>$G$3</f>
        <v>#DIV/0!</v>
      </c>
      <c r="D101" s="2905" t="e">
        <f t="shared" ref="D101:N101" si="31">$G$3</f>
        <v>#DIV/0!</v>
      </c>
      <c r="E101" s="2905" t="e">
        <f t="shared" si="31"/>
        <v>#DIV/0!</v>
      </c>
      <c r="F101" s="2905" t="e">
        <f t="shared" si="31"/>
        <v>#DIV/0!</v>
      </c>
      <c r="G101" s="2905" t="e">
        <f t="shared" si="31"/>
        <v>#DIV/0!</v>
      </c>
      <c r="H101" s="2905" t="e">
        <f t="shared" si="31"/>
        <v>#DIV/0!</v>
      </c>
      <c r="I101" s="2905" t="e">
        <f t="shared" si="31"/>
        <v>#DIV/0!</v>
      </c>
      <c r="J101" s="2905" t="e">
        <f t="shared" si="31"/>
        <v>#DIV/0!</v>
      </c>
      <c r="K101" s="2905" t="e">
        <f t="shared" si="31"/>
        <v>#DIV/0!</v>
      </c>
      <c r="L101" s="2905" t="e">
        <f t="shared" si="31"/>
        <v>#DIV/0!</v>
      </c>
      <c r="M101" s="2905" t="e">
        <f t="shared" si="31"/>
        <v>#DIV/0!</v>
      </c>
      <c r="N101" s="2905" t="e">
        <f t="shared" si="31"/>
        <v>#DIV/0!</v>
      </c>
    </row>
    <row r="102" spans="1:14">
      <c r="A102" s="3249"/>
      <c r="B102" s="2900">
        <v>1</v>
      </c>
      <c r="C102" s="2901" t="e">
        <f>1.9362/C101</f>
        <v>#DIV/0!</v>
      </c>
      <c r="D102" s="2901" t="e">
        <f>1.9362/D101</f>
        <v>#DIV/0!</v>
      </c>
      <c r="E102" s="2901" t="e">
        <f>1.8629/E101</f>
        <v>#DIV/0!</v>
      </c>
      <c r="F102" s="2901" t="e">
        <f>1.8629/F101</f>
        <v>#DIV/0!</v>
      </c>
      <c r="G102" s="2901" t="e">
        <f>1.8629/G101</f>
        <v>#DIV/0!</v>
      </c>
      <c r="H102" s="2901" t="e">
        <f>1.8629/H101</f>
        <v>#DIV/0!</v>
      </c>
      <c r="I102" s="2901" t="e">
        <f>1.8629/I101</f>
        <v>#DIV/0!</v>
      </c>
      <c r="J102" s="2901" t="e">
        <f>1.942/J101</f>
        <v>#DIV/0!</v>
      </c>
      <c r="K102" s="2901" t="e">
        <f>1.942/K101</f>
        <v>#DIV/0!</v>
      </c>
      <c r="L102" s="2901" t="e">
        <f>1.942/L101</f>
        <v>#DIV/0!</v>
      </c>
      <c r="M102" s="2901" t="e">
        <f>1.942/M101</f>
        <v>#DIV/0!</v>
      </c>
      <c r="N102" s="2901" t="e">
        <f>1.942/N101</f>
        <v>#DIV/0!</v>
      </c>
    </row>
    <row r="103" spans="1:14">
      <c r="A103" s="3249"/>
      <c r="B103" s="2900">
        <v>2</v>
      </c>
      <c r="C103" s="2901" t="e">
        <f>1.4198/C101</f>
        <v>#DIV/0!</v>
      </c>
      <c r="D103" s="2901" t="e">
        <f>1.4198/D101</f>
        <v>#DIV/0!</v>
      </c>
      <c r="E103" s="2901" t="e">
        <f>1.3372/E101</f>
        <v>#DIV/0!</v>
      </c>
      <c r="F103" s="2901" t="e">
        <f>1.3372/F101</f>
        <v>#DIV/0!</v>
      </c>
      <c r="G103" s="2901" t="e">
        <f>1.3372/G101</f>
        <v>#DIV/0!</v>
      </c>
      <c r="H103" s="2901" t="e">
        <f>1.3372/H101</f>
        <v>#DIV/0!</v>
      </c>
      <c r="I103" s="2901" t="e">
        <f>1.3372/I101</f>
        <v>#DIV/0!</v>
      </c>
      <c r="J103" s="2901" t="e">
        <f>1.2799/J101</f>
        <v>#DIV/0!</v>
      </c>
      <c r="K103" s="2901" t="e">
        <f>1.2799/K101</f>
        <v>#DIV/0!</v>
      </c>
      <c r="L103" s="2901" t="e">
        <f>1.2799/L101</f>
        <v>#DIV/0!</v>
      </c>
      <c r="M103" s="2901" t="e">
        <f>1.2799/M101</f>
        <v>#DIV/0!</v>
      </c>
      <c r="N103" s="2901" t="e">
        <f>1.2799/N101</f>
        <v>#DIV/0!</v>
      </c>
    </row>
    <row r="104" spans="1:14">
      <c r="A104" s="3249"/>
      <c r="B104" s="2900">
        <v>3</v>
      </c>
      <c r="C104" s="2901" t="e">
        <f>1.1594/C101</f>
        <v>#DIV/0!</v>
      </c>
      <c r="D104" s="2901" t="e">
        <f>1.1594/D101</f>
        <v>#DIV/0!</v>
      </c>
      <c r="E104" s="2901" t="e">
        <f>1.0788/E101</f>
        <v>#DIV/0!</v>
      </c>
      <c r="F104" s="2901" t="e">
        <f>1.0788/F101</f>
        <v>#DIV/0!</v>
      </c>
      <c r="G104" s="2901" t="e">
        <f>1.0788/G101</f>
        <v>#DIV/0!</v>
      </c>
      <c r="H104" s="2901" t="e">
        <f>1.0788/H101</f>
        <v>#DIV/0!</v>
      </c>
      <c r="I104" s="2901" t="e">
        <f>1.0788/I101</f>
        <v>#DIV/0!</v>
      </c>
      <c r="J104" s="2901" t="e">
        <f>1.0072/J101</f>
        <v>#DIV/0!</v>
      </c>
      <c r="K104" s="2901" t="e">
        <f>1.0072/K101</f>
        <v>#DIV/0!</v>
      </c>
      <c r="L104" s="2901" t="e">
        <f>1.0072/L101</f>
        <v>#DIV/0!</v>
      </c>
      <c r="M104" s="2901" t="e">
        <f>1.0072/M101</f>
        <v>#DIV/0!</v>
      </c>
      <c r="N104" s="2901" t="e">
        <f>1.0072/N101</f>
        <v>#DIV/0!</v>
      </c>
    </row>
    <row r="105" spans="1:14">
      <c r="A105" s="3249"/>
      <c r="B105" s="2900">
        <v>4</v>
      </c>
      <c r="C105" s="2901" t="e">
        <f>0.9622/C101</f>
        <v>#DIV/0!</v>
      </c>
      <c r="D105" s="2901" t="e">
        <f>0.9622/D101</f>
        <v>#DIV/0!</v>
      </c>
      <c r="E105" s="2901" t="e">
        <f>0.8656/E101</f>
        <v>#DIV/0!</v>
      </c>
      <c r="F105" s="2901" t="e">
        <f>0.8656/F101</f>
        <v>#DIV/0!</v>
      </c>
      <c r="G105" s="2901" t="e">
        <f>0.8656/G101</f>
        <v>#DIV/0!</v>
      </c>
      <c r="H105" s="2901" t="e">
        <f>0.8656/H101</f>
        <v>#DIV/0!</v>
      </c>
      <c r="I105" s="2901" t="e">
        <f>0.8656/I101</f>
        <v>#DIV/0!</v>
      </c>
      <c r="J105" s="2901" t="e">
        <f>0.7525/J101</f>
        <v>#DIV/0!</v>
      </c>
      <c r="K105" s="2901" t="e">
        <f>0.7525/K101</f>
        <v>#DIV/0!</v>
      </c>
      <c r="L105" s="2901" t="e">
        <f>0.7525/L101</f>
        <v>#DIV/0!</v>
      </c>
      <c r="M105" s="2901" t="e">
        <f>0.7525/M101</f>
        <v>#DIV/0!</v>
      </c>
      <c r="N105" s="2901" t="e">
        <f>0.7525/N101</f>
        <v>#DIV/0!</v>
      </c>
    </row>
    <row r="106" spans="1:14">
      <c r="A106" s="3249"/>
      <c r="B106" s="2900">
        <v>5</v>
      </c>
      <c r="C106" s="2901" t="e">
        <f>0.8417/C101</f>
        <v>#DIV/0!</v>
      </c>
      <c r="D106" s="2901" t="e">
        <f>0.8417/D101</f>
        <v>#DIV/0!</v>
      </c>
      <c r="E106" s="2901" t="e">
        <f>0.7371/E101</f>
        <v>#DIV/0!</v>
      </c>
      <c r="F106" s="2901" t="e">
        <f>0.7371/F101</f>
        <v>#DIV/0!</v>
      </c>
      <c r="G106" s="2901" t="e">
        <f>0.7371/G101</f>
        <v>#DIV/0!</v>
      </c>
      <c r="H106" s="2901" t="e">
        <f>0.7371/H101</f>
        <v>#DIV/0!</v>
      </c>
      <c r="I106" s="2901" t="e">
        <f>0.7371/I101</f>
        <v>#DIV/0!</v>
      </c>
      <c r="J106" s="2901" t="e">
        <f>0.5659/J101</f>
        <v>#DIV/0!</v>
      </c>
      <c r="K106" s="2901" t="e">
        <f>0.5659/K101</f>
        <v>#DIV/0!</v>
      </c>
      <c r="L106" s="2901" t="e">
        <f>0.5659/L101</f>
        <v>#DIV/0!</v>
      </c>
      <c r="M106" s="2901" t="e">
        <f>0.5659/M101</f>
        <v>#DIV/0!</v>
      </c>
      <c r="N106" s="2901" t="e">
        <f>0.5659/N101</f>
        <v>#DIV/0!</v>
      </c>
    </row>
    <row r="107" spans="1:14">
      <c r="A107" s="3249"/>
      <c r="B107" s="2900">
        <v>6</v>
      </c>
      <c r="C107" s="2901" t="e">
        <f>0.7608/C101</f>
        <v>#DIV/0!</v>
      </c>
      <c r="D107" s="2901" t="e">
        <f>0.7608/D101</f>
        <v>#DIV/0!</v>
      </c>
      <c r="E107" s="2901" t="e">
        <f>0.6482/E101</f>
        <v>#DIV/0!</v>
      </c>
      <c r="F107" s="2901" t="e">
        <f>0.6482/F101</f>
        <v>#DIV/0!</v>
      </c>
      <c r="G107" s="2901" t="e">
        <f>0.6482/G101</f>
        <v>#DIV/0!</v>
      </c>
      <c r="H107" s="2901" t="e">
        <f>0.6482/H101</f>
        <v>#DIV/0!</v>
      </c>
      <c r="I107" s="2901" t="e">
        <f>0.6482/I101</f>
        <v>#DIV/0!</v>
      </c>
      <c r="J107" s="2901" t="e">
        <f>0.4525/J101</f>
        <v>#DIV/0!</v>
      </c>
      <c r="K107" s="2901" t="e">
        <f>0.4525/K101</f>
        <v>#DIV/0!</v>
      </c>
      <c r="L107" s="2901" t="e">
        <f>0.4525/L101</f>
        <v>#DIV/0!</v>
      </c>
      <c r="M107" s="2901" t="e">
        <f>0.4525/M101</f>
        <v>#DIV/0!</v>
      </c>
      <c r="N107" s="2901" t="e">
        <f>0.4525/N101</f>
        <v>#DIV/0!</v>
      </c>
    </row>
    <row r="108" spans="1:14">
      <c r="A108" s="3249"/>
      <c r="B108" s="3071" t="s">
        <v>2977</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50"/>
      <c r="B109" s="3072"/>
      <c r="C109" s="2903" t="e">
        <f>(-0.163*(C108^2)-0.59*C108+7617)*(10^(-4))/C101</f>
        <v>#DIV/0!</v>
      </c>
      <c r="D109" s="2903" t="e">
        <f>(-0.163*(D108^2)-0.59*D108+7617)*(10^(-4))/D101</f>
        <v>#DIV/0!</v>
      </c>
      <c r="E109" s="2903" t="e">
        <f>(-0.161*(E108^2)-7.509*E108+6533)*(10^(-4))/E101</f>
        <v>#DIV/0!</v>
      </c>
      <c r="F109" s="2903" t="e">
        <f>(-0.161*(F108^2)-7.509*F108+6533)*(10^(-4))/F101</f>
        <v>#DIV/0!</v>
      </c>
      <c r="G109" s="2903" t="e">
        <f>(-0.161*(G108^2)-7.509*G108+6533)*(10^(-4))/G101</f>
        <v>#DIV/0!</v>
      </c>
      <c r="H109" s="2903" t="e">
        <f>(-0.161*(H108^2)-7.509*H108+6533)*(10^(-4))/H101</f>
        <v>#DIV/0!</v>
      </c>
      <c r="I109" s="2903" t="e">
        <f>(-0.161*(I108^2)-7.509*I108+6533)*(10^(-4))/I101</f>
        <v>#DIV/0!</v>
      </c>
      <c r="J109" s="2903" t="e">
        <f>(-0.214*(J108^2)-21.991*J108+4665)*(10^(-4))/J101</f>
        <v>#DIV/0!</v>
      </c>
      <c r="K109" s="2903" t="e">
        <f>(-0.214*(K108^2)-21.991*K108+4665)*(10^(-4))/K101</f>
        <v>#DIV/0!</v>
      </c>
      <c r="L109" s="2903" t="e">
        <f>(-0.214*(L108^2)-21.991*L108+4665)*(10^(-4))/L101</f>
        <v>#DIV/0!</v>
      </c>
      <c r="M109" s="2903" t="e">
        <f>(-0.214*(M108^2)-21.991*M108+4665)*(10^(-4))/M101</f>
        <v>#DIV/0!</v>
      </c>
      <c r="N109" s="2903" t="e">
        <f>(-0.214*(N108^2)-21.991*N108+4665)*(10^(-4))/N101</f>
        <v>#DIV/0!</v>
      </c>
    </row>
    <row r="110" spans="1:14">
      <c r="A110" s="3246" t="s">
        <v>2978</v>
      </c>
      <c r="B110" s="3246"/>
      <c r="C110" s="3246"/>
      <c r="D110" s="3246"/>
      <c r="E110" s="3246"/>
      <c r="F110" s="3246"/>
      <c r="G110" s="3246"/>
      <c r="H110" s="3246"/>
      <c r="I110" s="3246"/>
      <c r="J110" s="3246"/>
      <c r="K110" s="2906"/>
      <c r="L110" s="2906"/>
      <c r="M110" s="2906"/>
      <c r="N110" s="2906"/>
    </row>
    <row r="112" spans="1:14" ht="13.5" thickBot="1"/>
    <row r="113" spans="1:13" ht="25.5" thickBot="1">
      <c r="A113" s="903" t="s">
        <v>2979</v>
      </c>
      <c r="B113" s="1290" t="e">
        <f>G3</f>
        <v>#DIV/0!</v>
      </c>
      <c r="C113" s="904" t="s">
        <v>2980</v>
      </c>
      <c r="D113" s="905" t="e">
        <f>SUMPRODUCT((A115:A118=F113)*(B114:M114=H113)*B115:M118)</f>
        <v>#DIV/0!</v>
      </c>
      <c r="E113" s="2729" t="s">
        <v>2810</v>
      </c>
      <c r="F113" s="2908">
        <f>E2</f>
        <v>0</v>
      </c>
      <c r="G113" s="2729" t="s">
        <v>2811</v>
      </c>
      <c r="H113" s="2908">
        <f>G2</f>
        <v>0</v>
      </c>
      <c r="I113" s="2729"/>
      <c r="J113" s="2909"/>
      <c r="K113" s="2909"/>
      <c r="L113" s="2909"/>
      <c r="M113" s="2909"/>
    </row>
    <row r="114" spans="1:13">
      <c r="A114" s="908"/>
      <c r="B114" s="2910" t="s">
        <v>2981</v>
      </c>
      <c r="C114" s="2910" t="s">
        <v>2982</v>
      </c>
      <c r="D114" s="2910" t="s">
        <v>2983</v>
      </c>
      <c r="E114" s="2911" t="s">
        <v>2984</v>
      </c>
      <c r="F114" s="2911" t="s">
        <v>2985</v>
      </c>
      <c r="G114" s="2911" t="s">
        <v>2986</v>
      </c>
      <c r="H114" s="2912" t="s">
        <v>2987</v>
      </c>
      <c r="I114" s="2912" t="s">
        <v>2988</v>
      </c>
      <c r="J114" s="2913" t="s">
        <v>2989</v>
      </c>
      <c r="K114" s="2913" t="s">
        <v>2990</v>
      </c>
      <c r="L114" s="2913" t="s">
        <v>2991</v>
      </c>
      <c r="M114" s="2914" t="s">
        <v>2992</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3" t="s">
        <v>614</v>
      </c>
      <c r="C61" s="818" t="s">
        <v>615</v>
      </c>
      <c r="D61" s="818" t="s">
        <v>616</v>
      </c>
      <c r="E61" s="895">
        <v>0.5</v>
      </c>
      <c r="F61" s="882">
        <v>80</v>
      </c>
    </row>
    <row r="62" spans="1:8" s="878" customFormat="1" ht="24">
      <c r="A62" s="882">
        <v>2</v>
      </c>
      <c r="B62" s="3263"/>
      <c r="C62" s="818" t="s">
        <v>617</v>
      </c>
      <c r="D62" s="818" t="s">
        <v>618</v>
      </c>
      <c r="E62" s="895">
        <v>0.5</v>
      </c>
      <c r="F62" s="882">
        <v>80</v>
      </c>
    </row>
    <row r="63" spans="1:8" s="878" customFormat="1" ht="36">
      <c r="A63" s="882">
        <v>3</v>
      </c>
      <c r="B63" s="3263"/>
      <c r="C63" s="818" t="s">
        <v>619</v>
      </c>
      <c r="D63" s="818" t="s">
        <v>620</v>
      </c>
      <c r="E63" s="895">
        <v>0.5</v>
      </c>
      <c r="F63" s="882">
        <v>80</v>
      </c>
    </row>
    <row r="64" spans="1:8" s="878" customFormat="1" ht="36">
      <c r="A64" s="882">
        <v>4</v>
      </c>
      <c r="B64" s="3263"/>
      <c r="C64" s="818" t="s">
        <v>621</v>
      </c>
      <c r="D64" s="818" t="s">
        <v>622</v>
      </c>
      <c r="E64" s="895">
        <v>0.4</v>
      </c>
      <c r="F64" s="882">
        <v>60</v>
      </c>
    </row>
    <row r="65" spans="1:6" s="878" customFormat="1" ht="36">
      <c r="A65" s="882">
        <v>5</v>
      </c>
      <c r="B65" s="3263"/>
      <c r="C65" s="818" t="s">
        <v>623</v>
      </c>
      <c r="D65" s="818" t="s">
        <v>624</v>
      </c>
      <c r="E65" s="895">
        <v>0.2</v>
      </c>
      <c r="F65" s="882">
        <v>30</v>
      </c>
    </row>
    <row r="66" spans="1:6" s="878" customFormat="1" ht="36">
      <c r="A66" s="882">
        <v>6</v>
      </c>
      <c r="B66" s="3263"/>
      <c r="C66" s="818" t="s">
        <v>625</v>
      </c>
      <c r="D66" s="818" t="s">
        <v>626</v>
      </c>
      <c r="E66" s="895">
        <v>0.3</v>
      </c>
      <c r="F66" s="882">
        <v>50</v>
      </c>
    </row>
    <row r="67" spans="1:6" s="878" customFormat="1" ht="36">
      <c r="A67" s="882">
        <v>7</v>
      </c>
      <c r="B67" s="3263"/>
      <c r="C67" s="818" t="s">
        <v>627</v>
      </c>
      <c r="D67" s="818" t="s">
        <v>628</v>
      </c>
      <c r="E67" s="895">
        <v>0.2</v>
      </c>
      <c r="F67" s="882">
        <v>30</v>
      </c>
    </row>
    <row r="68" spans="1:6" s="878" customFormat="1" ht="36">
      <c r="A68" s="882">
        <v>8</v>
      </c>
      <c r="B68" s="3263"/>
      <c r="C68" s="818" t="s">
        <v>629</v>
      </c>
      <c r="D68" s="818" t="s">
        <v>630</v>
      </c>
      <c r="E68" s="895">
        <v>0.2</v>
      </c>
      <c r="F68" s="882">
        <v>30</v>
      </c>
    </row>
    <row r="69" spans="1:6" s="878" customFormat="1" ht="36">
      <c r="A69" s="882">
        <v>9</v>
      </c>
      <c r="B69" s="3263"/>
      <c r="C69" s="818" t="s">
        <v>631</v>
      </c>
      <c r="D69" s="818" t="s">
        <v>632</v>
      </c>
      <c r="E69" s="895">
        <v>0.2</v>
      </c>
      <c r="F69" s="882">
        <v>30</v>
      </c>
    </row>
    <row r="70" spans="1:6" s="878" customFormat="1" ht="48">
      <c r="A70" s="882">
        <v>10</v>
      </c>
      <c r="B70" s="3263"/>
      <c r="C70" s="818" t="s">
        <v>633</v>
      </c>
      <c r="D70" s="818" t="s">
        <v>634</v>
      </c>
      <c r="E70" s="895">
        <v>0.2</v>
      </c>
      <c r="F70" s="882">
        <v>30</v>
      </c>
    </row>
    <row r="71" spans="1:6" s="878" customFormat="1" ht="48">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24">
      <c r="A73" s="882">
        <v>13</v>
      </c>
      <c r="B73" s="3263"/>
      <c r="C73" s="818" t="s">
        <v>639</v>
      </c>
      <c r="D73" s="818" t="s">
        <v>640</v>
      </c>
      <c r="E73" s="895">
        <v>0.4</v>
      </c>
      <c r="F73" s="882">
        <v>60</v>
      </c>
    </row>
    <row r="74" spans="1:6" s="878" customFormat="1" ht="24">
      <c r="A74" s="882">
        <v>14</v>
      </c>
      <c r="B74" s="3263"/>
      <c r="C74" s="818" t="s">
        <v>641</v>
      </c>
      <c r="D74" s="818" t="s">
        <v>642</v>
      </c>
      <c r="E74" s="895">
        <v>0.2</v>
      </c>
      <c r="F74" s="882">
        <v>30</v>
      </c>
    </row>
    <row r="75" spans="1:6" s="878" customFormat="1" ht="24">
      <c r="A75" s="882">
        <v>15</v>
      </c>
      <c r="B75" s="3263"/>
      <c r="C75" s="818" t="s">
        <v>643</v>
      </c>
      <c r="D75" s="818" t="s">
        <v>644</v>
      </c>
      <c r="E75" s="895">
        <v>0.2</v>
      </c>
      <c r="F75" s="882">
        <v>30</v>
      </c>
    </row>
    <row r="76" spans="1:6" s="878" customFormat="1" ht="24">
      <c r="A76" s="882">
        <v>16</v>
      </c>
      <c r="B76" s="3263" t="s">
        <v>645</v>
      </c>
      <c r="C76" s="818" t="s">
        <v>646</v>
      </c>
      <c r="D76" s="818" t="s">
        <v>647</v>
      </c>
      <c r="E76" s="895">
        <v>0.5</v>
      </c>
      <c r="F76" s="882">
        <v>80</v>
      </c>
    </row>
    <row r="77" spans="1:6" s="878" customFormat="1" ht="24">
      <c r="A77" s="882">
        <v>17</v>
      </c>
      <c r="B77" s="3263"/>
      <c r="C77" s="818" t="s">
        <v>648</v>
      </c>
      <c r="D77" s="818" t="s">
        <v>649</v>
      </c>
      <c r="E77" s="895">
        <v>0.5</v>
      </c>
      <c r="F77" s="882">
        <v>80</v>
      </c>
    </row>
    <row r="78" spans="1:6" s="878" customFormat="1" ht="24">
      <c r="A78" s="882">
        <v>18</v>
      </c>
      <c r="B78" s="3263"/>
      <c r="C78" s="818" t="s">
        <v>650</v>
      </c>
      <c r="D78" s="818" t="s">
        <v>651</v>
      </c>
      <c r="E78" s="895">
        <v>0.2</v>
      </c>
      <c r="F78" s="882">
        <v>30</v>
      </c>
    </row>
    <row r="79" spans="1:6" s="878" customFormat="1" ht="24">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48">
      <c r="A82" s="882">
        <v>22</v>
      </c>
      <c r="B82" s="3263"/>
      <c r="C82" s="818" t="s">
        <v>658</v>
      </c>
      <c r="D82" s="818" t="s">
        <v>659</v>
      </c>
      <c r="E82" s="895">
        <v>0.2</v>
      </c>
      <c r="F82" s="882">
        <v>30</v>
      </c>
    </row>
    <row r="83" spans="1:6" s="878" customFormat="1" ht="48">
      <c r="A83" s="882">
        <v>23</v>
      </c>
      <c r="B83" s="3263"/>
      <c r="C83" s="818" t="s">
        <v>660</v>
      </c>
      <c r="D83" s="818" t="s">
        <v>661</v>
      </c>
      <c r="E83" s="895">
        <v>0.2</v>
      </c>
      <c r="F83" s="882">
        <v>30</v>
      </c>
    </row>
    <row r="84" spans="1:6" s="878" customFormat="1" ht="36">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24">
      <c r="A89" s="882">
        <v>29</v>
      </c>
      <c r="B89" s="3263"/>
      <c r="C89" s="818" t="s">
        <v>672</v>
      </c>
      <c r="D89" s="818" t="s">
        <v>673</v>
      </c>
      <c r="E89" s="895">
        <v>0.2</v>
      </c>
      <c r="F89" s="882">
        <v>30</v>
      </c>
    </row>
    <row r="90" spans="1:6" s="878" customFormat="1" ht="24">
      <c r="A90" s="882">
        <v>30</v>
      </c>
      <c r="B90" s="3263"/>
      <c r="C90" s="818" t="s">
        <v>674</v>
      </c>
      <c r="D90" s="818" t="s">
        <v>675</v>
      </c>
      <c r="E90" s="895">
        <v>0.2</v>
      </c>
      <c r="F90" s="882">
        <v>30</v>
      </c>
    </row>
    <row r="91" spans="1:6" s="878" customFormat="1" ht="36">
      <c r="A91" s="882">
        <v>31</v>
      </c>
      <c r="B91" s="3263"/>
      <c r="C91" s="818" t="s">
        <v>676</v>
      </c>
      <c r="D91" s="818" t="s">
        <v>677</v>
      </c>
      <c r="E91" s="895">
        <v>0.2</v>
      </c>
      <c r="F91" s="882">
        <v>30</v>
      </c>
    </row>
    <row r="92" spans="1:6" s="878" customFormat="1" ht="24">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48">
      <c r="A94" s="882">
        <v>34</v>
      </c>
      <c r="B94" s="3263"/>
      <c r="C94" s="882" t="s">
        <v>683</v>
      </c>
      <c r="D94" s="818" t="s">
        <v>684</v>
      </c>
      <c r="E94" s="895">
        <v>0.2</v>
      </c>
      <c r="F94" s="882">
        <v>30</v>
      </c>
    </row>
    <row r="95" spans="1:6" s="878" customFormat="1" ht="36">
      <c r="A95" s="882">
        <v>35</v>
      </c>
      <c r="B95" s="3263"/>
      <c r="C95" s="882" t="s">
        <v>685</v>
      </c>
      <c r="D95" s="818" t="s">
        <v>686</v>
      </c>
      <c r="E95" s="895">
        <v>0.2</v>
      </c>
      <c r="F95" s="882">
        <v>30</v>
      </c>
    </row>
    <row r="96" spans="1:6" s="878" customFormat="1" ht="48">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24">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3" t="s">
        <v>708</v>
      </c>
      <c r="C105" s="882" t="s">
        <v>709</v>
      </c>
      <c r="D105" s="818" t="s">
        <v>710</v>
      </c>
      <c r="E105" s="895">
        <v>0.2</v>
      </c>
      <c r="F105" s="882">
        <v>30</v>
      </c>
    </row>
    <row r="106" spans="1:6" s="878" customFormat="1" ht="36">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36">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3" t="s">
        <v>724</v>
      </c>
      <c r="C111" s="882" t="s">
        <v>725</v>
      </c>
      <c r="D111" s="818" t="s">
        <v>726</v>
      </c>
      <c r="E111" s="895">
        <v>0.2</v>
      </c>
      <c r="F111" s="882">
        <v>30</v>
      </c>
    </row>
    <row r="112" spans="1:6" s="878" customFormat="1" ht="24">
      <c r="A112" s="882">
        <v>52</v>
      </c>
      <c r="B112" s="3263"/>
      <c r="C112" s="882" t="s">
        <v>727</v>
      </c>
      <c r="D112" s="818" t="s">
        <v>728</v>
      </c>
      <c r="E112" s="895">
        <v>0.2</v>
      </c>
      <c r="F112" s="882">
        <v>30</v>
      </c>
    </row>
    <row r="113" spans="1:6" s="878" customFormat="1" ht="24">
      <c r="A113" s="882">
        <v>53</v>
      </c>
      <c r="B113" s="32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6" t="s">
        <v>3001</v>
      </c>
    </row>
    <row r="2" spans="1:5" ht="15.75">
      <c r="A2" s="2915" t="s">
        <v>2993</v>
      </c>
      <c r="B2" s="2916" t="e">
        <f ca="1">SUMIF(B6:B13,"&lt;&gt;#ref!",B6:B13)</f>
        <v>#DIV/0!</v>
      </c>
      <c r="C2" s="2915" t="s">
        <v>2994</v>
      </c>
      <c r="D2" s="2915" t="s">
        <v>2995</v>
      </c>
      <c r="E2" s="2916" t="e">
        <f ca="1">SUM(E6:E13)</f>
        <v>#REF!</v>
      </c>
    </row>
    <row r="3" spans="1:5" ht="15.75">
      <c r="A3" s="2915" t="s">
        <v>2996</v>
      </c>
      <c r="B3" s="2916" t="e">
        <f ca="1">ROUND(B2*10000/E2,0)</f>
        <v>#DIV/0!</v>
      </c>
      <c r="C3" s="2915" t="s">
        <v>3002</v>
      </c>
      <c r="D3" s="2917"/>
      <c r="E3" s="2917"/>
    </row>
    <row r="4" spans="1:5" ht="15.75">
      <c r="A4" s="2918"/>
      <c r="B4" s="2917"/>
      <c r="C4" s="2917"/>
      <c r="D4" s="2917"/>
      <c r="E4" s="2917"/>
    </row>
    <row r="5" spans="1:5" ht="28.5">
      <c r="A5" s="2919" t="s">
        <v>2997</v>
      </c>
      <c r="B5" s="2915" t="s">
        <v>2998</v>
      </c>
      <c r="C5" s="2916"/>
      <c r="D5" s="2917"/>
      <c r="E5" s="2915" t="s">
        <v>2999</v>
      </c>
    </row>
    <row r="6" spans="1:5" ht="15.75">
      <c r="A6" s="2920" t="s">
        <v>3000</v>
      </c>
      <c r="B6" s="2916" t="e">
        <f ca="1">SUMIF(INDIRECT("'"&amp;A6&amp;"'"&amp;"!A:A"),"总价",INDIRECT("'"&amp;A6&amp;"'"&amp;"!B:B"))</f>
        <v>#DIV/0!</v>
      </c>
      <c r="C6" s="2915" t="s">
        <v>2994</v>
      </c>
      <c r="D6" s="2917"/>
      <c r="E6" s="2580">
        <f ca="1">SUMIF(INDIRECT("'"&amp;A6&amp;"'"&amp;"!C:C"),"建筑面积",INDIRECT("'"&amp;A6&amp;"'"&amp;"!D:D"))</f>
        <v>0</v>
      </c>
    </row>
    <row r="7" spans="1:5" ht="15.75">
      <c r="A7" s="2920"/>
      <c r="B7" s="2916" t="e">
        <f ca="1">SUMIF(INDIRECT("'"&amp;A7&amp;"'"&amp;"!A:A"),"总价",INDIRECT("'"&amp;A7&amp;"'"&amp;"!B:B"))</f>
        <v>#REF!</v>
      </c>
      <c r="C7" s="2915" t="s">
        <v>2994</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2994</v>
      </c>
      <c r="D8" s="2917"/>
      <c r="E8" s="2580" t="e">
        <f t="shared" ca="1" si="0"/>
        <v>#REF!</v>
      </c>
    </row>
    <row r="9" spans="1:5" ht="15.75">
      <c r="A9" s="2920"/>
      <c r="B9" s="2916" t="e">
        <f t="shared" ca="1" si="1"/>
        <v>#REF!</v>
      </c>
      <c r="C9" s="2915" t="s">
        <v>2994</v>
      </c>
      <c r="D9" s="2917"/>
      <c r="E9" s="2580" t="e">
        <f t="shared" ca="1" si="0"/>
        <v>#REF!</v>
      </c>
    </row>
    <row r="10" spans="1:5" ht="15.75">
      <c r="A10" s="2920"/>
      <c r="B10" s="2916" t="e">
        <f t="shared" ca="1" si="1"/>
        <v>#REF!</v>
      </c>
      <c r="C10" s="2915" t="s">
        <v>2994</v>
      </c>
      <c r="D10" s="2917"/>
      <c r="E10" s="2580" t="e">
        <f t="shared" ca="1" si="0"/>
        <v>#REF!</v>
      </c>
    </row>
    <row r="11" spans="1:5" ht="15.75">
      <c r="A11" s="2920"/>
      <c r="B11" s="2916" t="e">
        <f t="shared" ca="1" si="1"/>
        <v>#REF!</v>
      </c>
      <c r="C11" s="2915" t="s">
        <v>2994</v>
      </c>
      <c r="D11" s="2917"/>
      <c r="E11" s="2580" t="e">
        <f t="shared" ca="1" si="0"/>
        <v>#REF!</v>
      </c>
    </row>
    <row r="12" spans="1:5" ht="15.75">
      <c r="A12" s="2920"/>
      <c r="B12" s="2916" t="e">
        <f t="shared" ca="1" si="1"/>
        <v>#REF!</v>
      </c>
      <c r="C12" s="2915" t="s">
        <v>2994</v>
      </c>
      <c r="D12" s="2917"/>
      <c r="E12" s="2580" t="e">
        <f t="shared" ca="1" si="0"/>
        <v>#REF!</v>
      </c>
    </row>
    <row r="13" spans="1:5" ht="15.75">
      <c r="A13" s="2920"/>
      <c r="B13" s="2916" t="e">
        <f t="shared" ca="1" si="1"/>
        <v>#REF!</v>
      </c>
      <c r="C13" s="2915" t="s">
        <v>2994</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69" t="s">
        <v>1150</v>
      </c>
      <c r="C1" s="3269"/>
      <c r="D1" s="3269"/>
      <c r="E1" s="3269"/>
      <c r="F1" s="3269"/>
      <c r="G1" s="3265" t="s">
        <v>1151</v>
      </c>
      <c r="H1" s="3265"/>
      <c r="I1" s="3265"/>
      <c r="J1" s="3265"/>
      <c r="K1" s="3265"/>
      <c r="L1" s="3265"/>
      <c r="N1" s="3265" t="s">
        <v>1152</v>
      </c>
      <c r="O1" s="3265"/>
      <c r="P1" s="3265"/>
      <c r="Q1" s="3265"/>
      <c r="R1" s="1449"/>
      <c r="S1" s="3265" t="s">
        <v>1153</v>
      </c>
      <c r="T1" s="3265"/>
      <c r="U1" s="3265"/>
      <c r="V1" s="3265"/>
      <c r="X1" s="3264" t="s">
        <v>1154</v>
      </c>
      <c r="Y1" s="3265"/>
      <c r="Z1" s="3265"/>
      <c r="AA1" s="3265"/>
      <c r="AB1" s="3265"/>
      <c r="AD1" s="3264" t="s">
        <v>1155</v>
      </c>
      <c r="AE1" s="3265"/>
      <c r="AF1" s="3265"/>
      <c r="AG1" s="3265"/>
      <c r="AH1" s="3265"/>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9"/>
      <c r="J3" s="2929"/>
      <c r="K3" s="2929"/>
      <c r="L3" s="2929"/>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3036</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9">
        <f>ROUND(AVERAGE(I5:I20),2)</f>
        <v>2.4900000000000002</v>
      </c>
      <c r="J4" s="2929">
        <f t="shared" ref="J4:L4" si="7">ROUND(AVERAGE(J5:J20),2)</f>
        <v>1.64</v>
      </c>
      <c r="K4" s="2929">
        <f t="shared" si="7"/>
        <v>2.78</v>
      </c>
      <c r="L4" s="2929">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3034</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6">
        <v>2017</v>
      </c>
      <c r="H5" s="1734">
        <v>4</v>
      </c>
      <c r="I5" s="2930">
        <f>ROUND(AVERAGE(I6:I20),2)</f>
        <v>2.4900000000000002</v>
      </c>
      <c r="J5" s="2930">
        <f>ROUND(AVERAGE(J6:J20),2)</f>
        <v>1.64</v>
      </c>
      <c r="K5" s="2930">
        <f>ROUND(AVERAGE(K6:K20),2)</f>
        <v>2.78</v>
      </c>
      <c r="L5" s="2930">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3035</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8"/>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7"/>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8"/>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70">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67"/>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67"/>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68"/>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66">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67"/>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67"/>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68"/>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66">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67"/>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67"/>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68"/>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71">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72"/>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72"/>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73"/>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66">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67"/>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67"/>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68"/>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66">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67">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67">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68">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66">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67">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67">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68">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66">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67">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67">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68">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66">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67">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67">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68">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66">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67">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67">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68">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66">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67">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67">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68">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66">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67">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67">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68">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66">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67">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67">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68">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66">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67">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67">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68">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66">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67">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67">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68">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2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spans="1:5" ht="18">
      <c r="A3" s="2957" t="str">
        <f>IF(项目基本情况!B9="房地产市场价值","估价结果一览表（市场价值不需“结果表-1”）","估价结果一览表")</f>
        <v>估价结果一览表</v>
      </c>
      <c r="B3" s="2957"/>
      <c r="C3" s="2957"/>
      <c r="D3" s="2957"/>
      <c r="E3" s="2957"/>
    </row>
    <row r="4" spans="1:5" ht="19.5" thickBot="1">
      <c r="A4" s="1965"/>
      <c r="B4" s="2955" t="s">
        <v>1632</v>
      </c>
      <c r="C4" s="2955"/>
      <c r="D4" s="2955"/>
      <c r="E4" s="1965"/>
    </row>
    <row r="5" spans="1:5" ht="16.5" thickTop="1">
      <c r="A5" s="1963"/>
      <c r="B5" s="2953" t="s">
        <v>1624</v>
      </c>
      <c r="C5" s="1966" t="s">
        <v>1625</v>
      </c>
      <c r="D5" s="1043">
        <f ca="1">结果表!H101</f>
        <v>6958</v>
      </c>
      <c r="E5" s="1963"/>
    </row>
    <row r="6" spans="1:5" ht="15.75">
      <c r="A6" s="1963"/>
      <c r="B6" s="2953"/>
      <c r="C6" s="1966" t="s">
        <v>1626</v>
      </c>
      <c r="D6" s="1043" t="str">
        <f ca="1">NUMBERSTRING(INT(D5*10000),2)&amp;"元整"</f>
        <v>陆仟玖佰伍拾捌万元整</v>
      </c>
      <c r="E6" s="1963"/>
    </row>
    <row r="7" spans="1:5" ht="15.75">
      <c r="A7" s="1963"/>
      <c r="B7" s="2958"/>
      <c r="C7" s="1967" t="s">
        <v>1627</v>
      </c>
      <c r="D7" s="1044">
        <f ca="1">结果表!H102</f>
        <v>30239</v>
      </c>
      <c r="E7" s="1963"/>
    </row>
    <row r="8" spans="1:5" ht="15.75">
      <c r="A8" s="1963"/>
      <c r="B8" s="2959" t="str">
        <f>结果表!E103</f>
        <v>2.估价师知悉的法定优先受偿款</v>
      </c>
      <c r="C8" s="1968" t="s">
        <v>1628</v>
      </c>
      <c r="D8" s="1044">
        <f>结果表!H103</f>
        <v>0</v>
      </c>
      <c r="E8" s="1963"/>
    </row>
    <row r="9" spans="1:5" ht="15.75">
      <c r="A9" s="1963"/>
      <c r="B9" s="2961"/>
      <c r="C9" s="1966" t="s">
        <v>1626</v>
      </c>
      <c r="D9" s="1043" t="str">
        <f>NUMBERSTRING(INT(D8*10000),2)&amp;"元整"</f>
        <v>零元整</v>
      </c>
      <c r="E9" s="1963"/>
    </row>
    <row r="10" spans="1:5" ht="15">
      <c r="A10" s="1963"/>
      <c r="B10" s="1969" t="s">
        <v>1631</v>
      </c>
      <c r="C10" s="1970" t="s">
        <v>1629</v>
      </c>
      <c r="D10" s="1045">
        <f>结果表!H104</f>
        <v>0</v>
      </c>
      <c r="E10" s="1963"/>
    </row>
    <row r="11" spans="1:5" ht="15">
      <c r="A11" s="1963"/>
      <c r="B11" s="1969" t="s">
        <v>1633</v>
      </c>
      <c r="C11" s="1970" t="s">
        <v>1634</v>
      </c>
      <c r="D11" s="1045">
        <f>结果表!H105</f>
        <v>0</v>
      </c>
      <c r="E11" s="1963"/>
    </row>
    <row r="12" spans="1:5" ht="15">
      <c r="A12" s="1963"/>
      <c r="B12" s="1969" t="s">
        <v>1635</v>
      </c>
      <c r="C12" s="1970" t="s">
        <v>1634</v>
      </c>
      <c r="D12" s="1045">
        <f>结果表!H106</f>
        <v>0</v>
      </c>
      <c r="E12" s="1963"/>
    </row>
    <row r="13" spans="1:5" ht="15.75">
      <c r="A13" s="1963"/>
      <c r="B13" s="2952" t="str">
        <f>结果表!E107</f>
        <v>3.房地产抵押价值</v>
      </c>
      <c r="C13" s="1971" t="s">
        <v>1625</v>
      </c>
      <c r="D13" s="1046">
        <f ca="1">结果表!H107</f>
        <v>6958</v>
      </c>
      <c r="E13" s="1963"/>
    </row>
    <row r="14" spans="1:5" ht="15.75">
      <c r="A14" s="1963"/>
      <c r="B14" s="2953"/>
      <c r="C14" s="1966" t="s">
        <v>1626</v>
      </c>
      <c r="D14" s="1043" t="str">
        <f ca="1">NUMBERSTRING(INT(D13*10000),2)&amp;"元整"</f>
        <v>陆仟玖佰伍拾捌万元整</v>
      </c>
      <c r="E14" s="1963"/>
    </row>
    <row r="15" spans="1:5" ht="15">
      <c r="A15" s="1963"/>
      <c r="B15" s="2958"/>
      <c r="C15" s="1967" t="s">
        <v>1636</v>
      </c>
      <c r="D15" s="1055">
        <f ca="1">结果表!H108</f>
        <v>30239</v>
      </c>
      <c r="E15" s="1963"/>
    </row>
    <row r="16" spans="1:5" ht="15">
      <c r="A16" s="1963"/>
      <c r="B16" s="2959" t="str">
        <f>结果表!E109</f>
        <v>——</v>
      </c>
      <c r="C16" s="1971" t="s">
        <v>1637</v>
      </c>
      <c r="D16" s="1972" t="str">
        <f>结果表!H109</f>
        <v>——</v>
      </c>
      <c r="E16" s="1963"/>
    </row>
    <row r="17" spans="1:5" ht="15.75">
      <c r="A17" s="1963"/>
      <c r="B17" s="2960"/>
      <c r="C17" s="1966" t="s">
        <v>1638</v>
      </c>
      <c r="D17" s="1043" t="e">
        <f>NUMBERSTRING(INT(D16*10000),2)&amp;"元整"</f>
        <v>#VALUE!</v>
      </c>
      <c r="E17" s="1963"/>
    </row>
    <row r="18" spans="1:5" ht="15">
      <c r="A18" s="1963"/>
      <c r="B18" s="2961"/>
      <c r="C18" s="1967" t="s">
        <v>1627</v>
      </c>
      <c r="D18" s="1055" t="str">
        <f>结果表!H110</f>
        <v>——</v>
      </c>
      <c r="E18" s="1963"/>
    </row>
    <row r="19" spans="1:5" ht="15.75">
      <c r="A19" s="1963"/>
      <c r="B19" s="2952" t="str">
        <f>结果表!E111</f>
        <v>——</v>
      </c>
      <c r="C19" s="1971" t="s">
        <v>1625</v>
      </c>
      <c r="D19" s="1044" t="str">
        <f>结果表!H111</f>
        <v>——</v>
      </c>
      <c r="E19" s="1963"/>
    </row>
    <row r="20" spans="1:5" ht="15.75">
      <c r="A20" s="1963"/>
      <c r="B20" s="2953"/>
      <c r="C20" s="1966" t="s">
        <v>1638</v>
      </c>
      <c r="D20" s="1043" t="e">
        <f>NUMBERSTRING(INT(D19*10000),2)&amp;"元整"</f>
        <v>#VALUE!</v>
      </c>
      <c r="E20" s="1963"/>
    </row>
    <row r="21" spans="1:5" ht="15.75" thickBot="1">
      <c r="A21" s="1963"/>
      <c r="B21" s="2954"/>
      <c r="C21" s="1973" t="s">
        <v>1636</v>
      </c>
      <c r="D21" s="1056" t="str">
        <f>结果表!H112</f>
        <v>——</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30337</v>
      </c>
      <c r="C2" s="2" t="s">
        <v>133</v>
      </c>
      <c r="D2" s="244"/>
      <c r="E2" s="244"/>
      <c r="F2" s="244"/>
      <c r="G2" s="244"/>
    </row>
    <row r="3" spans="1:7" s="245" customFormat="1" ht="18" customHeight="1" thickBot="1">
      <c r="A3" s="248" t="s">
        <v>85</v>
      </c>
      <c r="B3" s="249">
        <f ca="1">ROUND(B2*10000/'数据-汇总表'!E3,0)</f>
        <v>131844</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2" t="s">
        <v>791</v>
      </c>
      <c r="B6" s="260" t="s">
        <v>91</v>
      </c>
      <c r="C6" s="261">
        <v>20000</v>
      </c>
      <c r="D6" s="262"/>
      <c r="E6" s="263"/>
      <c r="F6" s="263"/>
      <c r="G6" s="264"/>
    </row>
    <row r="7" spans="1:7" s="259" customFormat="1" ht="13.5" customHeight="1">
      <c r="A7" s="952" t="s">
        <v>792</v>
      </c>
      <c r="B7" s="260" t="s">
        <v>57</v>
      </c>
      <c r="C7" s="265">
        <f>ROUND(C6*F7,0)</f>
        <v>610</v>
      </c>
      <c r="D7" s="265"/>
      <c r="E7" s="263"/>
      <c r="F7" s="266">
        <f>'数据-取费表'!B48+'数据-取费表'!B49</f>
        <v>3.0499999999999999E-2</v>
      </c>
      <c r="G7" s="264"/>
    </row>
    <row r="8" spans="1:7" s="268" customFormat="1">
      <c r="A8" s="952" t="s">
        <v>793</v>
      </c>
      <c r="B8" s="260" t="s">
        <v>92</v>
      </c>
      <c r="C8" s="265" t="str">
        <f>IF(G8="已包含在土地购买价格中","0",'数据-取费表'!B29)</f>
        <v>0</v>
      </c>
      <c r="D8" s="267"/>
      <c r="E8" s="265"/>
      <c r="F8" s="266"/>
      <c r="G8" s="1" t="s">
        <v>1148</v>
      </c>
    </row>
    <row r="9" spans="1:7" s="259" customFormat="1" ht="13.5" customHeight="1">
      <c r="A9" s="953" t="s">
        <v>800</v>
      </c>
      <c r="B9" s="269" t="s">
        <v>93</v>
      </c>
      <c r="C9" s="270">
        <f>ROUND(D9*E9/10000,0)</f>
        <v>0</v>
      </c>
      <c r="D9" s="1035">
        <f>'数据-汇总表'!E5</f>
        <v>0</v>
      </c>
      <c r="E9" s="270">
        <f>'数据-取费表'!B27</f>
        <v>0</v>
      </c>
      <c r="F9" s="266"/>
      <c r="G9" s="271"/>
    </row>
    <row r="10" spans="1:7" s="259" customFormat="1" ht="13.5" customHeight="1">
      <c r="A10" s="953" t="s">
        <v>801</v>
      </c>
      <c r="B10" s="269" t="s">
        <v>94</v>
      </c>
      <c r="C10" s="270">
        <f>ROUND(D10*E10/10000,0)</f>
        <v>46</v>
      </c>
      <c r="D10" s="1035">
        <f>'数据-汇总表'!E6</f>
        <v>2300.98</v>
      </c>
      <c r="E10" s="270">
        <f>'数据-取费表'!B28</f>
        <v>200</v>
      </c>
      <c r="F10" s="266"/>
      <c r="G10" s="271"/>
    </row>
    <row r="11" spans="1:7" s="259" customFormat="1" ht="13.5" hidden="1" customHeight="1">
      <c r="A11" s="272" t="s">
        <v>7</v>
      </c>
      <c r="B11" s="260" t="s">
        <v>95</v>
      </c>
      <c r="C11" s="256"/>
      <c r="D11" s="1037"/>
      <c r="E11" s="263"/>
      <c r="F11" s="263"/>
      <c r="G11" s="264"/>
    </row>
    <row r="12" spans="1:7" s="259" customFormat="1" ht="13.5" hidden="1" customHeight="1">
      <c r="A12" s="272" t="s">
        <v>8</v>
      </c>
      <c r="B12" s="260" t="s">
        <v>96</v>
      </c>
      <c r="C12" s="256">
        <v>0</v>
      </c>
      <c r="D12" s="1037"/>
      <c r="E12" s="273"/>
      <c r="F12" s="266">
        <v>3.0499999999999999E-2</v>
      </c>
      <c r="G12" s="264"/>
    </row>
    <row r="13" spans="1:7" s="259" customFormat="1" ht="13.5" hidden="1" customHeight="1">
      <c r="A13" s="272" t="s">
        <v>9</v>
      </c>
      <c r="B13" s="260" t="s">
        <v>97</v>
      </c>
      <c r="C13" s="256"/>
      <c r="D13" s="1037"/>
      <c r="E13" s="263"/>
      <c r="F13" s="263"/>
      <c r="G13" s="264"/>
    </row>
    <row r="14" spans="1:7" s="259" customFormat="1" ht="13.5" hidden="1" customHeight="1">
      <c r="A14" s="272" t="s">
        <v>10</v>
      </c>
      <c r="B14" s="260" t="s">
        <v>92</v>
      </c>
      <c r="C14" s="256"/>
      <c r="D14" s="1037"/>
      <c r="E14" s="263"/>
      <c r="F14" s="263"/>
      <c r="G14" s="264" t="s">
        <v>98</v>
      </c>
    </row>
    <row r="15" spans="1:7" s="259" customFormat="1" ht="13.5" hidden="1" customHeight="1">
      <c r="A15" s="272" t="s">
        <v>11</v>
      </c>
      <c r="B15" s="260" t="s">
        <v>99</v>
      </c>
      <c r="C15" s="265"/>
      <c r="D15" s="1037"/>
      <c r="E15" s="263"/>
      <c r="F15" s="263"/>
      <c r="G15" s="264" t="s">
        <v>100</v>
      </c>
    </row>
    <row r="16" spans="1:7" s="259" customFormat="1" ht="13.5" hidden="1" customHeight="1">
      <c r="A16" s="272" t="s">
        <v>12</v>
      </c>
      <c r="B16" s="260" t="s">
        <v>92</v>
      </c>
      <c r="C16" s="265"/>
      <c r="D16" s="1037"/>
      <c r="E16" s="263"/>
      <c r="F16" s="263"/>
      <c r="G16" s="264"/>
    </row>
    <row r="17" spans="1:7" s="259" customFormat="1" ht="13.5" hidden="1" customHeight="1">
      <c r="A17" s="272" t="s">
        <v>13</v>
      </c>
      <c r="B17" s="260" t="s">
        <v>101</v>
      </c>
      <c r="C17" s="274"/>
      <c r="D17" s="1038"/>
      <c r="E17" s="274"/>
      <c r="F17" s="274"/>
      <c r="G17" s="264" t="s">
        <v>100</v>
      </c>
    </row>
    <row r="18" spans="1:7" s="259" customFormat="1" ht="13.5" hidden="1" customHeight="1">
      <c r="A18" s="272" t="s">
        <v>14</v>
      </c>
      <c r="B18" s="260" t="s">
        <v>102</v>
      </c>
      <c r="C18" s="265">
        <v>0</v>
      </c>
      <c r="D18" s="1037"/>
      <c r="E18" s="263"/>
      <c r="F18" s="266">
        <v>3.0499999999999999E-2</v>
      </c>
      <c r="G18" s="264" t="s">
        <v>103</v>
      </c>
    </row>
    <row r="19" spans="1:7" s="268" customFormat="1" ht="13.5" customHeight="1">
      <c r="A19" s="951" t="s">
        <v>1055</v>
      </c>
      <c r="B19" s="255" t="s">
        <v>111</v>
      </c>
      <c r="C19" s="256">
        <f>IF(G19="已包含在土地取得成本中","0",ROUND(D19*E19/10000,0))</f>
        <v>46</v>
      </c>
      <c r="D19" s="1039">
        <f>'数据-汇总表'!E3</f>
        <v>2300.98</v>
      </c>
      <c r="E19" s="256">
        <f>'数据-取费表'!B31</f>
        <v>200</v>
      </c>
      <c r="F19" s="276"/>
      <c r="G19" s="1" t="s">
        <v>1074</v>
      </c>
    </row>
    <row r="20" spans="1:7" s="259" customFormat="1" ht="13.5" customHeight="1">
      <c r="A20" s="951" t="s">
        <v>1057</v>
      </c>
      <c r="B20" s="255" t="s">
        <v>104</v>
      </c>
      <c r="C20" s="277">
        <f>ROUND((C5+C19)*F20,0)</f>
        <v>413</v>
      </c>
      <c r="D20" s="277"/>
      <c r="E20" s="277"/>
      <c r="F20" s="278">
        <f>'数据-取费表'!B37</f>
        <v>0.02</v>
      </c>
      <c r="G20" s="1292" t="s">
        <v>1068</v>
      </c>
    </row>
    <row r="21" spans="1:7" s="259" customFormat="1" ht="13.5" customHeight="1">
      <c r="A21" s="951" t="s">
        <v>1059</v>
      </c>
      <c r="B21" s="255" t="s">
        <v>105</v>
      </c>
      <c r="C21" s="280">
        <f>F21</f>
        <v>0.02</v>
      </c>
      <c r="D21" s="281" t="s">
        <v>126</v>
      </c>
      <c r="E21" s="277"/>
      <c r="F21" s="278">
        <f>'数据-取费表'!B38</f>
        <v>0.02</v>
      </c>
      <c r="G21" s="279" t="s">
        <v>106</v>
      </c>
    </row>
    <row r="22" spans="1:7" s="259" customFormat="1" ht="13.5" customHeight="1">
      <c r="A22" s="951" t="s">
        <v>786</v>
      </c>
      <c r="B22" s="255" t="s">
        <v>107</v>
      </c>
      <c r="C22" s="1357">
        <f ca="1">ROUND(SUM(C23:C25),0)</f>
        <v>2028</v>
      </c>
      <c r="D22" s="280">
        <f ca="1">C26</f>
        <v>1E-3</v>
      </c>
      <c r="E22" s="281" t="s">
        <v>126</v>
      </c>
      <c r="F22" s="282">
        <f ca="1">'数据-取费表'!B40</f>
        <v>4.7500000000000001E-2</v>
      </c>
      <c r="G22" s="1292" t="str">
        <f>IF('数据-取费表'!B22&lt;=1,"单利计息","复利计息")</f>
        <v>复利计息</v>
      </c>
    </row>
    <row r="23" spans="1:7" s="259" customFormat="1" ht="13.5" customHeight="1">
      <c r="A23" s="954" t="s">
        <v>794</v>
      </c>
      <c r="B23" s="260" t="s">
        <v>1061</v>
      </c>
      <c r="C23" s="1358">
        <f ca="1">ROUND(IF('数据-取费表'!B22&lt;=1,C5*F22*'数据-取费表'!B23,C5*(POWER((1+F22),'数据-取费表'!B23)-1)),0)</f>
        <v>2004</v>
      </c>
      <c r="D23" s="283"/>
      <c r="E23" s="283"/>
      <c r="F23" s="284"/>
      <c r="G23" s="285" t="s">
        <v>108</v>
      </c>
    </row>
    <row r="24" spans="1:7" s="259" customFormat="1" ht="13.5" customHeight="1">
      <c r="A24" s="954" t="s">
        <v>792</v>
      </c>
      <c r="B24" s="260" t="s">
        <v>1056</v>
      </c>
      <c r="C24" s="1358">
        <f ca="1">ROUND(IF('数据-取费表'!B22&lt;=1,C19*F22*('数据-取费表'!B19/2+'数据-取费表'!B21),C19*(POWER((1+F22),('数据-取费表'!B19/2+'数据-取费表'!B21))-1)),0)</f>
        <v>4</v>
      </c>
      <c r="D24" s="283"/>
      <c r="E24" s="283"/>
      <c r="F24" s="284"/>
      <c r="G24" s="285" t="s">
        <v>109</v>
      </c>
    </row>
    <row r="25" spans="1:7" s="259" customFormat="1" ht="24">
      <c r="A25" s="954" t="s">
        <v>793</v>
      </c>
      <c r="B25" s="260" t="s">
        <v>1058</v>
      </c>
      <c r="C25" s="1358">
        <f ca="1">ROUND(IF('数据-取费表'!B22&lt;=1,C20*F22*'数据-取费表'!B23/2,C20*(POWER((1+F22),'数据-取费表'!B23/2)-1)),0)</f>
        <v>20</v>
      </c>
      <c r="D25" s="283"/>
      <c r="E25" s="286"/>
      <c r="F25" s="284"/>
      <c r="G25" s="287" t="s">
        <v>110</v>
      </c>
    </row>
    <row r="26" spans="1:7" s="259" customFormat="1">
      <c r="A26" s="954" t="s">
        <v>795</v>
      </c>
      <c r="B26" s="260" t="s">
        <v>1060</v>
      </c>
      <c r="C26" s="283">
        <f ca="1">ROUND(IF('数据-取费表'!B22&lt;=1,F21*F22*'数据-取费表'!B23/2,F21*(POWER((1+F22),'数据-取费表'!B23/2)-1)),4)</f>
        <v>1E-3</v>
      </c>
      <c r="D26" s="283"/>
      <c r="E26" s="286"/>
      <c r="F26" s="284"/>
      <c r="G26" s="288"/>
    </row>
    <row r="27" spans="1:7" s="259" customFormat="1" ht="24.75">
      <c r="A27" s="951" t="s">
        <v>787</v>
      </c>
      <c r="B27" s="289" t="s">
        <v>112</v>
      </c>
      <c r="C27" s="290">
        <f>C28</f>
        <v>4214</v>
      </c>
      <c r="D27" s="280">
        <f>C29</f>
        <v>4.0000000000000001E-3</v>
      </c>
      <c r="E27" s="281" t="s">
        <v>126</v>
      </c>
      <c r="F27" s="291">
        <f>'数据-取费表'!Q16</f>
        <v>0.2</v>
      </c>
      <c r="G27" s="292" t="s">
        <v>1069</v>
      </c>
    </row>
    <row r="28" spans="1:7" s="259" customFormat="1" ht="13.5" customHeight="1">
      <c r="A28" s="954" t="s">
        <v>794</v>
      </c>
      <c r="B28" s="293" t="s">
        <v>1062</v>
      </c>
      <c r="C28" s="294">
        <f>ROUND((C5+C19+C20)*F27*'数据-取费表'!B21/'数据-取费表'!B20,0)</f>
        <v>4214</v>
      </c>
      <c r="D28" s="280"/>
      <c r="E28" s="281"/>
      <c r="F28" s="291"/>
      <c r="G28" s="292"/>
    </row>
    <row r="29" spans="1:7" s="259" customFormat="1" ht="13.5" customHeight="1">
      <c r="A29" s="954" t="s">
        <v>792</v>
      </c>
      <c r="B29" s="293" t="s">
        <v>1063</v>
      </c>
      <c r="C29" s="283">
        <f>ROUND(C21*F27*'数据-取费表'!B21/'数据-取费表'!B20,4)</f>
        <v>4.0000000000000001E-3</v>
      </c>
      <c r="D29" s="280"/>
      <c r="E29" s="281"/>
      <c r="F29" s="291"/>
      <c r="G29" s="292"/>
    </row>
    <row r="30" spans="1:7" s="259" customFormat="1" ht="13.5" customHeight="1">
      <c r="A30" s="951"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29632</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527</v>
      </c>
      <c r="D33" s="277"/>
      <c r="E33" s="257"/>
      <c r="F33" s="286"/>
      <c r="G33" s="279"/>
    </row>
    <row r="34" spans="1:7" s="303" customFormat="1" ht="13.5" customHeight="1">
      <c r="A34" s="954" t="s">
        <v>794</v>
      </c>
      <c r="B34" s="260" t="s">
        <v>59</v>
      </c>
      <c r="C34" s="265">
        <f>IF(F34=100%,'数据-取费表'!M16-SUMIF('数据-取费表'!C:C,"公共配套",'数据-取费表'!M:M),'数据-取费表'!O16-SUMIF('数据-取费表'!C:C,"公共配套",'数据-取费表'!O:O))</f>
        <v>460</v>
      </c>
      <c r="D34" s="262"/>
      <c r="E34" s="265"/>
      <c r="F34" s="302">
        <f>IF('数据-取费表'!B24=0,1,'数据-取费表'!N16)</f>
        <v>1</v>
      </c>
      <c r="G34" s="264" t="s">
        <v>116</v>
      </c>
    </row>
    <row r="35" spans="1:7" ht="13.5" customHeight="1">
      <c r="A35" s="954" t="s">
        <v>796</v>
      </c>
      <c r="B35" s="260" t="s">
        <v>60</v>
      </c>
      <c r="C35" s="265">
        <f>ROUND(C34*F35,0)</f>
        <v>14</v>
      </c>
      <c r="D35" s="265"/>
      <c r="E35" s="265"/>
      <c r="F35" s="304">
        <f>'数据-取费表'!B33</f>
        <v>0.03</v>
      </c>
      <c r="G35" s="264" t="s">
        <v>117</v>
      </c>
    </row>
    <row r="36" spans="1:7" ht="24">
      <c r="A36" s="954"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0.05</v>
      </c>
      <c r="G36" s="305" t="s">
        <v>62</v>
      </c>
    </row>
    <row r="37" spans="1:7" s="303" customFormat="1" ht="13.5" customHeight="1">
      <c r="A37" s="954" t="s">
        <v>798</v>
      </c>
      <c r="B37" s="260" t="s">
        <v>118</v>
      </c>
      <c r="C37" s="294">
        <f>ROUND(E37*D37*F34/10000,0)</f>
        <v>46</v>
      </c>
      <c r="D37" s="262">
        <f>'数据-汇总表'!E3</f>
        <v>2300.98</v>
      </c>
      <c r="E37" s="294">
        <f>'数据-取费表'!B35</f>
        <v>200</v>
      </c>
      <c r="F37" s="304"/>
      <c r="G37" s="306" t="s">
        <v>119</v>
      </c>
    </row>
    <row r="38" spans="1:7" ht="13.5" customHeight="1">
      <c r="A38" s="954" t="s">
        <v>799</v>
      </c>
      <c r="B38" s="260" t="s">
        <v>63</v>
      </c>
      <c r="C38" s="265">
        <f>ROUND(C34*F38,0)</f>
        <v>7</v>
      </c>
      <c r="D38" s="265"/>
      <c r="E38" s="265"/>
      <c r="F38" s="304">
        <f>'数据-取费表'!B36</f>
        <v>1.4999999999999999E-2</v>
      </c>
      <c r="G38" s="264" t="s">
        <v>117</v>
      </c>
    </row>
    <row r="39" spans="1:7" s="259" customFormat="1" ht="13.5" customHeight="1">
      <c r="A39" s="951" t="s">
        <v>783</v>
      </c>
      <c r="B39" s="255" t="s">
        <v>104</v>
      </c>
      <c r="C39" s="277">
        <f>ROUND(C33*F20,0)</f>
        <v>11</v>
      </c>
      <c r="D39" s="277"/>
      <c r="E39" s="277"/>
      <c r="F39" s="278"/>
      <c r="G39" s="1292" t="s">
        <v>1071</v>
      </c>
    </row>
    <row r="40" spans="1:7" s="259" customFormat="1" ht="13.5" customHeight="1">
      <c r="A40" s="951" t="s">
        <v>784</v>
      </c>
      <c r="B40" s="255" t="s">
        <v>105</v>
      </c>
      <c r="C40" s="307">
        <f>F21</f>
        <v>0.02</v>
      </c>
      <c r="D40" s="281" t="s">
        <v>129</v>
      </c>
      <c r="E40" s="277"/>
      <c r="F40" s="278"/>
      <c r="G40" s="279" t="s">
        <v>120</v>
      </c>
    </row>
    <row r="41" spans="1:7" s="259" customFormat="1" ht="13.5" customHeight="1">
      <c r="A41" s="951" t="s">
        <v>785</v>
      </c>
      <c r="B41" s="255" t="s">
        <v>107</v>
      </c>
      <c r="C41" s="277">
        <f ca="1">ROUND(SUM(C42:C43),0)</f>
        <v>26</v>
      </c>
      <c r="D41" s="280">
        <f ca="1">C44</f>
        <v>1E-3</v>
      </c>
      <c r="E41" s="281" t="s">
        <v>129</v>
      </c>
      <c r="F41" s="282"/>
      <c r="G41" s="1292" t="str">
        <f>IF('数据-取费表'!B22&lt;=1,"单利计息","复利计息")</f>
        <v>复利计息</v>
      </c>
    </row>
    <row r="42" spans="1:7" ht="13.5" customHeight="1">
      <c r="A42" s="954" t="s">
        <v>794</v>
      </c>
      <c r="B42" s="260" t="s">
        <v>1061</v>
      </c>
      <c r="C42" s="283">
        <f ca="1">ROUND(IF('数据-取费表'!B22&lt;=1,C33*F22*'数据-取费表'!B21/2,C33*(POWER((1+F22),'数据-取费表'!B21/2)-1)),0)</f>
        <v>25</v>
      </c>
      <c r="D42" s="283"/>
      <c r="E42" s="283"/>
      <c r="F42" s="284"/>
      <c r="G42" s="3137" t="s">
        <v>121</v>
      </c>
    </row>
    <row r="43" spans="1:7" ht="13.5" customHeight="1">
      <c r="A43" s="954" t="s">
        <v>792</v>
      </c>
      <c r="B43" s="260" t="s">
        <v>1064</v>
      </c>
      <c r="C43" s="283">
        <f ca="1">ROUND(IF('数据-取费表'!B22&lt;=1,C39*F22*'数据-取费表'!B21/2,C39*(POWER((1+F22),'数据-取费表'!B21/2)-1)),0)</f>
        <v>1</v>
      </c>
      <c r="D43" s="283"/>
      <c r="E43" s="283"/>
      <c r="F43" s="284"/>
      <c r="G43" s="3138"/>
    </row>
    <row r="44" spans="1:7" ht="13.5" customHeight="1">
      <c r="A44" s="954" t="s">
        <v>793</v>
      </c>
      <c r="B44" s="260" t="s">
        <v>1066</v>
      </c>
      <c r="C44" s="283">
        <f ca="1">ROUND(IF('数据-取费表'!B22&lt;=1,C40*F22*'数据-取费表'!B21/2,C40*(POWER((1+F22),'数据-取费表'!B21/2)-1)),4)</f>
        <v>1E-3</v>
      </c>
      <c r="D44" s="283"/>
      <c r="E44" s="283"/>
      <c r="F44" s="284"/>
      <c r="G44" s="3139"/>
    </row>
    <row r="45" spans="1:7" s="259" customFormat="1" ht="13.5" customHeight="1">
      <c r="A45" s="951" t="s">
        <v>786</v>
      </c>
      <c r="B45" s="289" t="s">
        <v>112</v>
      </c>
      <c r="C45" s="290">
        <f>C46</f>
        <v>108</v>
      </c>
      <c r="D45" s="280">
        <f>C47</f>
        <v>4.0000000000000001E-3</v>
      </c>
      <c r="E45" s="281" t="s">
        <v>129</v>
      </c>
      <c r="F45" s="291"/>
      <c r="G45" s="292" t="s">
        <v>1072</v>
      </c>
    </row>
    <row r="46" spans="1:7" s="259" customFormat="1" ht="13.5" customHeight="1">
      <c r="A46" s="954" t="s">
        <v>794</v>
      </c>
      <c r="B46" s="293" t="s">
        <v>1065</v>
      </c>
      <c r="C46" s="294">
        <f>ROUND((C33+C39)*F27,0)</f>
        <v>108</v>
      </c>
      <c r="D46" s="308"/>
      <c r="E46" s="281"/>
      <c r="F46" s="291"/>
      <c r="G46" s="292"/>
    </row>
    <row r="47" spans="1:7" s="259" customFormat="1" ht="13.5" customHeight="1">
      <c r="A47" s="954" t="s">
        <v>792</v>
      </c>
      <c r="B47" s="293" t="s">
        <v>1067</v>
      </c>
      <c r="C47" s="283">
        <f>ROUND(C40*F27,4)</f>
        <v>4.0000000000000001E-3</v>
      </c>
      <c r="D47" s="308"/>
      <c r="E47" s="281"/>
      <c r="F47" s="291"/>
      <c r="G47" s="292"/>
    </row>
    <row r="48" spans="1:7" s="259" customFormat="1" ht="13.5" customHeight="1">
      <c r="A48" s="951" t="s">
        <v>787</v>
      </c>
      <c r="B48" s="255" t="s">
        <v>122</v>
      </c>
      <c r="C48" s="307">
        <f>F30</f>
        <v>5.6000000000000001E-2</v>
      </c>
      <c r="D48" s="281" t="s">
        <v>130</v>
      </c>
      <c r="E48" s="277"/>
      <c r="F48" s="282"/>
      <c r="G48" s="279" t="s">
        <v>123</v>
      </c>
    </row>
    <row r="49" spans="1:7" ht="16.5" customHeight="1">
      <c r="A49" s="951" t="s">
        <v>788</v>
      </c>
      <c r="B49" s="255" t="s">
        <v>131</v>
      </c>
      <c r="C49" s="277">
        <f ca="1">ROUND((C33+C39+C41+C45)/(1-C40-D41-D45-C48/(1+'数据-取费表'!B42)),0)</f>
        <v>729</v>
      </c>
      <c r="D49" s="277"/>
      <c r="E49" s="277"/>
      <c r="F49" s="309"/>
      <c r="G49" s="279" t="s">
        <v>1073</v>
      </c>
    </row>
    <row r="50" spans="1:7" s="303" customFormat="1" ht="24">
      <c r="A50" s="951" t="s">
        <v>789</v>
      </c>
      <c r="B50" s="255" t="s">
        <v>124</v>
      </c>
      <c r="C50" s="277"/>
      <c r="D50" s="277"/>
      <c r="E50" s="277"/>
      <c r="F50" s="309">
        <f>IF('数据-取费表'!B24=0,'数据-取费表'!N16,1)</f>
        <v>0.96699999999999997</v>
      </c>
      <c r="G50" s="292" t="s">
        <v>125</v>
      </c>
    </row>
    <row r="51" spans="1:7" ht="16.5" customHeight="1">
      <c r="A51" s="951" t="s">
        <v>790</v>
      </c>
      <c r="B51" s="255" t="s">
        <v>132</v>
      </c>
      <c r="C51" s="277">
        <f ca="1">ROUND(C49*F50,0)</f>
        <v>705</v>
      </c>
      <c r="D51" s="277"/>
      <c r="E51" s="277"/>
      <c r="F51" s="309"/>
      <c r="G51" s="279" t="s">
        <v>64</v>
      </c>
    </row>
    <row r="52" spans="1:7" s="253" customFormat="1" ht="16.5" thickBot="1">
      <c r="A52" s="310" t="s">
        <v>65</v>
      </c>
      <c r="B52" s="311"/>
      <c r="C52" s="312">
        <f ca="1">C31+C51</f>
        <v>30337</v>
      </c>
      <c r="D52" s="311"/>
      <c r="E52" s="311"/>
      <c r="F52" s="311"/>
      <c r="G52" s="313"/>
    </row>
    <row r="55" spans="1:7" ht="15">
      <c r="B55" s="315" t="s">
        <v>66</v>
      </c>
      <c r="C55" s="316"/>
    </row>
    <row r="56" spans="1:7">
      <c r="B56" s="318" t="s">
        <v>67</v>
      </c>
      <c r="C56" s="319">
        <f ca="1">ROUND(C51/C52,3)</f>
        <v>2.3E-2</v>
      </c>
    </row>
    <row r="57" spans="1:7">
      <c r="B57" s="318" t="s">
        <v>68</v>
      </c>
      <c r="C57" s="320">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4" t="s">
        <v>156</v>
      </c>
      <c r="B1" s="3274"/>
      <c r="C1" s="3274"/>
      <c r="D1" s="3274"/>
      <c r="E1" s="3274"/>
      <c r="F1" s="327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5" t="s">
        <v>169</v>
      </c>
      <c r="B2" s="3275"/>
      <c r="C2" s="3275"/>
      <c r="D2" s="3275"/>
      <c r="E2" s="3275"/>
      <c r="F2" s="327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4" t="s">
        <v>871</v>
      </c>
      <c r="B1" s="327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43040</v>
      </c>
      <c r="D1" s="1704" t="s">
        <v>1302</v>
      </c>
      <c r="E1" s="1699">
        <f>'数据-取费表'!B22</f>
        <v>2</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I22"/>
  <sheetViews>
    <sheetView workbookViewId="0">
      <selection activeCell="J21" sqref="J21"/>
    </sheetView>
  </sheetViews>
  <sheetFormatPr defaultRowHeight="23.25" customHeight="1"/>
  <cols>
    <col min="6" max="6" width="26" customWidth="1"/>
  </cols>
  <sheetData>
    <row r="1" spans="5:9" ht="23.25" customHeight="1" thickBot="1"/>
    <row r="2" spans="5:9" ht="23.25" customHeight="1" thickTop="1">
      <c r="E2" s="3280" t="s">
        <v>3127</v>
      </c>
      <c r="F2" s="3280" t="s">
        <v>3128</v>
      </c>
      <c r="G2" s="3280" t="s">
        <v>3129</v>
      </c>
      <c r="H2" s="3283" t="s">
        <v>3130</v>
      </c>
      <c r="I2" s="3284"/>
    </row>
    <row r="3" spans="5:9" ht="23.25" customHeight="1">
      <c r="E3" s="3281"/>
      <c r="F3" s="3281"/>
      <c r="G3" s="3281"/>
      <c r="H3" s="2946" t="s">
        <v>3131</v>
      </c>
      <c r="I3" s="3285" t="s">
        <v>3133</v>
      </c>
    </row>
    <row r="4" spans="5:9" ht="23.25" customHeight="1">
      <c r="E4" s="3282"/>
      <c r="F4" s="3282"/>
      <c r="G4" s="3282"/>
      <c r="H4" s="2947" t="s">
        <v>3132</v>
      </c>
      <c r="I4" s="3282"/>
    </row>
    <row r="5" spans="5:9" ht="23.25" customHeight="1">
      <c r="E5" s="2948">
        <v>1</v>
      </c>
      <c r="F5" s="2947" t="s">
        <v>3134</v>
      </c>
      <c r="G5" s="2949">
        <v>80.540000000000006</v>
      </c>
      <c r="H5" s="2949">
        <f ca="1">结果表!I118</f>
        <v>30239</v>
      </c>
      <c r="I5" s="2949">
        <f ca="1">ROUND(H5*G5/10000,0)</f>
        <v>244</v>
      </c>
    </row>
    <row r="6" spans="5:9" ht="23.25" customHeight="1">
      <c r="E6" s="2948">
        <v>2</v>
      </c>
      <c r="F6" s="2947" t="s">
        <v>3135</v>
      </c>
      <c r="G6" s="2949">
        <v>80.47</v>
      </c>
      <c r="H6" s="2949">
        <f ca="1">H5</f>
        <v>30239</v>
      </c>
      <c r="I6" s="2949">
        <f t="shared" ref="I6:I19" ca="1" si="0">ROUND(H6*G6/10000,0)</f>
        <v>243</v>
      </c>
    </row>
    <row r="7" spans="5:9" ht="23.25" customHeight="1">
      <c r="E7" s="2948">
        <v>3</v>
      </c>
      <c r="F7" s="2947" t="s">
        <v>3136</v>
      </c>
      <c r="G7" s="2949">
        <v>46.13</v>
      </c>
      <c r="H7" s="2949">
        <f t="shared" ref="H7:H20" ca="1" si="1">H6</f>
        <v>30239</v>
      </c>
      <c r="I7" s="2949">
        <f t="shared" ca="1" si="0"/>
        <v>139</v>
      </c>
    </row>
    <row r="8" spans="5:9" ht="23.25" customHeight="1">
      <c r="E8" s="2948">
        <v>4</v>
      </c>
      <c r="F8" s="2947" t="s">
        <v>3137</v>
      </c>
      <c r="G8" s="2949">
        <v>67.760000000000005</v>
      </c>
      <c r="H8" s="2949">
        <f t="shared" ca="1" si="1"/>
        <v>30239</v>
      </c>
      <c r="I8" s="2949">
        <f t="shared" ca="1" si="0"/>
        <v>205</v>
      </c>
    </row>
    <row r="9" spans="5:9" ht="23.25" customHeight="1">
      <c r="E9" s="2948">
        <v>5</v>
      </c>
      <c r="F9" s="2947" t="s">
        <v>3138</v>
      </c>
      <c r="G9" s="2949">
        <v>43.07</v>
      </c>
      <c r="H9" s="2949">
        <f t="shared" ca="1" si="1"/>
        <v>30239</v>
      </c>
      <c r="I9" s="2949">
        <f t="shared" ca="1" si="0"/>
        <v>130</v>
      </c>
    </row>
    <row r="10" spans="5:9" ht="23.25" customHeight="1">
      <c r="E10" s="2948">
        <v>6</v>
      </c>
      <c r="F10" s="2947" t="s">
        <v>3139</v>
      </c>
      <c r="G10" s="2949">
        <v>83.81</v>
      </c>
      <c r="H10" s="2949">
        <f t="shared" ca="1" si="1"/>
        <v>30239</v>
      </c>
      <c r="I10" s="2949">
        <f t="shared" ca="1" si="0"/>
        <v>253</v>
      </c>
    </row>
    <row r="11" spans="5:9" ht="23.25" customHeight="1">
      <c r="E11" s="2948">
        <v>7</v>
      </c>
      <c r="F11" s="2947" t="s">
        <v>3140</v>
      </c>
      <c r="G11" s="2949">
        <v>68.540000000000006</v>
      </c>
      <c r="H11" s="2949">
        <f t="shared" ca="1" si="1"/>
        <v>30239</v>
      </c>
      <c r="I11" s="2949">
        <f t="shared" ca="1" si="0"/>
        <v>207</v>
      </c>
    </row>
    <row r="12" spans="5:9" ht="23.25" customHeight="1">
      <c r="E12" s="2948">
        <v>8</v>
      </c>
      <c r="F12" s="2947" t="s">
        <v>3141</v>
      </c>
      <c r="G12" s="2949">
        <v>67.680000000000007</v>
      </c>
      <c r="H12" s="2949">
        <f t="shared" ca="1" si="1"/>
        <v>30239</v>
      </c>
      <c r="I12" s="2949">
        <f t="shared" ca="1" si="0"/>
        <v>205</v>
      </c>
    </row>
    <row r="13" spans="5:9" ht="23.25" customHeight="1">
      <c r="E13" s="2948">
        <v>9</v>
      </c>
      <c r="F13" s="2947" t="s">
        <v>3142</v>
      </c>
      <c r="G13" s="2949">
        <v>83.19</v>
      </c>
      <c r="H13" s="2949">
        <f t="shared" ca="1" si="1"/>
        <v>30239</v>
      </c>
      <c r="I13" s="2949">
        <f t="shared" ca="1" si="0"/>
        <v>252</v>
      </c>
    </row>
    <row r="14" spans="5:9" ht="23.25" customHeight="1">
      <c r="E14" s="2948">
        <v>10</v>
      </c>
      <c r="F14" s="2947" t="s">
        <v>3143</v>
      </c>
      <c r="G14" s="2949">
        <v>66.430000000000007</v>
      </c>
      <c r="H14" s="2949">
        <f t="shared" ca="1" si="1"/>
        <v>30239</v>
      </c>
      <c r="I14" s="2949">
        <f t="shared" ca="1" si="0"/>
        <v>201</v>
      </c>
    </row>
    <row r="15" spans="5:9" ht="23.25" customHeight="1">
      <c r="E15" s="2948">
        <v>11</v>
      </c>
      <c r="F15" s="2947" t="s">
        <v>3144</v>
      </c>
      <c r="G15" s="2949">
        <v>83.19</v>
      </c>
      <c r="H15" s="2949">
        <f t="shared" ca="1" si="1"/>
        <v>30239</v>
      </c>
      <c r="I15" s="2949">
        <f t="shared" ca="1" si="0"/>
        <v>252</v>
      </c>
    </row>
    <row r="16" spans="5:9" ht="23.25" customHeight="1">
      <c r="E16" s="2948">
        <v>12</v>
      </c>
      <c r="F16" s="2947" t="s">
        <v>3145</v>
      </c>
      <c r="G16" s="2949">
        <v>331.02</v>
      </c>
      <c r="H16" s="2949">
        <f t="shared" ca="1" si="1"/>
        <v>30239</v>
      </c>
      <c r="I16" s="2949">
        <f t="shared" ca="1" si="0"/>
        <v>1001</v>
      </c>
    </row>
    <row r="17" spans="5:9" ht="23.25" customHeight="1">
      <c r="E17" s="2948">
        <v>13</v>
      </c>
      <c r="F17" s="2947" t="s">
        <v>3146</v>
      </c>
      <c r="G17" s="2949">
        <v>331.02</v>
      </c>
      <c r="H17" s="2949">
        <f t="shared" ca="1" si="1"/>
        <v>30239</v>
      </c>
      <c r="I17" s="2949">
        <f t="shared" ca="1" si="0"/>
        <v>1001</v>
      </c>
    </row>
    <row r="18" spans="5:9" ht="23.25" customHeight="1">
      <c r="E18" s="2948">
        <v>14</v>
      </c>
      <c r="F18" s="2947" t="s">
        <v>3147</v>
      </c>
      <c r="G18" s="2949">
        <v>341.55</v>
      </c>
      <c r="H18" s="2949">
        <f t="shared" ca="1" si="1"/>
        <v>30239</v>
      </c>
      <c r="I18" s="2949">
        <f t="shared" ca="1" si="0"/>
        <v>1033</v>
      </c>
    </row>
    <row r="19" spans="5:9" ht="23.25" customHeight="1">
      <c r="E19" s="2948">
        <v>15</v>
      </c>
      <c r="F19" s="2947" t="s">
        <v>3148</v>
      </c>
      <c r="G19" s="2949">
        <v>316.2</v>
      </c>
      <c r="H19" s="2949">
        <f t="shared" ca="1" si="1"/>
        <v>30239</v>
      </c>
      <c r="I19" s="2949">
        <f t="shared" ca="1" si="0"/>
        <v>956</v>
      </c>
    </row>
    <row r="20" spans="5:9" ht="23.25" customHeight="1">
      <c r="E20" s="2948">
        <v>16</v>
      </c>
      <c r="F20" s="2947" t="s">
        <v>3149</v>
      </c>
      <c r="G20" s="2949">
        <v>210.38</v>
      </c>
      <c r="H20" s="2949">
        <f t="shared" ca="1" si="1"/>
        <v>30239</v>
      </c>
      <c r="I20" s="2949">
        <f ca="1">ROUND(H20*G20/10000,0)</f>
        <v>636</v>
      </c>
    </row>
    <row r="21" spans="5:9" ht="23.25" customHeight="1" thickBot="1">
      <c r="E21" s="3278" t="s">
        <v>3150</v>
      </c>
      <c r="F21" s="3279"/>
      <c r="G21" s="2950">
        <f>SUM(G5:G20)</f>
        <v>2300.98</v>
      </c>
      <c r="H21" s="2950">
        <f ca="1">结果表!I118</f>
        <v>30239</v>
      </c>
      <c r="I21" s="2950">
        <f ca="1">结果表!H118</f>
        <v>6958</v>
      </c>
    </row>
    <row r="22" spans="5:9" ht="23.25" customHeight="1" thickTop="1"/>
  </sheetData>
  <mergeCells count="6">
    <mergeCell ref="E21:F21"/>
    <mergeCell ref="E2:E4"/>
    <mergeCell ref="F2:F4"/>
    <mergeCell ref="G2:G4"/>
    <mergeCell ref="H2:I2"/>
    <mergeCell ref="I3:I4"/>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62" t="str">
        <f>IF(项目基本情况!B9="房地产市场价值","估价结果一览表","结果表-2")</f>
        <v>结果表-2</v>
      </c>
      <c r="B1" s="2962"/>
      <c r="C1" s="2962"/>
      <c r="D1" s="2962"/>
      <c r="E1" s="2962"/>
      <c r="F1" s="2962"/>
      <c r="G1" s="2962"/>
      <c r="H1" s="2962"/>
      <c r="I1" s="2962"/>
    </row>
    <row r="2" spans="1:9" ht="30" customHeight="1" thickTop="1">
      <c r="A2" s="2963" t="s">
        <v>1643</v>
      </c>
      <c r="B2" s="2963" t="s">
        <v>1644</v>
      </c>
      <c r="C2" s="2963" t="s">
        <v>1645</v>
      </c>
      <c r="D2" s="2963" t="str">
        <f>结果表!D116</f>
        <v>出让国有建设用地使用权价值</v>
      </c>
      <c r="E2" s="2963"/>
      <c r="F2" s="2963" t="str">
        <f>结果表!F116</f>
        <v>在建建筑物价值</v>
      </c>
      <c r="G2" s="2963"/>
      <c r="H2" s="2963" t="str">
        <f>IF(项目基本情况!B9="房地产市场价值","房地产市场价值","房地产价值")</f>
        <v>房地产价值</v>
      </c>
      <c r="I2" s="2963"/>
    </row>
    <row r="3" spans="1:9" ht="15">
      <c r="A3" s="2964"/>
      <c r="B3" s="2964"/>
      <c r="C3" s="2964"/>
      <c r="D3" s="1047" t="s">
        <v>1640</v>
      </c>
      <c r="E3" s="1047" t="s">
        <v>1646</v>
      </c>
      <c r="F3" s="1047" t="s">
        <v>1640</v>
      </c>
      <c r="G3" s="1047" t="s">
        <v>1641</v>
      </c>
      <c r="H3" s="1047" t="s">
        <v>1640</v>
      </c>
      <c r="I3" s="1047" t="s">
        <v>1641</v>
      </c>
    </row>
    <row r="4" spans="1:9" ht="30">
      <c r="A4" s="1977" t="str">
        <f>项目基本情况!S2</f>
        <v>北京市北京市海淀区白家疃尚峰园3号楼101号等17套房地产</v>
      </c>
      <c r="B4" s="1047">
        <f>项目基本情况!C17</f>
        <v>2300.98</v>
      </c>
      <c r="C4" s="1047">
        <f>项目基本情况!C18</f>
        <v>0</v>
      </c>
      <c r="D4" s="1047" t="e">
        <f ca="1">结果表!D118</f>
        <v>#REF!</v>
      </c>
      <c r="E4" s="1047" t="e">
        <f ca="1">结果表!E118</f>
        <v>#REF!</v>
      </c>
      <c r="F4" s="1047" t="e">
        <f ca="1">结果表!F118</f>
        <v>#REF!</v>
      </c>
      <c r="G4" s="1047" t="e">
        <f ca="1">结果表!G118</f>
        <v>#REF!</v>
      </c>
      <c r="H4" s="1047">
        <f ca="1">结果表!H118</f>
        <v>6958</v>
      </c>
      <c r="I4" s="1047">
        <f ca="1">结果表!I118</f>
        <v>30239</v>
      </c>
    </row>
    <row r="5" spans="1:9" ht="30" customHeight="1">
      <c r="A5" s="2964" t="s">
        <v>1642</v>
      </c>
      <c r="B5" s="2964"/>
      <c r="C5" s="2964"/>
      <c r="D5" s="2965" t="e">
        <f ca="1">结果表!D119</f>
        <v>#REF!</v>
      </c>
      <c r="E5" s="2965"/>
      <c r="F5" s="2965" t="e">
        <f ca="1">结果表!F119</f>
        <v>#REF!</v>
      </c>
      <c r="G5" s="2965"/>
      <c r="H5" s="2965" t="str">
        <f ca="1">结果表!H119</f>
        <v>陆仟玖佰伍拾捌万元整</v>
      </c>
      <c r="I5" s="2965"/>
    </row>
    <row r="6" spans="1:9" ht="15.75">
      <c r="A6" s="2966" t="str">
        <f>结果表!A120</f>
        <v>估价师知悉的法定优先受偿款</v>
      </c>
      <c r="B6" s="2966"/>
      <c r="C6" s="2966"/>
      <c r="D6" s="2966">
        <f>结果表!D120</f>
        <v>0</v>
      </c>
      <c r="E6" s="2966"/>
      <c r="F6" s="2966"/>
      <c r="G6" s="2966"/>
      <c r="H6" s="2966"/>
      <c r="I6" s="2966"/>
    </row>
    <row r="7" spans="1:9" ht="15">
      <c r="A7" s="2964" t="s">
        <v>1642</v>
      </c>
      <c r="B7" s="2964"/>
      <c r="C7" s="2964"/>
      <c r="D7" s="2967" t="str">
        <f>结果表!D121</f>
        <v>零元整</v>
      </c>
      <c r="E7" s="2968"/>
      <c r="F7" s="2968"/>
      <c r="G7" s="2968"/>
      <c r="H7" s="2968"/>
      <c r="I7" s="2969"/>
    </row>
    <row r="8" spans="1:9" ht="15.75">
      <c r="A8" s="2966" t="str">
        <f>结果表!A122</f>
        <v>房地产抵押价值</v>
      </c>
      <c r="B8" s="2966"/>
      <c r="C8" s="2966"/>
      <c r="D8" s="2966">
        <f ca="1">结果表!D122</f>
        <v>6958</v>
      </c>
      <c r="E8" s="2966"/>
      <c r="F8" s="2966"/>
      <c r="G8" s="2966"/>
      <c r="H8" s="2966"/>
      <c r="I8" s="2966"/>
    </row>
    <row r="9" spans="1:9" ht="15">
      <c r="A9" s="2964" t="s">
        <v>1642</v>
      </c>
      <c r="B9" s="2964"/>
      <c r="C9" s="2964"/>
      <c r="D9" s="2965" t="str">
        <f ca="1">结果表!D123</f>
        <v>陆仟玖佰伍拾捌万元整</v>
      </c>
      <c r="E9" s="2965"/>
      <c r="F9" s="2965"/>
      <c r="G9" s="2965"/>
      <c r="H9" s="2965"/>
      <c r="I9" s="2965"/>
    </row>
    <row r="10" spans="1:9" ht="15.75">
      <c r="A10" s="2966" t="str">
        <f>结果表!A124</f>
        <v/>
      </c>
      <c r="B10" s="2966"/>
      <c r="C10" s="2966"/>
      <c r="D10" s="2966" t="str">
        <f>结果表!D124</f>
        <v>——</v>
      </c>
      <c r="E10" s="2966"/>
      <c r="F10" s="2966"/>
      <c r="G10" s="2966"/>
      <c r="H10" s="2966"/>
      <c r="I10" s="2966"/>
    </row>
    <row r="11" spans="1:9" ht="15">
      <c r="A11" s="2964" t="s">
        <v>1642</v>
      </c>
      <c r="B11" s="2964"/>
      <c r="C11" s="2964"/>
      <c r="D11" s="2965" t="e">
        <f>结果表!D125</f>
        <v>#VALUE!</v>
      </c>
      <c r="E11" s="2965"/>
      <c r="F11" s="2965"/>
      <c r="G11" s="2965"/>
      <c r="H11" s="2965"/>
      <c r="I11" s="2965"/>
    </row>
    <row r="12" spans="1:9" ht="15.75">
      <c r="A12" s="2966" t="str">
        <f>结果表!A126</f>
        <v/>
      </c>
      <c r="B12" s="2966"/>
      <c r="C12" s="2966"/>
      <c r="D12" s="2966" t="str">
        <f>结果表!D126</f>
        <v>——</v>
      </c>
      <c r="E12" s="2966"/>
      <c r="F12" s="2966"/>
      <c r="G12" s="2966"/>
      <c r="H12" s="2966"/>
      <c r="I12" s="2966"/>
    </row>
    <row r="13" spans="1:9" ht="15.75" thickBot="1">
      <c r="A13" s="2970" t="s">
        <v>1642</v>
      </c>
      <c r="B13" s="2970"/>
      <c r="C13" s="2970"/>
      <c r="D13" s="2971" t="e">
        <f>结果表!D127</f>
        <v>#VALUE!</v>
      </c>
      <c r="E13" s="2971"/>
      <c r="F13" s="2971"/>
      <c r="G13" s="2971"/>
      <c r="H13" s="2971"/>
      <c r="I13" s="2971"/>
    </row>
    <row r="14" spans="1:9" ht="15" thickTop="1">
      <c r="A14" s="2972" t="s">
        <v>1647</v>
      </c>
      <c r="B14" s="2972"/>
      <c r="C14" s="2972"/>
      <c r="D14" s="2972"/>
      <c r="E14" s="2972"/>
      <c r="F14" s="2972"/>
      <c r="G14" s="2972"/>
      <c r="H14" s="2972"/>
      <c r="I14" s="2972"/>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73" t="s">
        <v>1664</v>
      </c>
      <c r="B1" s="2973"/>
      <c r="C1" s="2973"/>
      <c r="D1" s="2973"/>
    </row>
    <row r="2" spans="1:4" ht="18">
      <c r="A2" s="2974" t="s">
        <v>1648</v>
      </c>
      <c r="B2" s="2974"/>
      <c r="C2" s="2974"/>
      <c r="D2" s="2974"/>
    </row>
    <row r="3" spans="1:4" ht="18.75">
      <c r="A3" s="1981" t="s">
        <v>1649</v>
      </c>
      <c r="B3" s="1981" t="s">
        <v>1650</v>
      </c>
      <c r="C3" s="1981" t="s">
        <v>1651</v>
      </c>
      <c r="D3" s="1981" t="s">
        <v>1652</v>
      </c>
    </row>
    <row r="4" spans="1:4" ht="56.25" customHeight="1">
      <c r="A4" s="1982" t="str">
        <f>项目基本情况!B4</f>
        <v>刘梅</v>
      </c>
      <c r="B4" s="1983">
        <f ca="1">项目基本情况!C4</f>
        <v>1120140022</v>
      </c>
      <c r="C4" s="1984"/>
      <c r="D4" s="1985" t="s">
        <v>1653</v>
      </c>
    </row>
    <row r="5" spans="1:4" ht="56.25" customHeight="1">
      <c r="A5" s="1982" t="str">
        <f>项目基本情况!D4</f>
        <v>王鹏</v>
      </c>
      <c r="B5" s="1983">
        <f ca="1">项目基本情况!E4</f>
        <v>1120050019</v>
      </c>
      <c r="C5" s="1986"/>
      <c r="D5" s="1985" t="s">
        <v>1653</v>
      </c>
    </row>
    <row r="6" spans="1:4" ht="18">
      <c r="A6" s="2974" t="s">
        <v>1654</v>
      </c>
      <c r="B6" s="2974"/>
      <c r="C6" s="2974"/>
      <c r="D6" s="2974"/>
    </row>
    <row r="7" spans="1:4" ht="18.75">
      <c r="A7" s="1981" t="s">
        <v>1649</v>
      </c>
      <c r="B7" s="1983" t="s">
        <v>1655</v>
      </c>
      <c r="C7" s="1981" t="s">
        <v>1651</v>
      </c>
      <c r="D7" s="1981" t="s">
        <v>1652</v>
      </c>
    </row>
    <row r="8" spans="1:4" ht="56.25" customHeight="1">
      <c r="A8" s="1987" t="s">
        <v>869</v>
      </c>
      <c r="B8" s="1987" t="s">
        <v>1</v>
      </c>
      <c r="C8" s="1984"/>
      <c r="D8" s="1985" t="s">
        <v>1653</v>
      </c>
    </row>
    <row r="9" spans="1:4">
      <c r="A9" s="728"/>
      <c r="B9" s="728"/>
      <c r="C9" s="728"/>
      <c r="D9" s="728"/>
    </row>
    <row r="10" spans="1:4" ht="18.75">
      <c r="A10" s="1988" t="s">
        <v>1656</v>
      </c>
      <c r="B10" s="728"/>
      <c r="C10" s="728"/>
      <c r="D10" s="728"/>
    </row>
    <row r="11" spans="1:4" ht="30" customHeight="1">
      <c r="A11" s="2975" t="s">
        <v>1657</v>
      </c>
      <c r="B11" s="2976"/>
      <c r="C11" s="2976"/>
      <c r="D11" s="2976"/>
    </row>
    <row r="12" spans="1:4" ht="15.7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7"/>
      <c r="C12" s="2977"/>
      <c r="D12" s="2977"/>
    </row>
    <row r="13" spans="1:4" ht="30" customHeight="1">
      <c r="A13" s="29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7"/>
      <c r="C13" s="2977"/>
      <c r="D13" s="2977"/>
    </row>
    <row r="14" spans="1:4" ht="15.75" customHeight="1">
      <c r="A14" s="2976" t="str">
        <f>IF(项目基本情况!B8="抵押","4.本次评估估价师所知悉的法定优先受偿款情况说明如下：","——")</f>
        <v>4.本次评估估价师所知悉的法定优先受偿款情况说明如下：</v>
      </c>
      <c r="B14" s="2977"/>
      <c r="C14" s="2977"/>
      <c r="D14" s="2977"/>
    </row>
    <row r="15" spans="1:4" ht="42" customHeight="1">
      <c r="A15" s="2976" t="str">
        <f>IF(项目基本情况!B8="抵押","（1）"&amp;CONCATENATE(项目基本情况!L20,项目基本情况!L21,项目基本情况!L22),"——")</f>
        <v>（1）根据估价对象《房屋所有权证》复印件，截至价值时点，估价对象抵押权未见登记。</v>
      </c>
      <c r="B15" s="2976"/>
      <c r="C15" s="2976"/>
      <c r="D15" s="2976"/>
    </row>
    <row r="16" spans="1:4" ht="30" customHeight="1">
      <c r="A16" s="2979" t="s">
        <v>1658</v>
      </c>
      <c r="B16" s="2979"/>
      <c r="C16" s="2979"/>
      <c r="D16" s="2979"/>
    </row>
    <row r="17" spans="1:4" ht="144" customHeight="1">
      <c r="A17" s="2979" t="s">
        <v>1659</v>
      </c>
      <c r="B17" s="2979"/>
      <c r="C17" s="2979"/>
      <c r="D17" s="2979"/>
    </row>
    <row r="18" spans="1:4" ht="15.75" customHeight="1">
      <c r="A18" s="2976" t="str">
        <f>IF(项目基本情况!B8="抵押",结果表!K120,"——")</f>
        <v>故，本次评估不存在估价师知悉的法定优先受偿款</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6"/>
      <c r="C20" s="2976"/>
      <c r="D20" s="2976"/>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0"/>
      <c r="C21" s="2980"/>
      <c r="D21" s="2980"/>
    </row>
    <row r="22" spans="1:4" ht="18.75" customHeight="1">
      <c r="A22" s="2981" t="s">
        <v>1660</v>
      </c>
      <c r="B22" s="2981"/>
      <c r="C22" s="2981"/>
      <c r="D22" s="2981"/>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2978">
        <v>42551</v>
      </c>
      <c r="D31" s="29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2987" t="s">
        <v>1671</v>
      </c>
      <c r="B15" s="2982" t="s">
        <v>136</v>
      </c>
      <c r="C15" s="2983"/>
    </row>
    <row r="16" spans="1:7" ht="13.5">
      <c r="A16" s="2988"/>
      <c r="B16" s="2982" t="s">
        <v>69</v>
      </c>
      <c r="C16" s="2983"/>
    </row>
    <row r="17" spans="1:3" ht="13.5">
      <c r="A17" s="2988"/>
      <c r="B17" s="2985" t="s">
        <v>1672</v>
      </c>
      <c r="C17" s="2004" t="s">
        <v>1671</v>
      </c>
    </row>
    <row r="18" spans="1:3" ht="13.5">
      <c r="A18" s="2988"/>
      <c r="B18" s="2985"/>
      <c r="C18" s="2004" t="s">
        <v>1673</v>
      </c>
    </row>
    <row r="19" spans="1:3" ht="13.5">
      <c r="A19" s="2988"/>
      <c r="B19" s="2985"/>
      <c r="C19" s="2004" t="s">
        <v>1674</v>
      </c>
    </row>
    <row r="20" spans="1:3" ht="13.5">
      <c r="A20" s="2989"/>
      <c r="B20" s="2984" t="s">
        <v>1675</v>
      </c>
      <c r="C20" s="2983"/>
    </row>
    <row r="21" spans="1:3" ht="13.5">
      <c r="A21" s="2005" t="s">
        <v>1676</v>
      </c>
      <c r="B21" s="2006"/>
      <c r="C21" s="2007"/>
    </row>
    <row r="22" spans="1:3" ht="13.5">
      <c r="A22" s="2986" t="s">
        <v>1677</v>
      </c>
      <c r="B22" s="2984" t="s">
        <v>1678</v>
      </c>
      <c r="C22" s="2983"/>
    </row>
    <row r="23" spans="1:3" ht="13.5">
      <c r="A23" s="2986"/>
      <c r="B23" s="2984" t="s">
        <v>1679</v>
      </c>
      <c r="C23" s="2983"/>
    </row>
    <row r="24" spans="1:3" ht="13.5">
      <c r="A24" s="2986"/>
      <c r="B24" s="2984" t="s">
        <v>1680</v>
      </c>
      <c r="C24" s="2983"/>
    </row>
    <row r="25" spans="1:3" ht="13.5">
      <c r="A25" s="2986"/>
      <c r="B25" s="2985" t="s">
        <v>1681</v>
      </c>
      <c r="C25" s="2004" t="s">
        <v>1682</v>
      </c>
    </row>
    <row r="26" spans="1:3" ht="13.5">
      <c r="A26" s="2986"/>
      <c r="B26" s="2985"/>
      <c r="C26" s="2004" t="s">
        <v>1683</v>
      </c>
    </row>
    <row r="27" spans="1:3" ht="13.5">
      <c r="A27" s="2986"/>
      <c r="B27" s="2985"/>
      <c r="C27" s="2004" t="s">
        <v>1684</v>
      </c>
    </row>
    <row r="28" spans="1:3" ht="13.5">
      <c r="A28" s="2986"/>
      <c r="B28" s="2985"/>
      <c r="C28" s="2004" t="s">
        <v>1685</v>
      </c>
    </row>
    <row r="29" spans="1:3" ht="13.5">
      <c r="A29" s="2986"/>
      <c r="B29" s="2985"/>
      <c r="C29" s="2004" t="s">
        <v>1686</v>
      </c>
    </row>
    <row r="30" spans="1:3" ht="13.5">
      <c r="A30" s="2986"/>
      <c r="B30" s="2985"/>
      <c r="C30" s="2004" t="s">
        <v>1687</v>
      </c>
    </row>
    <row r="31" spans="1:3" ht="13.5">
      <c r="A31" s="2986"/>
      <c r="B31" s="2985"/>
      <c r="C31" s="2004" t="s">
        <v>1688</v>
      </c>
    </row>
    <row r="32" spans="1:3" ht="13.5">
      <c r="A32" s="2986"/>
      <c r="B32" s="2985"/>
      <c r="C32" s="2004" t="s">
        <v>1689</v>
      </c>
    </row>
    <row r="33" spans="1:3" ht="13.5">
      <c r="A33" s="2986"/>
      <c r="B33" s="2985"/>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43124</v>
      </c>
      <c r="C2" s="1022" t="s">
        <v>826</v>
      </c>
      <c r="D2" s="1022"/>
    </row>
    <row r="3" spans="1:6" ht="24" customHeight="1">
      <c r="A3" s="1023" t="s">
        <v>827</v>
      </c>
      <c r="B3" s="1024" t="s">
        <v>828</v>
      </c>
      <c r="C3" s="2349" t="s">
        <v>829</v>
      </c>
      <c r="D3" s="2352" t="s">
        <v>830</v>
      </c>
      <c r="E3" s="1025" t="s">
        <v>831</v>
      </c>
      <c r="F3" s="1024" t="s">
        <v>829</v>
      </c>
    </row>
    <row r="4" spans="1:6" ht="24" customHeight="1">
      <c r="A4" s="1706" t="s">
        <v>832</v>
      </c>
      <c r="B4" s="1025">
        <f ca="1">IF(C4&lt;B2,"已过期",1119970066)</f>
        <v>1119970066</v>
      </c>
      <c r="C4" s="2350">
        <v>43849</v>
      </c>
      <c r="D4" s="2353" t="s">
        <v>832</v>
      </c>
      <c r="E4" s="1025">
        <f ca="1">IF(F4&lt;B2,"已过期",96010014)</f>
        <v>96010014</v>
      </c>
      <c r="F4" s="1033">
        <v>47118</v>
      </c>
    </row>
    <row r="5" spans="1:6" ht="24" customHeight="1">
      <c r="A5" s="1706" t="s">
        <v>833</v>
      </c>
      <c r="B5" s="1025">
        <f ca="1">IF(C5&lt;B2,"已过期",1119970074)</f>
        <v>1119970074</v>
      </c>
      <c r="C5" s="2350">
        <v>43849</v>
      </c>
      <c r="D5" s="2353" t="s">
        <v>833</v>
      </c>
      <c r="E5" s="1025">
        <f ca="1">IF(F5&lt;B2,"已过期",2002110027)</f>
        <v>2002110027</v>
      </c>
      <c r="F5" s="1033">
        <v>46752</v>
      </c>
    </row>
    <row r="6" spans="1:6" ht="24" customHeight="1">
      <c r="A6" s="1706" t="s">
        <v>834</v>
      </c>
      <c r="B6" s="1025">
        <f ca="1">IF(C6&lt;B2,"已过期",1119970111)</f>
        <v>1119970111</v>
      </c>
      <c r="C6" s="2350">
        <v>43849</v>
      </c>
      <c r="D6" s="2353" t="s">
        <v>834</v>
      </c>
      <c r="E6" s="1025">
        <f ca="1">IF(F6&lt;B2,"已过期",94010078)</f>
        <v>94010078</v>
      </c>
      <c r="F6" s="1033">
        <v>46387</v>
      </c>
    </row>
    <row r="7" spans="1:6" ht="24" customHeight="1">
      <c r="A7" s="1706" t="s">
        <v>835</v>
      </c>
      <c r="B7" s="1025">
        <f ca="1">IF(C7&lt;B2,"已过期",1120050019)</f>
        <v>1120050019</v>
      </c>
      <c r="C7" s="2350">
        <v>43359</v>
      </c>
      <c r="D7" s="2353" t="s">
        <v>835</v>
      </c>
      <c r="E7" s="1025">
        <f ca="1">IF(F7&lt;B2,"已过期",2002110030)</f>
        <v>2002110030</v>
      </c>
      <c r="F7" s="1033">
        <v>46387</v>
      </c>
    </row>
    <row r="8" spans="1:6" ht="24" customHeight="1">
      <c r="A8" s="1706" t="s">
        <v>836</v>
      </c>
      <c r="B8" s="1025">
        <f ca="1">IF(C8&lt;B2,"已过期",1120000080)</f>
        <v>1120000080</v>
      </c>
      <c r="C8" s="2350">
        <v>43849</v>
      </c>
      <c r="D8" s="2353" t="s">
        <v>836</v>
      </c>
      <c r="E8" s="1025">
        <f ca="1">IF(F8&lt;B2,"已过期",2000110082)</f>
        <v>2000110082</v>
      </c>
      <c r="F8" s="1033">
        <v>46387</v>
      </c>
    </row>
    <row r="9" spans="1:6" ht="24" customHeight="1">
      <c r="A9" s="1706" t="s">
        <v>837</v>
      </c>
      <c r="B9" s="1025">
        <f ca="1">IF(C9&lt;B2,"已过期",1419970001)</f>
        <v>1419970001</v>
      </c>
      <c r="C9" s="2350">
        <v>43867</v>
      </c>
      <c r="D9" s="2353" t="s">
        <v>837</v>
      </c>
      <c r="E9" s="1025">
        <f ca="1">IF(F9&lt;B2,"已过期",2002110125)</f>
        <v>2002110125</v>
      </c>
      <c r="F9" s="1033">
        <v>47118</v>
      </c>
    </row>
    <row r="10" spans="1:6" ht="24" customHeight="1">
      <c r="A10" s="1706" t="s">
        <v>838</v>
      </c>
      <c r="B10" s="1025">
        <f ca="1">IF(C10&lt;B2,"已过期",1120060040)</f>
        <v>1120060040</v>
      </c>
      <c r="C10" s="2350">
        <v>43483</v>
      </c>
      <c r="D10" s="2353" t="s">
        <v>838</v>
      </c>
      <c r="E10" s="1025">
        <f ca="1">IF(F10&lt;B2,"已过期",2004110096)</f>
        <v>2004110096</v>
      </c>
      <c r="F10" s="1033">
        <v>47118</v>
      </c>
    </row>
    <row r="11" spans="1:6" ht="24" customHeight="1">
      <c r="A11" s="1706" t="s">
        <v>839</v>
      </c>
      <c r="B11" s="1025">
        <f ca="1">IF(C11&lt;B2,"已过期",1120100036)</f>
        <v>1120100036</v>
      </c>
      <c r="C11" s="2350">
        <v>43622</v>
      </c>
      <c r="D11" s="2353" t="s">
        <v>839</v>
      </c>
      <c r="E11" s="1025">
        <f ca="1">IF(F11&lt;B2,"已过期",2010110070)</f>
        <v>2010110070</v>
      </c>
      <c r="F11" s="1033">
        <v>47907</v>
      </c>
    </row>
    <row r="12" spans="1:6" ht="24" customHeight="1">
      <c r="A12" s="1706"/>
      <c r="B12" s="1025"/>
      <c r="C12" s="2350"/>
      <c r="D12" s="2353"/>
      <c r="E12" s="1025"/>
      <c r="F12" s="1025"/>
    </row>
    <row r="13" spans="1:6" ht="24" customHeight="1">
      <c r="A13" s="1706" t="s">
        <v>840</v>
      </c>
      <c r="B13" s="1025">
        <f ca="1">IF(C13&lt;B2,"已过期",1120070131)</f>
        <v>1120070131</v>
      </c>
      <c r="C13" s="2350">
        <v>43814</v>
      </c>
      <c r="D13" s="2353" t="s">
        <v>840</v>
      </c>
      <c r="E13" s="1025">
        <v>2014110011</v>
      </c>
      <c r="F13" s="1033">
        <v>49302</v>
      </c>
    </row>
    <row r="14" spans="1:6" ht="24" customHeight="1">
      <c r="A14" s="1706" t="s">
        <v>841</v>
      </c>
      <c r="B14" s="1025">
        <f ca="1">IF(C14&lt;B2,"已过期",1120130020)</f>
        <v>1120130020</v>
      </c>
      <c r="C14" s="2350">
        <v>43622</v>
      </c>
      <c r="D14" s="2353"/>
      <c r="E14" s="1025"/>
      <c r="F14" s="1025"/>
    </row>
    <row r="15" spans="1:6" ht="24" customHeight="1">
      <c r="A15" s="1707" t="s">
        <v>1149</v>
      </c>
      <c r="B15" s="1025">
        <v>1120070085</v>
      </c>
      <c r="C15" s="2350">
        <v>43814</v>
      </c>
      <c r="D15" s="2354" t="s">
        <v>1149</v>
      </c>
      <c r="E15" s="1025">
        <v>2004110128</v>
      </c>
      <c r="F15" s="1026">
        <v>47118</v>
      </c>
    </row>
    <row r="16" spans="1:6" ht="24" customHeight="1">
      <c r="A16" s="1706" t="s">
        <v>842</v>
      </c>
      <c r="B16" s="1025">
        <f ca="1">IF(C16&lt;B2,"已过期",1120140022)</f>
        <v>1120140022</v>
      </c>
      <c r="C16" s="2350">
        <v>44029</v>
      </c>
      <c r="D16" s="2353" t="s">
        <v>842</v>
      </c>
      <c r="E16" s="1025">
        <f ca="1">IF(F16&lt;B2,"已过期",2008110059)</f>
        <v>2008110059</v>
      </c>
      <c r="F16" s="1033">
        <v>47177</v>
      </c>
    </row>
    <row r="17" spans="1:7" ht="24" customHeight="1">
      <c r="A17" s="1706"/>
      <c r="B17" s="1025"/>
      <c r="C17" s="2350"/>
      <c r="D17" s="2353"/>
      <c r="E17" s="1025"/>
      <c r="F17" s="1033"/>
    </row>
    <row r="18" spans="1:7" ht="24" customHeight="1">
      <c r="A18" s="1706"/>
      <c r="B18" s="1025"/>
      <c r="C18" s="2350"/>
      <c r="D18" s="2353"/>
      <c r="E18" s="1025"/>
      <c r="F18" s="1033"/>
    </row>
    <row r="19" spans="1:7" ht="24" customHeight="1">
      <c r="A19" s="1706"/>
      <c r="B19" s="1025"/>
      <c r="C19" s="2350"/>
      <c r="D19" s="2353"/>
      <c r="E19" s="1025"/>
      <c r="F19" s="1025"/>
    </row>
    <row r="20" spans="1:7" ht="24" customHeight="1">
      <c r="A20" s="1706"/>
      <c r="B20" s="1025"/>
      <c r="C20" s="2350"/>
      <c r="D20" s="2353"/>
      <c r="E20" s="1025"/>
      <c r="F20" s="1025"/>
    </row>
    <row r="21" spans="1:7" ht="24" customHeight="1">
      <c r="A21" s="1706"/>
      <c r="B21" s="1025"/>
      <c r="C21" s="2350"/>
      <c r="D21" s="2353" t="s">
        <v>843</v>
      </c>
      <c r="E21" s="1025">
        <f ca="1">IF(F21&lt;B2,"已过期",2011110090)</f>
        <v>2011110090</v>
      </c>
      <c r="F21" s="1033">
        <v>48302</v>
      </c>
    </row>
    <row r="22" spans="1:7" ht="24" customHeight="1">
      <c r="A22" s="1706" t="s">
        <v>844</v>
      </c>
      <c r="B22" s="1025">
        <f ca="1">IF(C22&lt;B2,"已过期",1120020033)</f>
        <v>1120020033</v>
      </c>
      <c r="C22" s="2350">
        <v>43304</v>
      </c>
      <c r="D22" s="2353" t="s">
        <v>844</v>
      </c>
      <c r="E22" s="1025">
        <f ca="1">IF(F22&lt;B2,"已过期",2000110137)</f>
        <v>2000110137</v>
      </c>
      <c r="F22" s="1033">
        <v>46387</v>
      </c>
    </row>
    <row r="23" spans="1:7" ht="24" customHeight="1">
      <c r="A23" s="1706" t="s">
        <v>845</v>
      </c>
      <c r="B23" s="1025">
        <f ca="1">IF(C23&lt;B2,"已过期",1120130048)</f>
        <v>1120130048</v>
      </c>
      <c r="C23" s="2350">
        <v>43686</v>
      </c>
      <c r="D23" s="2353"/>
      <c r="E23" s="1025"/>
      <c r="F23" s="1025"/>
    </row>
    <row r="24" spans="1:7" s="1027" customFormat="1" ht="24" customHeight="1">
      <c r="A24" s="1707" t="s">
        <v>1334</v>
      </c>
      <c r="B24" s="1707" t="s">
        <v>1334</v>
      </c>
      <c r="C24" s="2351" t="s">
        <v>1334</v>
      </c>
      <c r="D24" s="2354" t="s">
        <v>1334</v>
      </c>
      <c r="E24" s="1707" t="s">
        <v>1334</v>
      </c>
      <c r="F24" s="1707" t="s">
        <v>1334</v>
      </c>
    </row>
    <row r="25" spans="1:7" ht="24" customHeight="1">
      <c r="A25" s="2990" t="s">
        <v>846</v>
      </c>
      <c r="B25" s="2990"/>
      <c r="C25" s="2990"/>
      <c r="D25" s="2990"/>
      <c r="E25" s="2990"/>
      <c r="F25" s="2990"/>
      <c r="G25" s="2990"/>
    </row>
    <row r="26" spans="1:7" s="1028" customFormat="1" ht="24" customHeight="1">
      <c r="A26" s="2991" t="s">
        <v>847</v>
      </c>
      <c r="B26" s="2991"/>
      <c r="C26" s="2992"/>
      <c r="D26" s="2993" t="s">
        <v>848</v>
      </c>
      <c r="E26" s="2991"/>
      <c r="F26" s="2991"/>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典型户型修正</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2018-01-24T03:05:17Z</dcterms:modified>
</cp:coreProperties>
</file>